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1320"/>
  </bookViews>
  <sheets>
    <sheet name="Tesla-Demand  FC detail-22 Full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44525"/>
</workbook>
</file>

<file path=xl/comments1.xml><?xml version="1.0" encoding="utf-8"?>
<comments xmlns="http://schemas.openxmlformats.org/spreadsheetml/2006/main">
  <authors>
    <author>tc={E5380973-37ED-2D48-9360-F4327FA8B2F7}</author>
    <author>tc={A56D8E0C-E2EE-44E6-8B28-BD42C6412FE4}</author>
    <author>tc={557EEC5D-6A89-664A-B1AF-236DEEF24946}</author>
    <author>tc={4C57EA9D-540A-F04C-9CBB-F7043AF06B61}</author>
    <author>tc={54B39C7F-C719-8F42-B481-F7F89D5BFA92}</author>
    <author>tc={F7F0A021-77EE-1741-BA28-6C54370DC91B}</author>
    <author>tc={341D591E-F086-8444-ABA6-D5B6C613327A}</author>
    <author>tc={BF9DB2E3-7D58-994F-9105-56B76981C12D}</author>
    <author>tc={337655BE-156F-574E-B31C-0C87F321E5CD}</author>
    <author>tc={0FEF7117-2EC6-434E-9AD4-C8CAF95EBEFC}</author>
    <author>tc={93FA8AC9-E17F-8C4E-BA11-0562D547E87D}</author>
    <author>tc={EDA1C920-39BC-1E4D-9FBB-19593FC0AD15}</author>
    <author>tc={F701D01B-9944-EA43-AB1D-6C348501953D}</author>
    <author>tc={8BDC0043-131F-FC44-A966-6DCBED9152FD}</author>
    <author>tc={3A5E611A-58F9-A54E-AC6C-74E48E35C7DC}</author>
  </authors>
  <commentList>
    <comment ref="C4" authorId="0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newly created</t>
        </r>
      </text>
    </comment>
    <comment ref="R4" authorId="1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9M?</t>
        </r>
      </text>
    </comment>
    <comment ref="Y5" authorId="2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formula updated</t>
        </r>
      </text>
    </comment>
    <comment ref="A26" authorId="3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new</t>
        </r>
      </text>
    </comment>
    <comment ref="A54" authorId="4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new</t>
        </r>
      </text>
    </comment>
    <comment ref="K64" authorId="5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上半年630</t>
        </r>
      </text>
    </comment>
    <comment ref="K65" authorId="6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上半年2611</t>
        </r>
      </text>
    </comment>
    <comment ref="L91" authorId="7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无销量数据</t>
        </r>
      </text>
    </comment>
    <comment ref="J97" authorId="8">
      <text>
        <r>
          <rPr>
            <sz val="10"/>
            <rFont val="宋体"/>
            <charset val="134"/>
          </rPr>
          <t xml:space="preserve">[线程批注]
你的Excel版本可读取此线程批注; 但如果在更新版本的Excel中打开文件，则对批注所作的任何改动都将被删除。了解详细信息: https://go.microsoft.com/fwlink/?linkid=870924
注释:
    前九个月8230
</t>
        </r>
      </text>
    </comment>
    <comment ref="K97" authorId="9">
      <text>
        <r>
          <rPr>
            <sz val="10"/>
            <rFont val="宋体"/>
            <charset val="134"/>
          </rPr>
          <t xml:space="preserve">[线程批注]
你的Excel版本可读取此线程批注; 但如果在更新版本的Excel中打开文件，则对批注所作的任何改动都将被删除。了解详细信息: https://go.microsoft.com/fwlink/?linkid=870924
注释:
    上半年6785
</t>
        </r>
      </text>
    </comment>
    <comment ref="D152" authorId="10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starting period changed to 1H22</t>
        </r>
      </text>
    </comment>
    <comment ref="O291" authorId="11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upward adj 1pct
答复:
    remodeled to add residual effect</t>
        </r>
      </text>
    </comment>
    <comment ref="D332" authorId="12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starting period changed to 1H22</t>
        </r>
      </text>
    </comment>
    <comment ref="D397" authorId="13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starting period changed to 1H22</t>
        </r>
      </text>
    </comment>
    <comment ref="G493" authorId="14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由于S90和V90的销量数据是合并的。故在此合并，价格为V90价格</t>
        </r>
      </text>
    </comment>
  </commentList>
</comments>
</file>

<file path=xl/sharedStrings.xml><?xml version="1.0" encoding="utf-8"?>
<sst xmlns="http://schemas.openxmlformats.org/spreadsheetml/2006/main" count="1585" uniqueCount="285">
  <si>
    <t>Tesla</t>
  </si>
  <si>
    <t>China</t>
  </si>
  <si>
    <t>Model Y</t>
  </si>
  <si>
    <t>Company</t>
  </si>
  <si>
    <t>Model</t>
  </si>
  <si>
    <t>Initial Delivery Date</t>
  </si>
  <si>
    <t>Brand</t>
  </si>
  <si>
    <t>Type</t>
  </si>
  <si>
    <t>Class</t>
  </si>
  <si>
    <t>Power Type</t>
  </si>
  <si>
    <t>Price</t>
  </si>
  <si>
    <t>Price Range</t>
  </si>
  <si>
    <t>2020 Sales Volume</t>
  </si>
  <si>
    <t>2021 Sales Volume</t>
  </si>
  <si>
    <t>2022 6M Sales Volume</t>
  </si>
  <si>
    <t>2022 11M Sales Volume</t>
  </si>
  <si>
    <t>2022 Sales Volume</t>
  </si>
  <si>
    <t>2020 share</t>
  </si>
  <si>
    <t>2021 share</t>
  </si>
  <si>
    <t>2022 6M share</t>
  </si>
  <si>
    <t>2022 9M share</t>
  </si>
  <si>
    <t>2022 share</t>
  </si>
  <si>
    <t>2021-2020 share change</t>
  </si>
  <si>
    <t>2022-2021 share change</t>
  </si>
  <si>
    <t>2022-2020 share change</t>
  </si>
  <si>
    <t>Average annual rivals share changes</t>
  </si>
  <si>
    <t>Average annual residual effect</t>
  </si>
  <si>
    <t>Average annual share change</t>
  </si>
  <si>
    <t>Premium</t>
  </si>
  <si>
    <t>SUV</t>
  </si>
  <si>
    <t>B</t>
  </si>
  <si>
    <t>BEV</t>
  </si>
  <si>
    <t>42000-44000</t>
  </si>
  <si>
    <t>BMW</t>
  </si>
  <si>
    <t>X3</t>
  </si>
  <si>
    <t>Fuel</t>
  </si>
  <si>
    <t>46000-48000</t>
  </si>
  <si>
    <t>Cadillac</t>
  </si>
  <si>
    <t>XT5</t>
  </si>
  <si>
    <t>Mercedes-Benz</t>
  </si>
  <si>
    <t>GLC</t>
  </si>
  <si>
    <t>英菲尼迪</t>
  </si>
  <si>
    <t>QX50</t>
  </si>
  <si>
    <t>广汽丰田</t>
  </si>
  <si>
    <t>汉兰达</t>
  </si>
  <si>
    <t>Volume</t>
  </si>
  <si>
    <t>40000-42000</t>
  </si>
  <si>
    <t>沃尔沃亚太</t>
  </si>
  <si>
    <t>XC60</t>
  </si>
  <si>
    <t>一汽奥迪</t>
  </si>
  <si>
    <t>Q5L</t>
  </si>
  <si>
    <t>48000-50000</t>
  </si>
  <si>
    <t>Total</t>
  </si>
  <si>
    <t>Forecasting</t>
  </si>
  <si>
    <t>B class SUV</t>
  </si>
  <si>
    <t>2023E</t>
  </si>
  <si>
    <t>2024E</t>
  </si>
  <si>
    <t>2025E</t>
  </si>
  <si>
    <t>2026E</t>
  </si>
  <si>
    <t>2027E</t>
  </si>
  <si>
    <t>2028E</t>
  </si>
  <si>
    <t>2029E</t>
  </si>
  <si>
    <t>2030E</t>
  </si>
  <si>
    <t>Rivals for others if any</t>
  </si>
  <si>
    <t>Factor</t>
  </si>
  <si>
    <t>Est. annual change</t>
  </si>
  <si>
    <t>Segment sales</t>
  </si>
  <si>
    <t>MA</t>
  </si>
  <si>
    <t>Shares</t>
  </si>
  <si>
    <t>your loss my gain</t>
  </si>
  <si>
    <t>Total changes of rivals</t>
  </si>
  <si>
    <t>Forecasted Vol</t>
  </si>
  <si>
    <t>share*seg total</t>
  </si>
  <si>
    <t>Model 3</t>
  </si>
  <si>
    <t>Price as of Dec 21</t>
  </si>
  <si>
    <t>2022 6M sales Volume</t>
  </si>
  <si>
    <t>2022 9M Sales Volume</t>
  </si>
  <si>
    <t>2022 12M share</t>
  </si>
  <si>
    <t>轿车</t>
  </si>
  <si>
    <t>北京奔驰</t>
  </si>
  <si>
    <t>C级</t>
  </si>
  <si>
    <t>Volvo</t>
  </si>
  <si>
    <t>S60</t>
  </si>
  <si>
    <t>36000-38000</t>
  </si>
  <si>
    <t>3系</t>
  </si>
  <si>
    <t>奥迪</t>
  </si>
  <si>
    <t>奥迪A4L</t>
  </si>
  <si>
    <t>44000-46000</t>
  </si>
  <si>
    <t>B class Saloon</t>
  </si>
  <si>
    <t>(Take from P7 )</t>
  </si>
  <si>
    <t>based on Model 3 effect on P7</t>
  </si>
  <si>
    <t>(Take from Seal)-units</t>
  </si>
  <si>
    <t>(Take from Seal)-share</t>
  </si>
  <si>
    <t>(Take from ET5)-units</t>
  </si>
  <si>
    <t>(Take from ET5)-share</t>
  </si>
  <si>
    <t>Calibalization from Model Y</t>
  </si>
  <si>
    <t>rivals changes+take</t>
  </si>
  <si>
    <t>Model S</t>
  </si>
  <si>
    <t>Luxury</t>
  </si>
  <si>
    <t>C</t>
  </si>
  <si>
    <t>132000-134000</t>
  </si>
  <si>
    <t>Audi</t>
  </si>
  <si>
    <t>A8L</t>
  </si>
  <si>
    <t>130000-132000</t>
  </si>
  <si>
    <t>7-series</t>
  </si>
  <si>
    <t>D</t>
  </si>
  <si>
    <t>128000-130000</t>
  </si>
  <si>
    <t xml:space="preserve">BMW </t>
  </si>
  <si>
    <t>8-Series</t>
  </si>
  <si>
    <t>148000-150000</t>
  </si>
  <si>
    <t>Lexus</t>
  </si>
  <si>
    <t>LS</t>
  </si>
  <si>
    <t>124000-126000</t>
  </si>
  <si>
    <t xml:space="preserve">Mercedes-Benz </t>
  </si>
  <si>
    <t>S-Class</t>
  </si>
  <si>
    <t>142000-146000</t>
  </si>
  <si>
    <t>Porsche</t>
  </si>
  <si>
    <t>Panamera</t>
  </si>
  <si>
    <t>150000-152000</t>
  </si>
  <si>
    <t xml:space="preserve">Porsche </t>
  </si>
  <si>
    <t>Taycan</t>
  </si>
  <si>
    <t>luxury</t>
  </si>
  <si>
    <t>136000-138000</t>
  </si>
  <si>
    <t>C/D class Saloon</t>
  </si>
  <si>
    <t>2022E</t>
  </si>
  <si>
    <t>C Segment sales</t>
  </si>
  <si>
    <t>D Segment sales</t>
  </si>
  <si>
    <t>total</t>
  </si>
  <si>
    <t>Model X</t>
  </si>
  <si>
    <t>2022 M9 Sales Volume</t>
  </si>
  <si>
    <t>118000-120000</t>
  </si>
  <si>
    <t>XC90新能源</t>
  </si>
  <si>
    <t>PHEV</t>
  </si>
  <si>
    <t>138000-140000</t>
  </si>
  <si>
    <t>Q8</t>
  </si>
  <si>
    <t>X6</t>
  </si>
  <si>
    <t>GLE</t>
  </si>
  <si>
    <t>108000-110000</t>
  </si>
  <si>
    <t>路虎</t>
  </si>
  <si>
    <t>卫士</t>
  </si>
  <si>
    <t>112000-114000</t>
  </si>
  <si>
    <t>GLS</t>
  </si>
  <si>
    <t>164000-166000</t>
  </si>
  <si>
    <t>Cayenne</t>
  </si>
  <si>
    <t>140000-142000</t>
  </si>
  <si>
    <t>X5</t>
  </si>
  <si>
    <t>C class Saloon</t>
  </si>
  <si>
    <t>Europe</t>
  </si>
  <si>
    <t>2022 H1 Sales Volume</t>
  </si>
  <si>
    <t>2022 H1 share</t>
  </si>
  <si>
    <t>midsized</t>
  </si>
  <si>
    <t>62000-64000</t>
  </si>
  <si>
    <t>iX3</t>
  </si>
  <si>
    <t>68000-70000</t>
  </si>
  <si>
    <t>Macan</t>
  </si>
  <si>
    <t>58000-60000</t>
  </si>
  <si>
    <t>EQB</t>
  </si>
  <si>
    <t>60000-62000</t>
  </si>
  <si>
    <t xml:space="preserve">Jaguar </t>
  </si>
  <si>
    <t>I-Pace</t>
  </si>
  <si>
    <t xml:space="preserve">Jeep </t>
  </si>
  <si>
    <t>Wrangler</t>
  </si>
  <si>
    <t>66000-68000</t>
  </si>
  <si>
    <t>X4</t>
  </si>
  <si>
    <t>F-Pace</t>
  </si>
  <si>
    <t>Alfa Romeo</t>
  </si>
  <si>
    <t>Stelvio</t>
  </si>
  <si>
    <t xml:space="preserve">Audi </t>
  </si>
  <si>
    <t>Q5</t>
  </si>
  <si>
    <t>Land Rover</t>
  </si>
  <si>
    <t>Range Rover Velar</t>
  </si>
  <si>
    <t>54000-56000</t>
  </si>
  <si>
    <t>Volkswagen</t>
  </si>
  <si>
    <t>ID.4</t>
  </si>
  <si>
    <t>Ford</t>
  </si>
  <si>
    <t>Mustang Mach-E</t>
  </si>
  <si>
    <t>56000-58000</t>
  </si>
  <si>
    <t>Suzuki</t>
  </si>
  <si>
    <t>Across</t>
  </si>
  <si>
    <t xml:space="preserve">Land Rover </t>
  </si>
  <si>
    <t>Discovery Sport</t>
  </si>
  <si>
    <t>e-tron</t>
  </si>
  <si>
    <t>large</t>
  </si>
  <si>
    <t>64000-66000</t>
  </si>
  <si>
    <t xml:space="preserve">Genesis </t>
  </si>
  <si>
    <t>GV80</t>
  </si>
  <si>
    <t>Touareg</t>
  </si>
  <si>
    <t xml:space="preserve">Volvo </t>
  </si>
  <si>
    <t>XC90</t>
  </si>
  <si>
    <t>midsized SUV</t>
  </si>
  <si>
    <t>large SUV</t>
  </si>
  <si>
    <t>mid+large</t>
  </si>
  <si>
    <t>2022 12M Sales Volume</t>
  </si>
  <si>
    <t>Saloon</t>
  </si>
  <si>
    <t xml:space="preserve"> 3-series</t>
  </si>
  <si>
    <t>34000-36000</t>
  </si>
  <si>
    <t>C-Class</t>
  </si>
  <si>
    <t>4-series</t>
  </si>
  <si>
    <t>V60</t>
  </si>
  <si>
    <t>A5/S5/RS5</t>
  </si>
  <si>
    <t>A4/S4/RS4</t>
  </si>
  <si>
    <t>38000-40000</t>
  </si>
  <si>
    <t>IS</t>
  </si>
  <si>
    <t>A6/S6/RS6/Allroad</t>
  </si>
  <si>
    <t xml:space="preserve">Mercedes </t>
  </si>
  <si>
    <t>E-Class</t>
  </si>
  <si>
    <t>midsized Saloon</t>
  </si>
  <si>
    <t>large Saloon</t>
  </si>
  <si>
    <t>3-series</t>
  </si>
  <si>
    <t xml:space="preserve"> 4-series</t>
  </si>
  <si>
    <t>126000-128000</t>
  </si>
  <si>
    <t>120000-122000</t>
  </si>
  <si>
    <t>EQS</t>
  </si>
  <si>
    <t>A8/S8</t>
  </si>
  <si>
    <t>92000-94000</t>
  </si>
  <si>
    <t>E-Tron GT</t>
  </si>
  <si>
    <t xml:space="preserve">Maserati </t>
  </si>
  <si>
    <t>Quattroporte</t>
  </si>
  <si>
    <t>Ghibli</t>
  </si>
  <si>
    <t>88000-90000</t>
  </si>
  <si>
    <t>100000-102000</t>
  </si>
  <si>
    <t>G-Class</t>
  </si>
  <si>
    <t>X7</t>
  </si>
  <si>
    <t>98000-100000</t>
  </si>
  <si>
    <t>Range Rover</t>
  </si>
  <si>
    <t>110000-112000</t>
  </si>
  <si>
    <t>iX</t>
  </si>
  <si>
    <t>96000-98000</t>
  </si>
  <si>
    <t>104000-106000</t>
  </si>
  <si>
    <t>US</t>
  </si>
  <si>
    <t>2022  9M Share</t>
  </si>
  <si>
    <t>2022 12M Share</t>
  </si>
  <si>
    <t>Compact</t>
  </si>
  <si>
    <t>50000-52000</t>
  </si>
  <si>
    <t>Jaguar</t>
  </si>
  <si>
    <t>52000-54000</t>
  </si>
  <si>
    <t>PHEV/Fuel</t>
  </si>
  <si>
    <t>Infiniti</t>
  </si>
  <si>
    <t>QX55</t>
  </si>
  <si>
    <t>Acura</t>
  </si>
  <si>
    <t>RDX</t>
  </si>
  <si>
    <t xml:space="preserve">Discovery Sport </t>
  </si>
  <si>
    <t>Jeep</t>
  </si>
  <si>
    <t>Cherokee</t>
  </si>
  <si>
    <t>SUV	compact</t>
  </si>
  <si>
    <t>fuel</t>
  </si>
  <si>
    <t>Jeep Cherokee</t>
  </si>
  <si>
    <t>2022 Share</t>
  </si>
  <si>
    <t>A-Class</t>
  </si>
  <si>
    <t xml:space="preserve">Alfa Romeo </t>
  </si>
  <si>
    <t>Giulia</t>
  </si>
  <si>
    <t>A4/S4</t>
  </si>
  <si>
    <t>A3/S3</t>
  </si>
  <si>
    <t>CLA</t>
  </si>
  <si>
    <t>XE</t>
  </si>
  <si>
    <t xml:space="preserve">Infiniti </t>
  </si>
  <si>
    <t>Q50</t>
  </si>
  <si>
    <t>HEV/Fuel</t>
  </si>
  <si>
    <t>Q60</t>
  </si>
  <si>
    <t>TLX</t>
  </si>
  <si>
    <t xml:space="preserve">Lexus </t>
  </si>
  <si>
    <t>RC</t>
  </si>
  <si>
    <t>Saloon	midsized</t>
  </si>
  <si>
    <t>F(SLC)</t>
  </si>
  <si>
    <t>94000-96000</t>
  </si>
  <si>
    <t>7 series</t>
  </si>
  <si>
    <t>86000-88000</t>
  </si>
  <si>
    <t>Lucid</t>
  </si>
  <si>
    <t>Air</t>
  </si>
  <si>
    <t>78000-80000</t>
  </si>
  <si>
    <t>HEV</t>
  </si>
  <si>
    <t>76000-78000</t>
  </si>
  <si>
    <t>EQS Sedan</t>
  </si>
  <si>
    <t>100000-120000</t>
  </si>
  <si>
    <t>A8</t>
  </si>
  <si>
    <t>8 series</t>
  </si>
  <si>
    <t xml:space="preserve">Fuel </t>
  </si>
  <si>
    <t>e-tron GT</t>
  </si>
  <si>
    <t>84000-86000</t>
  </si>
  <si>
    <t>Forecasting-Saloon large</t>
  </si>
  <si>
    <t>2022  Share</t>
  </si>
  <si>
    <t>82000-84000</t>
  </si>
  <si>
    <t>Range Rover Sport</t>
  </si>
  <si>
    <t>70000-72000</t>
  </si>
  <si>
    <t>SUV	midsized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</si>
</sst>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#\ ?/?"/>
  </numFmts>
  <fonts count="59">
    <font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Times New Roman"/>
      <charset val="134"/>
    </font>
    <font>
      <b/>
      <sz val="11"/>
      <color theme="3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rgb="FF00B050"/>
      <name val="Times New Roman"/>
      <charset val="134"/>
    </font>
    <font>
      <sz val="11"/>
      <color rgb="FF00B050"/>
      <name val="Times New Roman"/>
      <charset val="134"/>
    </font>
    <font>
      <sz val="11"/>
      <color rgb="FF000000"/>
      <name val="Times New Roman"/>
      <charset val="134"/>
    </font>
    <font>
      <sz val="11"/>
      <color rgb="FFC00000"/>
      <name val="Times New Roman"/>
      <charset val="134"/>
    </font>
    <font>
      <sz val="11"/>
      <color rgb="FFFFC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000000"/>
      <name val="Calibri"/>
      <charset val="134"/>
    </font>
    <font>
      <b/>
      <sz val="11"/>
      <color rgb="FF00B050"/>
      <name val="宋体"/>
      <charset val="134"/>
      <scheme val="minor"/>
    </font>
    <font>
      <sz val="10"/>
      <color rgb="FF00B050"/>
      <name val="Calibri"/>
      <charset val="134"/>
    </font>
    <font>
      <i/>
      <sz val="11"/>
      <color rgb="FF000000"/>
      <name val="Times New Roman"/>
      <charset val="134"/>
    </font>
    <font>
      <sz val="10"/>
      <color theme="1"/>
      <name val="宋体"/>
      <charset val="134"/>
      <scheme val="minor"/>
    </font>
    <font>
      <b/>
      <sz val="11"/>
      <color rgb="FF000000"/>
      <name val="Times New Roman"/>
      <charset val="134"/>
    </font>
    <font>
      <b/>
      <sz val="11"/>
      <color rgb="FF00B0F0"/>
      <name val="宋体"/>
      <charset val="134"/>
      <scheme val="minor"/>
    </font>
    <font>
      <b/>
      <sz val="11"/>
      <color rgb="FF00B0F0"/>
      <name val="Times New Roman"/>
      <charset val="134"/>
    </font>
    <font>
      <b/>
      <sz val="11"/>
      <color rgb="FF00B050"/>
      <name val="Calibri"/>
      <charset val="134"/>
    </font>
    <font>
      <sz val="11"/>
      <color rgb="FF00B0F0"/>
      <name val="Times New Roman"/>
      <charset val="134"/>
    </font>
    <font>
      <sz val="11"/>
      <color rgb="FF00B0F0"/>
      <name val="宋体"/>
      <charset val="134"/>
      <scheme val="minor"/>
    </font>
    <font>
      <sz val="11"/>
      <color rgb="FF444444"/>
      <name val="Times New Roman"/>
      <charset val="134"/>
    </font>
    <font>
      <b/>
      <sz val="11"/>
      <color rgb="FFFFC000"/>
      <name val="宋体"/>
      <charset val="134"/>
      <scheme val="minor"/>
    </font>
    <font>
      <b/>
      <sz val="11"/>
      <color rgb="FFFFC000"/>
      <name val="Times New Roman"/>
      <charset val="134"/>
    </font>
    <font>
      <sz val="11"/>
      <color rgb="FFFFC000"/>
      <name val="Times New Roman"/>
      <charset val="134"/>
    </font>
    <font>
      <b/>
      <sz val="11"/>
      <color rgb="FF444444"/>
      <name val="Times New Roman"/>
      <charset val="134"/>
    </font>
    <font>
      <sz val="11"/>
      <color rgb="FF00B050"/>
      <name val="等线"/>
      <charset val="134"/>
    </font>
    <font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Times New Roman"/>
      <charset val="134"/>
    </font>
    <font>
      <b/>
      <sz val="11"/>
      <color rgb="FFC00000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n">
        <color rgb="FF000000"/>
      </bottom>
      <diagonal/>
    </border>
    <border>
      <left style="thin">
        <color rgb="FF00B0F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8" fillId="0" borderId="0" applyFon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10" borderId="6" applyNumberFormat="0" applyFont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50" fillId="0" borderId="7" applyNumberFormat="0" applyFill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51" fillId="14" borderId="9" applyNumberFormat="0" applyAlignment="0" applyProtection="0">
      <alignment vertical="center"/>
    </xf>
    <xf numFmtId="0" fontId="52" fillId="14" borderId="5" applyNumberFormat="0" applyAlignment="0" applyProtection="0">
      <alignment vertical="center"/>
    </xf>
    <xf numFmtId="0" fontId="53" fillId="15" borderId="10" applyNumberFormat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55" fillId="0" borderId="12" applyNumberFormat="0" applyFill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1" fillId="0" borderId="1" xfId="17" applyFont="1" applyFill="1" applyBorder="1" applyAlignment="1"/>
    <xf numFmtId="0" fontId="2" fillId="0" borderId="1" xfId="19" applyFont="1" applyFill="1" applyBorder="1"/>
    <xf numFmtId="0" fontId="3" fillId="0" borderId="2" xfId="22" applyFont="1" applyFill="1" applyBorder="1"/>
    <xf numFmtId="0" fontId="4" fillId="2" borderId="0" xfId="0" applyFont="1" applyFill="1" applyAlignment="1">
      <alignment horizontal="center" wrapText="1"/>
    </xf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3" xfId="0" applyFont="1" applyFill="1" applyBorder="1" applyAlignment="1"/>
    <xf numFmtId="0" fontId="4" fillId="2" borderId="0" xfId="0" applyFont="1" applyFill="1" applyAlignment="1">
      <alignment horizontal="center"/>
    </xf>
    <xf numFmtId="0" fontId="0" fillId="3" borderId="0" xfId="0" applyFont="1" applyFill="1" applyAlignment="1"/>
    <xf numFmtId="0" fontId="2" fillId="0" borderId="1" xfId="19" applyFont="1" applyBorder="1"/>
    <xf numFmtId="0" fontId="3" fillId="0" borderId="2" xfId="22" applyFont="1" applyBorder="1"/>
    <xf numFmtId="0" fontId="7" fillId="0" borderId="0" xfId="0" applyFont="1" applyFill="1" applyAlignment="1"/>
    <xf numFmtId="0" fontId="0" fillId="0" borderId="0" xfId="0" applyFont="1" applyFill="1" applyAlignment="1"/>
    <xf numFmtId="0" fontId="8" fillId="0" borderId="4" xfId="0" applyFont="1" applyFill="1" applyBorder="1" applyAlignment="1"/>
    <xf numFmtId="0" fontId="8" fillId="0" borderId="0" xfId="0" applyFont="1" applyFill="1" applyAlignment="1"/>
    <xf numFmtId="0" fontId="4" fillId="0" borderId="0" xfId="0" applyFont="1" applyFill="1" applyAlignment="1"/>
    <xf numFmtId="0" fontId="8" fillId="0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38" fontId="9" fillId="0" borderId="0" xfId="0" applyNumberFormat="1" applyFont="1" applyFill="1" applyAlignment="1">
      <alignment horizontal="right"/>
    </xf>
    <xf numFmtId="0" fontId="4" fillId="0" borderId="4" xfId="0" applyFont="1" applyFill="1" applyBorder="1" applyAlignment="1"/>
    <xf numFmtId="0" fontId="4" fillId="0" borderId="0" xfId="0" applyFont="1" applyFill="1" applyAlignment="1">
      <alignment horizontal="center"/>
    </xf>
    <xf numFmtId="41" fontId="4" fillId="0" borderId="0" xfId="0" applyNumberFormat="1" applyFont="1" applyFill="1" applyAlignment="1">
      <alignment horizontal="center"/>
    </xf>
    <xf numFmtId="38" fontId="10" fillId="0" borderId="0" xfId="0" applyNumberFormat="1" applyFont="1" applyFill="1" applyAlignment="1">
      <alignment horizontal="right"/>
    </xf>
    <xf numFmtId="0" fontId="11" fillId="0" borderId="4" xfId="0" applyFont="1" applyFill="1" applyBorder="1" applyAlignment="1"/>
    <xf numFmtId="0" fontId="11" fillId="0" borderId="0" xfId="0" applyFont="1" applyFill="1" applyAlignment="1"/>
    <xf numFmtId="0" fontId="11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right"/>
    </xf>
    <xf numFmtId="3" fontId="12" fillId="0" borderId="0" xfId="0" applyNumberFormat="1" applyFont="1" applyFill="1" applyAlignment="1">
      <alignment horizontal="right"/>
    </xf>
    <xf numFmtId="3" fontId="10" fillId="0" borderId="0" xfId="0" applyNumberFormat="1" applyFont="1" applyFill="1" applyAlignment="1">
      <alignment horizontal="right"/>
    </xf>
    <xf numFmtId="3" fontId="13" fillId="0" borderId="0" xfId="0" applyNumberFormat="1" applyFont="1" applyFill="1" applyAlignment="1"/>
    <xf numFmtId="10" fontId="7" fillId="0" borderId="0" xfId="0" applyNumberFormat="1" applyFont="1" applyFill="1" applyAlignment="1">
      <alignment horizontal="right"/>
    </xf>
    <xf numFmtId="10" fontId="14" fillId="0" borderId="0" xfId="0" applyNumberFormat="1" applyFont="1" applyFill="1" applyAlignment="1">
      <alignment horizontal="right"/>
    </xf>
    <xf numFmtId="10" fontId="15" fillId="0" borderId="0" xfId="0" applyNumberFormat="1" applyFont="1" applyFill="1" applyAlignment="1"/>
    <xf numFmtId="10" fontId="16" fillId="0" borderId="0" xfId="0" applyNumberFormat="1" applyFont="1" applyFill="1" applyAlignment="1">
      <alignment horizontal="right"/>
    </xf>
    <xf numFmtId="10" fontId="7" fillId="0" borderId="0" xfId="0" applyNumberFormat="1" applyFont="1" applyFill="1" applyAlignment="1"/>
    <xf numFmtId="10" fontId="14" fillId="0" borderId="0" xfId="0" applyNumberFormat="1" applyFont="1" applyFill="1" applyAlignment="1"/>
    <xf numFmtId="38" fontId="7" fillId="0" borderId="0" xfId="0" applyNumberFormat="1" applyFont="1" applyFill="1" applyAlignment="1"/>
    <xf numFmtId="38" fontId="7" fillId="0" borderId="0" xfId="0" applyNumberFormat="1" applyFont="1" applyFill="1" applyAlignment="1">
      <alignment horizontal="right"/>
    </xf>
    <xf numFmtId="38" fontId="15" fillId="0" borderId="0" xfId="0" applyNumberFormat="1" applyFont="1" applyFill="1" applyAlignment="1">
      <alignment horizontal="right"/>
    </xf>
    <xf numFmtId="41" fontId="8" fillId="0" borderId="0" xfId="0" applyNumberFormat="1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38" fontId="10" fillId="0" borderId="0" xfId="0" applyNumberFormat="1" applyFont="1" applyFill="1" applyAlignment="1">
      <alignment horizontal="center"/>
    </xf>
    <xf numFmtId="0" fontId="17" fillId="0" borderId="0" xfId="0" applyFont="1" applyFill="1" applyAlignment="1"/>
    <xf numFmtId="3" fontId="12" fillId="0" borderId="0" xfId="0" applyNumberFormat="1" applyFont="1" applyFill="1" applyAlignment="1"/>
    <xf numFmtId="10" fontId="18" fillId="0" borderId="0" xfId="0" applyNumberFormat="1" applyFont="1" applyFill="1" applyAlignment="1"/>
    <xf numFmtId="10" fontId="19" fillId="0" borderId="0" xfId="0" applyNumberFormat="1" applyFont="1" applyFill="1" applyAlignment="1">
      <alignment horizontal="right"/>
    </xf>
    <xf numFmtId="10" fontId="16" fillId="0" borderId="0" xfId="0" applyNumberFormat="1" applyFont="1" applyFill="1" applyAlignment="1"/>
    <xf numFmtId="0" fontId="20" fillId="0" borderId="0" xfId="0" applyFont="1" applyFill="1" applyAlignment="1"/>
    <xf numFmtId="176" fontId="7" fillId="0" borderId="0" xfId="0" applyNumberFormat="1" applyFont="1" applyFill="1" applyAlignment="1"/>
    <xf numFmtId="176" fontId="15" fillId="0" borderId="0" xfId="0" applyNumberFormat="1" applyFont="1" applyFill="1" applyAlignment="1">
      <alignment horizontal="right"/>
    </xf>
    <xf numFmtId="0" fontId="8" fillId="3" borderId="0" xfId="0" applyFont="1" applyFill="1" applyAlignment="1"/>
    <xf numFmtId="38" fontId="8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center"/>
    </xf>
    <xf numFmtId="10" fontId="15" fillId="0" borderId="0" xfId="0" applyNumberFormat="1" applyFont="1" applyFill="1" applyAlignment="1">
      <alignment horizontal="right"/>
    </xf>
    <xf numFmtId="0" fontId="21" fillId="0" borderId="3" xfId="0" applyFont="1" applyFill="1" applyBorder="1" applyAlignment="1"/>
    <xf numFmtId="177" fontId="13" fillId="0" borderId="0" xfId="0" applyNumberFormat="1" applyFont="1" applyFill="1" applyAlignment="1"/>
    <xf numFmtId="10" fontId="13" fillId="0" borderId="0" xfId="0" applyNumberFormat="1" applyFont="1" applyFill="1" applyAlignment="1"/>
    <xf numFmtId="0" fontId="4" fillId="2" borderId="0" xfId="0" applyFont="1" applyFill="1" applyAlignment="1"/>
    <xf numFmtId="38" fontId="22" fillId="0" borderId="0" xfId="0" applyNumberFormat="1" applyFont="1" applyFill="1" applyAlignment="1">
      <alignment horizontal="center"/>
    </xf>
    <xf numFmtId="38" fontId="9" fillId="0" borderId="0" xfId="0" applyNumberFormat="1" applyFont="1" applyFill="1" applyAlignment="1"/>
    <xf numFmtId="38" fontId="11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38" fontId="10" fillId="0" borderId="0" xfId="0" applyNumberFormat="1" applyFont="1" applyFill="1" applyAlignment="1"/>
    <xf numFmtId="38" fontId="9" fillId="3" borderId="0" xfId="0" applyNumberFormat="1" applyFont="1" applyFill="1" applyAlignment="1">
      <alignment horizontal="right"/>
    </xf>
    <xf numFmtId="10" fontId="9" fillId="0" borderId="0" xfId="0" applyNumberFormat="1" applyFont="1" applyFill="1" applyAlignment="1">
      <alignment horizontal="right"/>
    </xf>
    <xf numFmtId="10" fontId="18" fillId="0" borderId="0" xfId="0" applyNumberFormat="1" applyFont="1" applyFill="1" applyAlignment="1">
      <alignment horizontal="right"/>
    </xf>
    <xf numFmtId="10" fontId="23" fillId="0" borderId="0" xfId="0" applyNumberFormat="1" applyFont="1" applyFill="1" applyAlignment="1">
      <alignment horizontal="right"/>
    </xf>
    <xf numFmtId="10" fontId="24" fillId="0" borderId="0" xfId="0" applyNumberFormat="1" applyFont="1" applyFill="1" applyAlignment="1"/>
    <xf numFmtId="10" fontId="25" fillId="0" borderId="0" xfId="0" applyNumberFormat="1" applyFont="1" applyFill="1" applyAlignment="1">
      <alignment horizontal="right"/>
    </xf>
    <xf numFmtId="10" fontId="23" fillId="0" borderId="0" xfId="0" applyNumberFormat="1" applyFont="1" applyFill="1" applyAlignment="1"/>
    <xf numFmtId="0" fontId="4" fillId="0" borderId="0" xfId="0" applyFont="1" applyFill="1" applyAlignment="1">
      <alignment horizontal="center" wrapText="1"/>
    </xf>
    <xf numFmtId="3" fontId="26" fillId="0" borderId="0" xfId="0" applyNumberFormat="1" applyFont="1" applyFill="1" applyAlignment="1">
      <alignment horizontal="right"/>
    </xf>
    <xf numFmtId="10" fontId="27" fillId="0" borderId="0" xfId="0" applyNumberFormat="1" applyFont="1" applyFill="1" applyAlignment="1"/>
    <xf numFmtId="38" fontId="15" fillId="0" borderId="0" xfId="0" applyNumberFormat="1" applyFont="1" applyFill="1" applyAlignment="1"/>
    <xf numFmtId="0" fontId="5" fillId="4" borderId="0" xfId="0" applyFont="1" applyFill="1" applyAlignment="1"/>
    <xf numFmtId="10" fontId="9" fillId="0" borderId="0" xfId="0" applyNumberFormat="1" applyFont="1" applyFill="1" applyAlignment="1"/>
    <xf numFmtId="10" fontId="10" fillId="0" borderId="0" xfId="0" applyNumberFormat="1" applyFont="1" applyFill="1" applyAlignment="1"/>
    <xf numFmtId="3" fontId="15" fillId="0" borderId="0" xfId="0" applyNumberFormat="1" applyFont="1" applyFill="1" applyAlignment="1"/>
    <xf numFmtId="41" fontId="22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28" fillId="0" borderId="0" xfId="0" applyFont="1" applyFill="1" applyAlignment="1"/>
    <xf numFmtId="41" fontId="11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38" fontId="10" fillId="3" borderId="0" xfId="0" applyNumberFormat="1" applyFont="1" applyFill="1" applyAlignment="1">
      <alignment horizontal="right"/>
    </xf>
    <xf numFmtId="0" fontId="29" fillId="0" borderId="0" xfId="0" applyFont="1" applyFill="1" applyAlignment="1"/>
    <xf numFmtId="10" fontId="29" fillId="0" borderId="0" xfId="0" applyNumberFormat="1" applyFont="1" applyFill="1" applyAlignment="1"/>
    <xf numFmtId="177" fontId="13" fillId="0" borderId="0" xfId="0" applyNumberFormat="1" applyFont="1" applyFill="1" applyAlignment="1">
      <alignment horizontal="right"/>
    </xf>
    <xf numFmtId="38" fontId="8" fillId="0" borderId="0" xfId="0" applyNumberFormat="1" applyFont="1" applyFill="1" applyAlignment="1"/>
    <xf numFmtId="38" fontId="9" fillId="3" borderId="0" xfId="0" applyNumberFormat="1" applyFont="1" applyFill="1" applyAlignment="1"/>
    <xf numFmtId="38" fontId="30" fillId="3" borderId="0" xfId="0" applyNumberFormat="1" applyFont="1" applyFill="1" applyAlignment="1"/>
    <xf numFmtId="38" fontId="4" fillId="0" borderId="0" xfId="0" applyNumberFormat="1" applyFont="1" applyFill="1" applyAlignment="1"/>
    <xf numFmtId="38" fontId="10" fillId="3" borderId="0" xfId="0" applyNumberFormat="1" applyFont="1" applyFill="1" applyAlignment="1"/>
    <xf numFmtId="0" fontId="4" fillId="0" borderId="0" xfId="0" applyFont="1" applyFill="1" applyAlignment="1">
      <alignment horizontal="right"/>
    </xf>
    <xf numFmtId="10" fontId="31" fillId="0" borderId="0" xfId="0" applyNumberFormat="1" applyFont="1" applyFill="1" applyAlignment="1"/>
    <xf numFmtId="10" fontId="26" fillId="0" borderId="0" xfId="0" applyNumberFormat="1" applyFont="1" applyFill="1" applyAlignment="1"/>
    <xf numFmtId="10" fontId="5" fillId="0" borderId="0" xfId="0" applyNumberFormat="1" applyFont="1" applyFill="1" applyAlignment="1"/>
    <xf numFmtId="177" fontId="31" fillId="0" borderId="0" xfId="0" applyNumberFormat="1" applyFont="1" applyFill="1" applyAlignment="1"/>
    <xf numFmtId="10" fontId="0" fillId="0" borderId="0" xfId="0" applyNumberFormat="1" applyFont="1" applyFill="1" applyAlignment="1"/>
    <xf numFmtId="0" fontId="22" fillId="0" borderId="0" xfId="0" applyFont="1" applyFill="1" applyAlignment="1"/>
    <xf numFmtId="0" fontId="4" fillId="0" borderId="3" xfId="0" applyFont="1" applyFill="1" applyBorder="1" applyAlignment="1"/>
    <xf numFmtId="176" fontId="12" fillId="0" borderId="0" xfId="0" applyNumberFormat="1" applyFont="1" applyFill="1" applyAlignment="1">
      <alignment horizontal="center"/>
    </xf>
    <xf numFmtId="176" fontId="31" fillId="0" borderId="0" xfId="0" applyNumberFormat="1" applyFont="1" applyFill="1" applyAlignment="1"/>
    <xf numFmtId="176" fontId="26" fillId="0" borderId="0" xfId="0" applyNumberFormat="1" applyFont="1" applyFill="1" applyAlignment="1">
      <alignment horizontal="center"/>
    </xf>
    <xf numFmtId="43" fontId="4" fillId="0" borderId="0" xfId="0" applyNumberFormat="1" applyFont="1" applyFill="1" applyAlignment="1"/>
    <xf numFmtId="0" fontId="32" fillId="0" borderId="0" xfId="0" applyFont="1" applyFill="1" applyAlignment="1"/>
    <xf numFmtId="3" fontId="26" fillId="0" borderId="0" xfId="0" applyNumberFormat="1" applyFont="1" applyFill="1" applyAlignment="1"/>
    <xf numFmtId="38" fontId="26" fillId="0" borderId="0" xfId="0" applyNumberFormat="1" applyFont="1" applyFill="1" applyAlignment="1"/>
    <xf numFmtId="0" fontId="22" fillId="4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38" fontId="26" fillId="0" borderId="0" xfId="0" applyNumberFormat="1" applyFont="1" applyFill="1" applyAlignment="1">
      <alignment horizontal="center"/>
    </xf>
    <xf numFmtId="177" fontId="30" fillId="0" borderId="0" xfId="0" applyNumberFormat="1" applyFont="1" applyFill="1" applyAlignment="1"/>
    <xf numFmtId="10" fontId="30" fillId="0" borderId="0" xfId="0" applyNumberFormat="1" applyFont="1" applyFill="1" applyAlignment="1"/>
    <xf numFmtId="0" fontId="4" fillId="0" borderId="3" xfId="0" applyFont="1" applyFill="1" applyBorder="1" applyAlignment="1">
      <alignment horizontal="right"/>
    </xf>
    <xf numFmtId="38" fontId="31" fillId="0" borderId="0" xfId="0" applyNumberFormat="1" applyFont="1" applyFill="1" applyAlignment="1"/>
    <xf numFmtId="0" fontId="11" fillId="4" borderId="0" xfId="0" applyFont="1" applyFill="1" applyAlignment="1">
      <alignment horizontal="center"/>
    </xf>
    <xf numFmtId="0" fontId="31" fillId="0" borderId="0" xfId="0" applyFont="1" applyFill="1" applyAlignment="1"/>
    <xf numFmtId="0" fontId="22" fillId="0" borderId="4" xfId="0" applyFont="1" applyFill="1" applyBorder="1" applyAlignment="1"/>
    <xf numFmtId="0" fontId="22" fillId="0" borderId="0" xfId="0" applyFont="1" applyFill="1" applyAlignment="1">
      <alignment wrapText="1"/>
    </xf>
    <xf numFmtId="41" fontId="22" fillId="0" borderId="0" xfId="0" applyNumberFormat="1" applyFont="1" applyFill="1" applyAlignment="1"/>
    <xf numFmtId="0" fontId="22" fillId="4" borderId="0" xfId="0" applyFont="1" applyFill="1" applyAlignment="1"/>
    <xf numFmtId="0" fontId="4" fillId="0" borderId="0" xfId="0" applyFont="1" applyFill="1" applyAlignment="1">
      <alignment vertical="center"/>
    </xf>
    <xf numFmtId="176" fontId="33" fillId="0" borderId="0" xfId="0" applyNumberFormat="1" applyFont="1" applyFill="1" applyAlignment="1"/>
    <xf numFmtId="0" fontId="34" fillId="0" borderId="0" xfId="0" applyFont="1" applyFill="1" applyAlignment="1"/>
    <xf numFmtId="176" fontId="10" fillId="0" borderId="0" xfId="0" applyNumberFormat="1" applyFont="1" applyFill="1" applyAlignment="1"/>
    <xf numFmtId="3" fontId="15" fillId="0" borderId="0" xfId="0" applyNumberFormat="1" applyFont="1" applyFill="1" applyAlignment="1">
      <alignment horizontal="right"/>
    </xf>
    <xf numFmtId="41" fontId="22" fillId="0" borderId="0" xfId="0" applyNumberFormat="1" applyFont="1" applyFill="1" applyAlignment="1">
      <alignment horizontal="left"/>
    </xf>
    <xf numFmtId="41" fontId="9" fillId="0" borderId="0" xfId="0" applyNumberFormat="1" applyFont="1" applyFill="1" applyAlignment="1"/>
    <xf numFmtId="0" fontId="35" fillId="0" borderId="0" xfId="0" applyFont="1" applyFill="1" applyAlignment="1">
      <alignment horizontal="right"/>
    </xf>
    <xf numFmtId="177" fontId="29" fillId="0" borderId="0" xfId="0" applyNumberFormat="1" applyFont="1" applyFill="1" applyAlignment="1"/>
    <xf numFmtId="176" fontId="9" fillId="0" borderId="0" xfId="0" applyNumberFormat="1" applyFont="1" applyFill="1" applyAlignment="1"/>
    <xf numFmtId="0" fontId="10" fillId="0" borderId="0" xfId="0" applyFont="1" applyFill="1" applyAlignment="1"/>
    <xf numFmtId="0" fontId="36" fillId="0" borderId="0" xfId="0" applyFont="1" applyFill="1" applyAlignment="1"/>
    <xf numFmtId="0" fontId="5" fillId="0" borderId="3" xfId="0" applyFont="1" applyFill="1" applyBorder="1" applyAlignment="1"/>
    <xf numFmtId="41" fontId="11" fillId="0" borderId="0" xfId="0" applyNumberFormat="1" applyFont="1" applyFill="1" applyAlignment="1"/>
    <xf numFmtId="0" fontId="13" fillId="0" borderId="0" xfId="0" applyFont="1" applyFill="1" applyAlignment="1"/>
    <xf numFmtId="41" fontId="37" fillId="0" borderId="0" xfId="0" applyNumberFormat="1" applyFont="1" applyFill="1" applyAlignment="1">
      <alignment horizontal="center"/>
    </xf>
    <xf numFmtId="176" fontId="0" fillId="0" borderId="0" xfId="0" applyNumberFormat="1" applyFont="1" applyFill="1" applyAlignment="1"/>
    <xf numFmtId="41" fontId="10" fillId="0" borderId="0" xfId="0" applyNumberFormat="1" applyFont="1" applyFill="1" applyAlignment="1"/>
    <xf numFmtId="10" fontId="0" fillId="0" borderId="0" xfId="11" applyNumberFormat="1" applyFont="1" applyFill="1" applyAlignment="1"/>
    <xf numFmtId="38" fontId="23" fillId="0" borderId="0" xfId="0" applyNumberFormat="1" applyFont="1" applyFill="1" applyAlignment="1">
      <alignment horizontal="right"/>
    </xf>
    <xf numFmtId="10" fontId="0" fillId="0" borderId="0" xfId="11" applyNumberFormat="1" applyFont="1" applyAlignment="1"/>
    <xf numFmtId="0" fontId="28" fillId="0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ont>
        <color rgb="FF000000"/>
      </font>
      <fill>
        <patternFill patternType="solid">
          <bgColor rgb="FFC6E0B4"/>
        </patternFill>
      </fill>
    </dxf>
    <dxf>
      <fill>
        <patternFill patternType="solid">
          <bgColor rgb="FFBDD7EE"/>
        </patternFill>
      </fill>
    </dxf>
    <dxf>
      <fill>
        <patternFill patternType="solid">
          <bgColor rgb="FFFFE699"/>
        </patternFill>
      </fill>
    </dxf>
    <dxf>
      <fill>
        <patternFill patternType="solid">
          <bgColor rgb="FFF8CBAD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val%20Models%20Competition%20Analysis%202023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S Pickups"/>
      <sheetName val="Sheet6"/>
      <sheetName val="Sheet5"/>
      <sheetName val="Sheet4"/>
      <sheetName val="Sheet3"/>
      <sheetName val="CN MPV 30-40"/>
      <sheetName val="CN Sedan &lt;10"/>
      <sheetName val="CN Sedan 10-15"/>
      <sheetName val="CN Sedan 15-20"/>
      <sheetName val="CN Sedan 20-25"/>
      <sheetName val="CN Sedan 25-35 "/>
      <sheetName val="CN Sedan 40-50"/>
      <sheetName val="CN SUV 10-15"/>
      <sheetName val="CN SUV 15-20"/>
      <sheetName val="CN SUV 20-25"/>
      <sheetName val="CN SUV 25-30"/>
      <sheetName val="CN SUV 30-35"/>
      <sheetName val="CN SUV 40-50"/>
      <sheetName val="Tesla-Demand  FC detail-3M23"/>
      <sheetName val="Tesla-Demand FC sum-3M23"/>
      <sheetName val="Tesla-Demand FC sum-12M22 "/>
      <sheetName val="Tesla-Demand FC sum-9M22"/>
      <sheetName val="BYD-Demand FC detail-12M22 "/>
      <sheetName val="BYD-Demand FC sum-12M22"/>
      <sheetName val="BYD-Demand FC detail-1H22"/>
      <sheetName val="Li-Demand FC detail-3M23"/>
      <sheetName val="Li-Demand FC sum 3M23"/>
      <sheetName val="Li-Demand FC detail-12M22"/>
      <sheetName val="Li-Demand FC sum 12M22"/>
      <sheetName val="XPeng-Demand FC detail-12M22"/>
      <sheetName val="XPeng-Demand FC sum-12M22"/>
      <sheetName val="BYD-Demand FC detail-9M22"/>
      <sheetName val="NIO-Demand FC detail-12M22"/>
      <sheetName val="NIO-Demand FC sum-12M22"/>
      <sheetName val="Est. Record"/>
      <sheetName val="Tesla-Demand FC detail-9M22"/>
      <sheetName val="CN 22 Full"/>
      <sheetName val="BYD-Demand FC sum-9M22 "/>
      <sheetName val="XPeng-Demand FC detail-9M22"/>
      <sheetName val="XPeng-Demand FC sum-9M22"/>
      <sheetName val="Tesla-Demand FC detail-1H22"/>
      <sheetName val="Tesla-Demand FC sum-1H22"/>
      <sheetName val="NIO-Demand FC detail-9M22 "/>
      <sheetName val="NIO-Demand FC sum-9M22 "/>
      <sheetName val="Sheet1"/>
      <sheetName val="Li-Demand FC sum 9M22"/>
      <sheetName val="BYD-Demand FC sum-1H22"/>
      <sheetName val="Variable definition"/>
      <sheetName val="Attribution analysis"/>
      <sheetName val="Electrification Process"/>
      <sheetName val="Sheet2"/>
      <sheetName val="Claim"/>
      <sheetName val="C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43">
          <cell r="D543">
            <v>21336.1631850365</v>
          </cell>
          <cell r="E543">
            <v>10668.0815925183</v>
          </cell>
          <cell r="F543">
            <v>10668.0815925183</v>
          </cell>
          <cell r="G543">
            <v>10668.0815925183</v>
          </cell>
          <cell r="H543">
            <v>10668.0815925183</v>
          </cell>
          <cell r="I543">
            <v>10668.0815925183</v>
          </cell>
          <cell r="J543">
            <v>10668.0815925183</v>
          </cell>
          <cell r="K543">
            <v>10668.0815925183</v>
          </cell>
          <cell r="L543">
            <v>10668.0815925183</v>
          </cell>
        </row>
      </sheetData>
      <sheetData sheetId="23"/>
      <sheetData sheetId="24"/>
      <sheetData sheetId="25"/>
      <sheetData sheetId="26"/>
      <sheetData sheetId="27"/>
      <sheetData sheetId="28"/>
      <sheetData sheetId="29">
        <row r="140">
          <cell r="C140">
            <v>-0.2</v>
          </cell>
          <cell r="D140">
            <v>-0.2</v>
          </cell>
          <cell r="E140">
            <v>0.2</v>
          </cell>
          <cell r="F140">
            <v>0.2</v>
          </cell>
          <cell r="G140">
            <v>0.2</v>
          </cell>
          <cell r="H140">
            <v>0.2</v>
          </cell>
          <cell r="I140">
            <v>0.2</v>
          </cell>
          <cell r="J140">
            <v>0.2</v>
          </cell>
          <cell r="K140">
            <v>0.2</v>
          </cell>
          <cell r="L140">
            <v>0.2</v>
          </cell>
        </row>
        <row r="141">
          <cell r="C141">
            <v>-0.000719999999999987</v>
          </cell>
          <cell r="D141">
            <v>0.00108</v>
          </cell>
          <cell r="E141">
            <v>-0.00166071503884287</v>
          </cell>
          <cell r="F141">
            <v>0.000785396154259777</v>
          </cell>
          <cell r="G141">
            <v>0.00528234055770845</v>
          </cell>
          <cell r="H141">
            <v>0.00632234055770845</v>
          </cell>
          <cell r="I141">
            <v>0.00668234055770846</v>
          </cell>
          <cell r="J141">
            <v>0.00724234055770845</v>
          </cell>
          <cell r="K141">
            <v>0.00724234055770845</v>
          </cell>
          <cell r="L141">
            <v>0.00724234055770846</v>
          </cell>
        </row>
      </sheetData>
      <sheetData sheetId="30"/>
      <sheetData sheetId="31"/>
      <sheetData sheetId="32">
        <row r="108">
          <cell r="D108">
            <v>10668.0815925183</v>
          </cell>
          <cell r="E108">
            <v>10668.0815925183</v>
          </cell>
          <cell r="F108">
            <v>10668.0815925183</v>
          </cell>
          <cell r="G108">
            <v>10668.0815925183</v>
          </cell>
          <cell r="H108">
            <v>10668.0815925183</v>
          </cell>
          <cell r="I108">
            <v>10668.0815925183</v>
          </cell>
          <cell r="J108">
            <v>10668.0815925183</v>
          </cell>
          <cell r="K108">
            <v>10668.0815925183</v>
          </cell>
          <cell r="L108">
            <v>10668.0815925183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05"/>
  <sheetViews>
    <sheetView tabSelected="1" zoomScale="107" zoomScaleNormal="107" workbookViewId="0">
      <pane xSplit="2" topLeftCell="E1" activePane="topRight" state="frozen"/>
      <selection/>
      <selection pane="topRight" activeCell="B6" sqref="B6:B12"/>
    </sheetView>
  </sheetViews>
  <sheetFormatPr defaultColWidth="9.63636363636364" defaultRowHeight="14.25" customHeight="1"/>
  <cols>
    <col min="1" max="2" width="14.9090909090909" style="13" customWidth="1"/>
    <col min="3" max="3" width="12.7272727272727" style="13" customWidth="1"/>
    <col min="4" max="4" width="11.0909090909091" style="13" customWidth="1"/>
    <col min="5" max="5" width="10.9090909090909" style="13" customWidth="1"/>
    <col min="6" max="6" width="11.0909090909091" style="13" customWidth="1"/>
    <col min="7" max="7" width="12" style="13" customWidth="1"/>
    <col min="8" max="8" width="11.6363636363636" style="13" customWidth="1"/>
    <col min="9" max="9" width="12.7272727272727" style="13" customWidth="1"/>
    <col min="10" max="10" width="13.4545454545455" style="13" customWidth="1"/>
    <col min="11" max="12" width="12.1818181818182" style="13" customWidth="1"/>
    <col min="13" max="14" width="14.5454545454545" style="13" customWidth="1"/>
    <col min="15" max="15" width="15.0909090909091" style="13" customWidth="1"/>
    <col min="16" max="17" width="13.8181818181818" style="13" customWidth="1"/>
    <col min="18" max="19" width="15.4545454545455" style="13" customWidth="1"/>
    <col min="20" max="20" width="14" style="13" customWidth="1"/>
    <col min="21" max="21" width="16" style="13" customWidth="1"/>
    <col min="22" max="22" width="12.1818181818182" style="13" customWidth="1"/>
    <col min="23" max="23" width="12.7272727272727" style="13" customWidth="1"/>
    <col min="24" max="24" width="12.1818181818182" style="13" customWidth="1"/>
    <col min="25" max="25" width="11.0909090909091" style="13" customWidth="1"/>
    <col min="26" max="16384" width="9.63636363636364" style="13"/>
  </cols>
  <sheetData>
    <row r="1" s="1" customFormat="1" ht="23.75" spans="1:1">
      <c r="A1" s="1" t="s">
        <v>0</v>
      </c>
    </row>
    <row r="2" s="2" customFormat="1" ht="20.5" outlineLevel="1" spans="1:1">
      <c r="A2" s="2" t="s">
        <v>1</v>
      </c>
    </row>
    <row r="3" s="3" customFormat="1" ht="15.5" outlineLevel="1" spans="1:1">
      <c r="A3" s="3" t="s">
        <v>2</v>
      </c>
    </row>
    <row r="4" s="4" customFormat="1" ht="46.5" customHeight="1" outlineLevel="1" spans="1: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</row>
    <row r="5" s="5" customFormat="1" ht="14" outlineLevel="1" spans="1:25">
      <c r="A5" s="14" t="s">
        <v>0</v>
      </c>
      <c r="B5" s="15" t="s">
        <v>2</v>
      </c>
      <c r="C5" s="5">
        <v>2021.1</v>
      </c>
      <c r="D5" s="16" t="s">
        <v>28</v>
      </c>
      <c r="E5" s="17" t="s">
        <v>29</v>
      </c>
      <c r="F5" s="17" t="s">
        <v>30</v>
      </c>
      <c r="G5" s="18" t="s">
        <v>31</v>
      </c>
      <c r="H5" s="19">
        <v>42777</v>
      </c>
      <c r="I5" s="52" t="s">
        <v>32</v>
      </c>
      <c r="J5" s="19">
        <v>0</v>
      </c>
      <c r="K5" s="19">
        <v>169853</v>
      </c>
      <c r="L5" s="19">
        <v>133666</v>
      </c>
      <c r="M5" s="19">
        <v>286000</v>
      </c>
      <c r="N5" s="19">
        <v>315314</v>
      </c>
      <c r="O5" s="32">
        <v>0</v>
      </c>
      <c r="P5" s="32">
        <v>0.0810742928163747</v>
      </c>
      <c r="Q5" s="32">
        <v>0.102268693076094</v>
      </c>
      <c r="R5" s="66">
        <v>0.10764349797154</v>
      </c>
      <c r="S5" s="32">
        <v>0.114473814143151</v>
      </c>
      <c r="T5" s="67">
        <f>P5-O5</f>
        <v>0.0810742928163747</v>
      </c>
      <c r="U5" s="67">
        <f>R5-P5</f>
        <v>0.0265692051551649</v>
      </c>
      <c r="V5" s="67">
        <f>S5-O5</f>
        <v>0.114473814143151</v>
      </c>
      <c r="W5" s="68">
        <f>SUM(Y6:Y12)</f>
        <v>-0.0517976264984518</v>
      </c>
      <c r="X5" s="68">
        <f>Y5+W5</f>
        <v>0.00543928057312364</v>
      </c>
      <c r="Y5" s="54">
        <f>V5/(12+12)*12</f>
        <v>0.0572369070715754</v>
      </c>
    </row>
    <row r="6" ht="14" outlineLevel="1" spans="1:25">
      <c r="A6" s="20" t="s">
        <v>33</v>
      </c>
      <c r="B6" s="16" t="s">
        <v>34</v>
      </c>
      <c r="D6" s="16" t="s">
        <v>28</v>
      </c>
      <c r="E6" s="21" t="s">
        <v>29</v>
      </c>
      <c r="F6" s="21" t="s">
        <v>30</v>
      </c>
      <c r="G6" s="22" t="s">
        <v>35</v>
      </c>
      <c r="H6" s="23">
        <v>46410.24</v>
      </c>
      <c r="I6" s="21" t="s">
        <v>36</v>
      </c>
      <c r="J6" s="23">
        <v>135694</v>
      </c>
      <c r="K6" s="23">
        <v>128961</v>
      </c>
      <c r="L6" s="23">
        <v>70493</v>
      </c>
      <c r="M6" s="23">
        <v>106418</v>
      </c>
      <c r="N6" s="23">
        <v>114863</v>
      </c>
      <c r="O6" s="34">
        <v>0.0637313564623729</v>
      </c>
      <c r="P6" s="34">
        <v>0.052242890286325</v>
      </c>
      <c r="Q6" s="34">
        <v>0.0539346354421702</v>
      </c>
      <c r="R6" s="34">
        <v>0.0427499614351811</v>
      </c>
      <c r="S6" s="34">
        <v>0.0417006720726791</v>
      </c>
      <c r="T6" s="67">
        <f>P6-O6</f>
        <v>-0.0114884661760479</v>
      </c>
      <c r="U6" s="67">
        <f>R6-P6</f>
        <v>-0.00949292885114382</v>
      </c>
      <c r="V6" s="67">
        <f>S6-O6</f>
        <v>-0.0220306843896938</v>
      </c>
      <c r="W6" s="32"/>
      <c r="X6" s="32"/>
      <c r="Y6" s="54">
        <f>V6/(12+12)*12</f>
        <v>-0.0110153421948469</v>
      </c>
    </row>
    <row r="7" ht="14" outlineLevel="1" spans="1:25">
      <c r="A7" s="20" t="s">
        <v>37</v>
      </c>
      <c r="B7" s="16" t="s">
        <v>38</v>
      </c>
      <c r="D7" s="16" t="s">
        <v>28</v>
      </c>
      <c r="E7" s="21" t="s">
        <v>29</v>
      </c>
      <c r="F7" s="21" t="s">
        <v>30</v>
      </c>
      <c r="G7" s="22" t="s">
        <v>35</v>
      </c>
      <c r="H7" s="23">
        <v>47817.0504</v>
      </c>
      <c r="I7" s="21" t="s">
        <v>36</v>
      </c>
      <c r="J7" s="23">
        <v>62091</v>
      </c>
      <c r="K7" s="23">
        <v>52977</v>
      </c>
      <c r="L7" s="23">
        <v>20545</v>
      </c>
      <c r="M7" s="23">
        <v>44676</v>
      </c>
      <c r="N7" s="23">
        <v>46196</v>
      </c>
      <c r="O7" s="34">
        <v>0.0291622595995784</v>
      </c>
      <c r="P7" s="34">
        <v>0.0214613068966481</v>
      </c>
      <c r="Q7" s="34">
        <v>0.0157191080697287</v>
      </c>
      <c r="R7" s="34">
        <v>0.0188505817146754</v>
      </c>
      <c r="S7" s="34">
        <v>0.0167713210265228</v>
      </c>
      <c r="T7" s="67">
        <f>P7-O7</f>
        <v>-0.00770095270293031</v>
      </c>
      <c r="U7" s="67">
        <f>R7-P7</f>
        <v>-0.00261072518197275</v>
      </c>
      <c r="V7" s="67">
        <f>S7-O7</f>
        <v>-0.0123909385730557</v>
      </c>
      <c r="W7" s="32"/>
      <c r="X7" s="32"/>
      <c r="Y7" s="54">
        <f>V7/(12+12)*12</f>
        <v>-0.00619546928652783</v>
      </c>
    </row>
    <row r="8" ht="14" outlineLevel="1" spans="1:25">
      <c r="A8" s="20" t="s">
        <v>39</v>
      </c>
      <c r="B8" s="16" t="s">
        <v>40</v>
      </c>
      <c r="D8" s="16" t="s">
        <v>28</v>
      </c>
      <c r="E8" s="21" t="s">
        <v>29</v>
      </c>
      <c r="F8" s="21" t="s">
        <v>30</v>
      </c>
      <c r="G8" s="22" t="s">
        <v>35</v>
      </c>
      <c r="H8" s="23">
        <v>47860.56</v>
      </c>
      <c r="I8" s="21" t="s">
        <v>36</v>
      </c>
      <c r="J8" s="23">
        <v>160900</v>
      </c>
      <c r="K8" s="23">
        <v>140049</v>
      </c>
      <c r="L8" s="23">
        <v>73053</v>
      </c>
      <c r="M8" s="23">
        <v>137565</v>
      </c>
      <c r="N8" s="23">
        <v>148797</v>
      </c>
      <c r="O8" s="34">
        <v>0.0755698502129482</v>
      </c>
      <c r="P8" s="34">
        <v>0.0567347069401565</v>
      </c>
      <c r="Q8" s="34">
        <v>0.0558933074625404</v>
      </c>
      <c r="R8" s="34">
        <v>0.057743569991953</v>
      </c>
      <c r="S8" s="34">
        <v>0.0540203103035654</v>
      </c>
      <c r="T8" s="67">
        <f>P8-O8</f>
        <v>-0.0188351432727917</v>
      </c>
      <c r="U8" s="67">
        <f>R8-P8</f>
        <v>0.00100886305179646</v>
      </c>
      <c r="V8" s="67">
        <f>S8-O8</f>
        <v>-0.0215495399093828</v>
      </c>
      <c r="W8" s="32"/>
      <c r="X8" s="32"/>
      <c r="Y8" s="54">
        <f>V8/(12+12)*12</f>
        <v>-0.0107747699546914</v>
      </c>
    </row>
    <row r="9" ht="14" outlineLevel="1" spans="1:25">
      <c r="A9" s="16" t="s">
        <v>41</v>
      </c>
      <c r="B9" s="16" t="s">
        <v>42</v>
      </c>
      <c r="D9" s="16" t="s">
        <v>28</v>
      </c>
      <c r="E9" s="21" t="s">
        <v>29</v>
      </c>
      <c r="F9" s="21" t="s">
        <v>30</v>
      </c>
      <c r="G9" s="21" t="s">
        <v>35</v>
      </c>
      <c r="H9" s="23">
        <v>43211.4073155611</v>
      </c>
      <c r="I9" s="53" t="s">
        <v>32</v>
      </c>
      <c r="J9" s="23">
        <v>16716</v>
      </c>
      <c r="K9" s="23">
        <v>6052</v>
      </c>
      <c r="L9" s="23">
        <v>2113</v>
      </c>
      <c r="M9" s="23">
        <v>3249</v>
      </c>
      <c r="N9" s="23">
        <v>3423</v>
      </c>
      <c r="O9" s="34">
        <v>0.00785099823592071</v>
      </c>
      <c r="P9" s="34">
        <v>0.0022256530209371</v>
      </c>
      <c r="Q9" s="34">
        <v>0.00175821418078543</v>
      </c>
      <c r="R9" s="34">
        <v>0.000781121808822648</v>
      </c>
      <c r="S9" s="34">
        <v>0.00124271001545128</v>
      </c>
      <c r="T9" s="67">
        <f>P9-O9</f>
        <v>-0.00562534521498361</v>
      </c>
      <c r="U9" s="67">
        <f>R9-P9</f>
        <v>-0.00144453121211445</v>
      </c>
      <c r="V9" s="67">
        <f>S9-O9</f>
        <v>-0.00660828822046943</v>
      </c>
      <c r="W9" s="32"/>
      <c r="X9" s="32"/>
      <c r="Y9" s="54">
        <f>V9/(12+12)*12</f>
        <v>-0.00330414411023471</v>
      </c>
    </row>
    <row r="10" s="6" customFormat="1" ht="14" outlineLevel="1" spans="1:25">
      <c r="A10" s="24" t="s">
        <v>43</v>
      </c>
      <c r="B10" s="25" t="s">
        <v>44</v>
      </c>
      <c r="C10" s="13"/>
      <c r="D10" s="16" t="s">
        <v>45</v>
      </c>
      <c r="E10" s="26" t="s">
        <v>29</v>
      </c>
      <c r="F10" s="26" t="s">
        <v>30</v>
      </c>
      <c r="G10" s="26" t="s">
        <v>35</v>
      </c>
      <c r="H10" s="23">
        <v>40123</v>
      </c>
      <c r="I10" s="53" t="s">
        <v>46</v>
      </c>
      <c r="J10" s="29">
        <v>95304</v>
      </c>
      <c r="K10" s="29">
        <v>107733</v>
      </c>
      <c r="L10" s="29">
        <v>48360</v>
      </c>
      <c r="M10" s="29">
        <v>80457</v>
      </c>
      <c r="N10" s="29">
        <v>81489</v>
      </c>
      <c r="O10" s="34">
        <v>0.044761398413268</v>
      </c>
      <c r="P10" s="34">
        <v>0.0436432975800176</v>
      </c>
      <c r="Q10" s="34">
        <v>0.0370005386348056</v>
      </c>
      <c r="R10" s="34">
        <v>0.0321890963255834</v>
      </c>
      <c r="S10" s="34">
        <v>0.0295843401837889</v>
      </c>
      <c r="T10" s="67">
        <f>P10-O10</f>
        <v>-0.00111810083325041</v>
      </c>
      <c r="U10" s="67">
        <f>R10-P10</f>
        <v>-0.0114542012544342</v>
      </c>
      <c r="V10" s="67">
        <f>S10-O10</f>
        <v>-0.0151770582294791</v>
      </c>
      <c r="W10" s="32"/>
      <c r="X10" s="32"/>
      <c r="Y10" s="54">
        <f>V10/(12+12)*12</f>
        <v>-0.00758852911473953</v>
      </c>
    </row>
    <row r="11" ht="14" outlineLevel="1" spans="1:25">
      <c r="A11" s="20" t="s">
        <v>47</v>
      </c>
      <c r="B11" s="16" t="s">
        <v>48</v>
      </c>
      <c r="D11" s="16" t="s">
        <v>28</v>
      </c>
      <c r="E11" s="22" t="s">
        <v>29</v>
      </c>
      <c r="F11" s="22" t="s">
        <v>30</v>
      </c>
      <c r="G11" s="21" t="s">
        <v>35</v>
      </c>
      <c r="H11" s="23">
        <f>300000/6.5</f>
        <v>46153.8461538462</v>
      </c>
      <c r="I11" s="53" t="s">
        <v>36</v>
      </c>
      <c r="J11" s="29">
        <v>60937</v>
      </c>
      <c r="K11" s="29">
        <v>58837</v>
      </c>
      <c r="L11" s="29">
        <v>27052</v>
      </c>
      <c r="M11" s="29">
        <v>54649</v>
      </c>
      <c r="N11" s="29">
        <v>61027</v>
      </c>
      <c r="O11" s="47">
        <v>0.0286202607981754</v>
      </c>
      <c r="P11" s="47">
        <v>0.0238352287573491</v>
      </c>
      <c r="Q11" s="47">
        <v>0.0206976544902556</v>
      </c>
      <c r="R11" s="34">
        <v>0.0235628586896608</v>
      </c>
      <c r="S11" s="34">
        <v>0.0221556716660664</v>
      </c>
      <c r="T11" s="67">
        <f>P11-O11</f>
        <v>-0.0047850320408263</v>
      </c>
      <c r="U11" s="67">
        <f>R11-P11</f>
        <v>-0.000272370067688335</v>
      </c>
      <c r="V11" s="67">
        <f>S11-O11</f>
        <v>-0.006464589132109</v>
      </c>
      <c r="W11" s="36"/>
      <c r="X11" s="36"/>
      <c r="Y11" s="54">
        <f>V11/(12+12)*12</f>
        <v>-0.0032322945660545</v>
      </c>
    </row>
    <row r="12" ht="14" outlineLevel="1" spans="1:25">
      <c r="A12" s="16" t="s">
        <v>49</v>
      </c>
      <c r="B12" s="16" t="s">
        <v>50</v>
      </c>
      <c r="D12" s="16" t="s">
        <v>28</v>
      </c>
      <c r="E12" s="22" t="s">
        <v>29</v>
      </c>
      <c r="F12" s="22" t="s">
        <v>30</v>
      </c>
      <c r="G12" s="21" t="s">
        <v>35</v>
      </c>
      <c r="H12" s="23">
        <v>48270</v>
      </c>
      <c r="I12" s="53" t="s">
        <v>51</v>
      </c>
      <c r="J12" s="29">
        <v>144648</v>
      </c>
      <c r="K12" s="29">
        <v>133190</v>
      </c>
      <c r="L12" s="29">
        <v>71674</v>
      </c>
      <c r="M12" s="29">
        <v>122499</v>
      </c>
      <c r="N12" s="29">
        <v>133764</v>
      </c>
      <c r="O12" s="47">
        <v>0.0679367787048013</v>
      </c>
      <c r="P12" s="47">
        <v>0.0539560840660015</v>
      </c>
      <c r="Q12" s="47">
        <v>0.0548382259328175</v>
      </c>
      <c r="R12" s="34">
        <v>0.05010036678336</v>
      </c>
      <c r="S12" s="34">
        <v>0.0485626241620874</v>
      </c>
      <c r="T12" s="67">
        <f>P12-O12</f>
        <v>-0.0139806946387998</v>
      </c>
      <c r="U12" s="67">
        <f>R12-P12</f>
        <v>-0.00385571728264147</v>
      </c>
      <c r="V12" s="67">
        <f>S12-O12</f>
        <v>-0.0193741545427139</v>
      </c>
      <c r="W12" s="36"/>
      <c r="X12" s="36"/>
      <c r="Y12" s="54">
        <f>V12/(12+12)*12</f>
        <v>-0.00968707727135696</v>
      </c>
    </row>
    <row r="13" ht="14" outlineLevel="1" spans="1:24">
      <c r="A13" s="13" t="s">
        <v>52</v>
      </c>
      <c r="J13" s="39">
        <f>SUM(J5:J12)</f>
        <v>676290</v>
      </c>
      <c r="K13" s="39">
        <f>SUM(K5:K12)</f>
        <v>797652</v>
      </c>
      <c r="L13" s="39">
        <f>SUM(L5:L12)</f>
        <v>446956</v>
      </c>
      <c r="M13" s="39">
        <f>SUM(M5:M12)</f>
        <v>835513</v>
      </c>
      <c r="N13" s="39"/>
      <c r="O13" s="54">
        <f>SUM(O5:O12)</f>
        <v>0.317632902427065</v>
      </c>
      <c r="P13" s="54">
        <f>SUM(P5:P12)</f>
        <v>0.33517346036381</v>
      </c>
      <c r="Q13" s="54">
        <f>SUM(Q5:Q12)</f>
        <v>0.342110377289198</v>
      </c>
      <c r="R13" s="54">
        <f>SUM(R5:R12)</f>
        <v>0.333621054720776</v>
      </c>
      <c r="S13" s="54">
        <f>SUM(S5:S12)</f>
        <v>0.328511463573312</v>
      </c>
      <c r="T13" s="54">
        <f>SUM(T5:T12)</f>
        <v>0.0175405579367446</v>
      </c>
      <c r="U13" s="54">
        <f>SUM(U5:U12)</f>
        <v>-0.00155240564303363</v>
      </c>
      <c r="V13" s="54">
        <f>SUM(V5:V12)</f>
        <v>0.0108785611462473</v>
      </c>
      <c r="W13" s="54"/>
      <c r="X13" s="54"/>
    </row>
    <row r="14" ht="14" outlineLevel="1" spans="1:1">
      <c r="A14" s="5" t="s">
        <v>53</v>
      </c>
    </row>
    <row r="15" s="7" customFormat="1" ht="14" outlineLevel="1" spans="1:16">
      <c r="A15" s="7" t="s">
        <v>54</v>
      </c>
      <c r="B15" s="27">
        <v>2020</v>
      </c>
      <c r="C15" s="27">
        <v>2021</v>
      </c>
      <c r="D15" s="27">
        <v>2022</v>
      </c>
      <c r="E15" s="27" t="s">
        <v>55</v>
      </c>
      <c r="F15" s="27" t="s">
        <v>56</v>
      </c>
      <c r="G15" s="27" t="s">
        <v>57</v>
      </c>
      <c r="H15" s="27" t="s">
        <v>58</v>
      </c>
      <c r="I15" s="27" t="s">
        <v>59</v>
      </c>
      <c r="J15" s="27" t="s">
        <v>60</v>
      </c>
      <c r="K15" s="27" t="s">
        <v>61</v>
      </c>
      <c r="L15" s="27" t="s">
        <v>62</v>
      </c>
      <c r="M15" s="55" t="s">
        <v>63</v>
      </c>
      <c r="N15" s="55"/>
      <c r="O15" s="7" t="s">
        <v>64</v>
      </c>
      <c r="P15" s="7" t="s">
        <v>65</v>
      </c>
    </row>
    <row r="16" ht="14" outlineLevel="1" spans="1:16">
      <c r="A16" s="13" t="s">
        <v>66</v>
      </c>
      <c r="B16" s="28">
        <v>2129156</v>
      </c>
      <c r="C16" s="28">
        <v>2468489</v>
      </c>
      <c r="D16" s="29">
        <v>2754464</v>
      </c>
      <c r="E16" s="30">
        <f>AVERAGE(C16:D16)</f>
        <v>2611476.5</v>
      </c>
      <c r="F16" s="30">
        <f>AVERAGE(D16:E16)</f>
        <v>2682970.25</v>
      </c>
      <c r="G16" s="30">
        <f>AVERAGE(E16:F16)</f>
        <v>2647223.375</v>
      </c>
      <c r="H16" s="30">
        <f>AVERAGE(F16:G16)</f>
        <v>2665096.8125</v>
      </c>
      <c r="I16" s="30">
        <f>AVERAGE(G16:H16)</f>
        <v>2656160.09375</v>
      </c>
      <c r="J16" s="30">
        <f>AVERAGE(H16:I16)</f>
        <v>2660628.453125</v>
      </c>
      <c r="K16" s="30">
        <f>AVERAGE(I16:J16)</f>
        <v>2658394.2734375</v>
      </c>
      <c r="L16" s="30">
        <f>AVERAGE(J16:K16)</f>
        <v>2659511.36328125</v>
      </c>
      <c r="P16" s="13" t="s">
        <v>67</v>
      </c>
    </row>
    <row r="17" ht="14" outlineLevel="1" spans="1:1">
      <c r="A17" s="5" t="s">
        <v>68</v>
      </c>
    </row>
    <row r="18" ht="14" outlineLevel="1" spans="1:17">
      <c r="A18" s="16" t="s">
        <v>2</v>
      </c>
      <c r="B18" s="31">
        <v>0</v>
      </c>
      <c r="C18" s="31">
        <v>0.0810742928163747</v>
      </c>
      <c r="D18" s="32">
        <v>0.114473814143151</v>
      </c>
      <c r="E18" s="33">
        <f>D18-E26</f>
        <v>0.164210006546819</v>
      </c>
      <c r="F18" s="33">
        <f>E18-F26</f>
        <v>0.212703488935036</v>
      </c>
      <c r="G18" s="33">
        <f>F18-G26</f>
        <v>0.259381884490193</v>
      </c>
      <c r="H18" s="33">
        <f>G18-H26</f>
        <v>0.298549424610004</v>
      </c>
      <c r="I18" s="33">
        <f>H18-I26</f>
        <v>0.322243566402107</v>
      </c>
      <c r="J18" s="33">
        <f>I18-J26</f>
        <v>0.325749559303573</v>
      </c>
      <c r="K18" s="33">
        <f>J18-K26</f>
        <v>0.328511463573312</v>
      </c>
      <c r="L18" s="33">
        <f>K18-L26</f>
        <v>0.328511463573312</v>
      </c>
      <c r="O18" s="56"/>
      <c r="P18" s="54">
        <f>-SUM(P19:P25)+X5</f>
        <v>0.0572369070715754</v>
      </c>
      <c r="Q18" s="13" t="s">
        <v>69</v>
      </c>
    </row>
    <row r="19" ht="14" outlineLevel="1" spans="1:16">
      <c r="A19" s="16" t="s">
        <v>34</v>
      </c>
      <c r="B19" s="31">
        <v>0.0637313564623729</v>
      </c>
      <c r="C19" s="31">
        <v>0.052242890286325</v>
      </c>
      <c r="D19" s="34">
        <v>0.0417006720726791</v>
      </c>
      <c r="E19" s="33">
        <f>MAX(0,D19+$P$19)</f>
        <v>0.0306853298778322</v>
      </c>
      <c r="F19" s="33">
        <f>MAX(0,E19+$P$19)</f>
        <v>0.0196699876829853</v>
      </c>
      <c r="G19" s="33">
        <f>MAX(0,F19+$P$19)</f>
        <v>0.00865464548813847</v>
      </c>
      <c r="H19" s="33">
        <f>MAX(0,G19+$P$19)</f>
        <v>0</v>
      </c>
      <c r="I19" s="33">
        <f>MAX(0,H19+$P$19)</f>
        <v>0</v>
      </c>
      <c r="J19" s="33">
        <f>MAX(0,I19+$P$19)</f>
        <v>0</v>
      </c>
      <c r="K19" s="33">
        <f>MAX(0,J19+$P$19)</f>
        <v>0</v>
      </c>
      <c r="L19" s="33">
        <f>MAX(0,K19+$P$19)</f>
        <v>0</v>
      </c>
      <c r="O19" s="56">
        <v>1</v>
      </c>
      <c r="P19" s="57">
        <f>Y6*O19</f>
        <v>-0.0110153421948469</v>
      </c>
    </row>
    <row r="20" ht="14" outlineLevel="1" spans="1:16">
      <c r="A20" s="16" t="s">
        <v>38</v>
      </c>
      <c r="B20" s="31">
        <v>0.0291622595995784</v>
      </c>
      <c r="C20" s="31">
        <v>0.0214613068966481</v>
      </c>
      <c r="D20" s="34">
        <v>0.0167713210265228</v>
      </c>
      <c r="E20" s="33">
        <f>MAX(0,D20+$P$20)</f>
        <v>0.0105758517399949</v>
      </c>
      <c r="F20" s="33">
        <f>MAX(0,E20+$P$20)</f>
        <v>0.00438038245346711</v>
      </c>
      <c r="G20" s="33">
        <f>MAX(0,F20+$P$20)</f>
        <v>0</v>
      </c>
      <c r="H20" s="33">
        <f>MAX(0,G20+$P$20)</f>
        <v>0</v>
      </c>
      <c r="I20" s="33">
        <f>MAX(0,H20+$P$20)</f>
        <v>0</v>
      </c>
      <c r="J20" s="33">
        <f>MAX(0,I20+$P$20)</f>
        <v>0</v>
      </c>
      <c r="K20" s="33">
        <f>MAX(0,J20+$P$20)</f>
        <v>0</v>
      </c>
      <c r="L20" s="33">
        <f>MAX(0,K20+$P$20)</f>
        <v>0</v>
      </c>
      <c r="O20" s="56">
        <v>1</v>
      </c>
      <c r="P20" s="57">
        <f>Y7*O20</f>
        <v>-0.00619546928652783</v>
      </c>
    </row>
    <row r="21" ht="14" outlineLevel="1" spans="1:16">
      <c r="A21" s="16" t="s">
        <v>40</v>
      </c>
      <c r="B21" s="31">
        <v>0.0755698502129482</v>
      </c>
      <c r="C21" s="31">
        <v>0.0567347069401565</v>
      </c>
      <c r="D21" s="34">
        <v>0.0540203103035654</v>
      </c>
      <c r="E21" s="33">
        <f>MAX(0,D21+$P$21)</f>
        <v>0.043245540348874</v>
      </c>
      <c r="F21" s="33">
        <f>MAX(0,E21+$P$21)</f>
        <v>0.0324707703941826</v>
      </c>
      <c r="G21" s="33">
        <f>MAX(0,F21+$P$21)</f>
        <v>0.0216960004394912</v>
      </c>
      <c r="H21" s="33">
        <f>MAX(0,G21+$P$21)</f>
        <v>0.0109212304847998</v>
      </c>
      <c r="I21" s="33">
        <f>MAX(0,H21+$P$21)</f>
        <v>0.000146460530108382</v>
      </c>
      <c r="J21" s="33">
        <f>MAX(0,I21+$P$21)</f>
        <v>0</v>
      </c>
      <c r="K21" s="33">
        <f>MAX(0,J21+$P$21)</f>
        <v>0</v>
      </c>
      <c r="L21" s="33">
        <f>MAX(0,K21+$P$21)</f>
        <v>0</v>
      </c>
      <c r="O21" s="56">
        <v>1</v>
      </c>
      <c r="P21" s="57">
        <f>Y8*O21</f>
        <v>-0.0107747699546914</v>
      </c>
    </row>
    <row r="22" ht="14" outlineLevel="1" spans="1:16">
      <c r="A22" s="16" t="s">
        <v>42</v>
      </c>
      <c r="B22" s="31">
        <v>0.00785099823592071</v>
      </c>
      <c r="C22" s="31">
        <v>0.0022256530209371</v>
      </c>
      <c r="D22" s="34">
        <v>0.00124271001545128</v>
      </c>
      <c r="E22" s="33">
        <f>MAX(0,D22+$P$22)</f>
        <v>0</v>
      </c>
      <c r="F22" s="33">
        <f>MAX(0,E22+$P$22)</f>
        <v>0</v>
      </c>
      <c r="G22" s="33">
        <f>MAX(0,F22+$P$22)</f>
        <v>0</v>
      </c>
      <c r="H22" s="33">
        <f>MAX(0,G22+$P$22)</f>
        <v>0</v>
      </c>
      <c r="I22" s="33">
        <f>MAX(0,H22+$P$22)</f>
        <v>0</v>
      </c>
      <c r="J22" s="33">
        <f>MAX(0,I22+$P$22)</f>
        <v>0</v>
      </c>
      <c r="K22" s="33">
        <f>MAX(0,J22+$P$22)</f>
        <v>0</v>
      </c>
      <c r="L22" s="33">
        <f>MAX(0,K22+$P$22)</f>
        <v>0</v>
      </c>
      <c r="O22" s="56">
        <v>1</v>
      </c>
      <c r="P22" s="57">
        <f>Y9*O22</f>
        <v>-0.00330414411023471</v>
      </c>
    </row>
    <row r="23" ht="14" outlineLevel="1" spans="1:16">
      <c r="A23" s="25" t="s">
        <v>44</v>
      </c>
      <c r="B23" s="31">
        <v>0.044761398413268</v>
      </c>
      <c r="C23" s="31">
        <v>0.0436432975800176</v>
      </c>
      <c r="D23" s="34">
        <v>0.0295843401837889</v>
      </c>
      <c r="E23" s="33">
        <f>MAX(0,D23+$P$23)</f>
        <v>0.0219958110690494</v>
      </c>
      <c r="F23" s="33">
        <f>MAX(0,E23+$P$23)</f>
        <v>0.0144072819543099</v>
      </c>
      <c r="G23" s="33">
        <f>MAX(0,F23+$P$23)</f>
        <v>0.00681875283957036</v>
      </c>
      <c r="H23" s="33">
        <f>MAX(0,G23+$P$23)</f>
        <v>0</v>
      </c>
      <c r="I23" s="33">
        <f>MAX(0,H23+$P$23)</f>
        <v>0</v>
      </c>
      <c r="J23" s="33">
        <f>MAX(0,I23+$P$23)</f>
        <v>0</v>
      </c>
      <c r="K23" s="33">
        <f>MAX(0,J23+$P$23)</f>
        <v>0</v>
      </c>
      <c r="L23" s="33">
        <f>MAX(0,K23+$P$23)</f>
        <v>0</v>
      </c>
      <c r="O23" s="56">
        <v>1</v>
      </c>
      <c r="P23" s="57">
        <f>Y10*O23</f>
        <v>-0.00758852911473953</v>
      </c>
    </row>
    <row r="24" ht="14" outlineLevel="1" spans="1:16">
      <c r="A24" s="16" t="s">
        <v>48</v>
      </c>
      <c r="B24" s="35">
        <v>0.0286202607981754</v>
      </c>
      <c r="C24" s="35">
        <v>0.0238352287573491</v>
      </c>
      <c r="D24" s="34">
        <v>0.0221556716660664</v>
      </c>
      <c r="E24" s="33">
        <f>MAX(0,D24+$P$24)</f>
        <v>0.0189233771000119</v>
      </c>
      <c r="F24" s="33">
        <f>MAX(0,E24+$P$24)</f>
        <v>0.0156910825339574</v>
      </c>
      <c r="G24" s="33">
        <f>MAX(0,F24+$P$24)</f>
        <v>0.0124587879679029</v>
      </c>
      <c r="H24" s="33">
        <f>MAX(0,G24+$P$24)</f>
        <v>0.00922649340184844</v>
      </c>
      <c r="I24" s="33">
        <f>MAX(0,H24+$P$24)</f>
        <v>0.00599419883579394</v>
      </c>
      <c r="J24" s="33">
        <f>MAX(0,I24+$P$24)</f>
        <v>0.00276190426973944</v>
      </c>
      <c r="K24" s="33">
        <f>MAX(0,J24+$P$24)</f>
        <v>0</v>
      </c>
      <c r="L24" s="33">
        <f>MAX(0,K24+$P$24)</f>
        <v>0</v>
      </c>
      <c r="O24" s="56">
        <v>1</v>
      </c>
      <c r="P24" s="57">
        <f>Y11*O24</f>
        <v>-0.0032322945660545</v>
      </c>
    </row>
    <row r="25" ht="14" outlineLevel="1" spans="1:16">
      <c r="A25" s="16" t="s">
        <v>50</v>
      </c>
      <c r="B25" s="35">
        <v>0.0679367787048013</v>
      </c>
      <c r="C25" s="35">
        <v>0.0539560840660015</v>
      </c>
      <c r="D25" s="34">
        <v>0.0485626241620874</v>
      </c>
      <c r="E25" s="33">
        <f>MAX(0,D25+$P$25)</f>
        <v>0.0388755468907305</v>
      </c>
      <c r="F25" s="33">
        <f>MAX(0,E25+$P$25)</f>
        <v>0.0291884696193735</v>
      </c>
      <c r="G25" s="33">
        <f>MAX(0,F25+$P$25)</f>
        <v>0.0195013923480166</v>
      </c>
      <c r="H25" s="33">
        <f>MAX(0,G25+$P$25)</f>
        <v>0.0098143150766596</v>
      </c>
      <c r="I25" s="33">
        <f>MAX(0,H25+$P$25)</f>
        <v>0.000127237805302646</v>
      </c>
      <c r="J25" s="33">
        <f>MAX(0,I25+$P$25)</f>
        <v>0</v>
      </c>
      <c r="K25" s="33">
        <f>MAX(0,J25+$P$25)</f>
        <v>0</v>
      </c>
      <c r="L25" s="33">
        <f>MAX(0,K25+$P$25)</f>
        <v>0</v>
      </c>
      <c r="O25" s="56">
        <v>1</v>
      </c>
      <c r="P25" s="57">
        <f>Y12*O25</f>
        <v>-0.00968707727135696</v>
      </c>
    </row>
    <row r="26" ht="14" outlineLevel="1" spans="1:16">
      <c r="A26" s="15" t="s">
        <v>70</v>
      </c>
      <c r="B26" s="36"/>
      <c r="C26" s="33">
        <f>SUM(C19:C25)-SUM(B19:B25)</f>
        <v>-0.06353373487963</v>
      </c>
      <c r="D26" s="33">
        <f>SUM(D19:D25)-SUM(C19:C25)</f>
        <v>-0.0400615181172736</v>
      </c>
      <c r="E26" s="33">
        <f>SUM(E19:E25)-SUM(D19:D25)</f>
        <v>-0.0497361924036684</v>
      </c>
      <c r="F26" s="33">
        <f>SUM(F19:F25)-SUM(E19:E25)</f>
        <v>-0.0484934823882171</v>
      </c>
      <c r="G26" s="33">
        <f>SUM(G19:G25)-SUM(F19:F25)</f>
        <v>-0.0466783955551564</v>
      </c>
      <c r="H26" s="33">
        <f>SUM(H19:H25)-SUM(G19:G25)</f>
        <v>-0.0391675401198117</v>
      </c>
      <c r="I26" s="33">
        <f>SUM(I19:I25)-SUM(H19:H25)</f>
        <v>-0.0236941417921029</v>
      </c>
      <c r="J26" s="33">
        <f>SUM(J19:J25)-SUM(I19:I25)</f>
        <v>-0.00350599290146553</v>
      </c>
      <c r="K26" s="33">
        <f>SUM(K19:K25)-SUM(J19:J25)</f>
        <v>-0.00276190426973944</v>
      </c>
      <c r="L26" s="33">
        <f>SUM(L19:L25)-SUM(K19:K25)</f>
        <v>0</v>
      </c>
      <c r="O26" s="56"/>
      <c r="P26" s="57"/>
    </row>
    <row r="27" ht="14" outlineLevel="1" spans="1:16">
      <c r="A27" s="15" t="s">
        <v>71</v>
      </c>
      <c r="B27" s="36"/>
      <c r="C27" s="37">
        <f>(B18-C26)*C16</f>
        <v>156832.325679283</v>
      </c>
      <c r="D27" s="37">
        <f>(C18-D26)*D16</f>
        <v>333664.230327541</v>
      </c>
      <c r="E27" s="33"/>
      <c r="F27" s="33"/>
      <c r="G27" s="33"/>
      <c r="H27" s="33"/>
      <c r="I27" s="33"/>
      <c r="J27" s="33"/>
      <c r="K27" s="33"/>
      <c r="L27" s="33"/>
      <c r="O27" s="56"/>
      <c r="P27" s="57"/>
    </row>
    <row r="28" ht="14" outlineLevel="1" spans="1:12">
      <c r="A28" s="5" t="s">
        <v>45</v>
      </c>
      <c r="D28" s="33"/>
      <c r="E28" s="33"/>
      <c r="F28" s="33"/>
      <c r="G28" s="33"/>
      <c r="H28" s="33"/>
      <c r="I28" s="33"/>
      <c r="J28" s="33"/>
      <c r="K28" s="33"/>
      <c r="L28" s="33"/>
    </row>
    <row r="29" ht="14" outlineLevel="1" spans="1:13">
      <c r="A29" s="16" t="s">
        <v>2</v>
      </c>
      <c r="B29" s="37">
        <f>J5</f>
        <v>0</v>
      </c>
      <c r="C29" s="37">
        <f>K5</f>
        <v>169853</v>
      </c>
      <c r="D29" s="38">
        <v>315314</v>
      </c>
      <c r="E29" s="39">
        <f>E18*E16</f>
        <v>428830.573161865</v>
      </c>
      <c r="F29" s="39">
        <f>F18*F16</f>
        <v>570677.132883907</v>
      </c>
      <c r="G29" s="39">
        <f>G18*G16</f>
        <v>686641.787673988</v>
      </c>
      <c r="H29" s="39">
        <f>H18*H16</f>
        <v>795663.119901832</v>
      </c>
      <c r="I29" s="39">
        <f>I18*I16</f>
        <v>855930.501544956</v>
      </c>
      <c r="J29" s="39">
        <f>J18*J16</f>
        <v>866698.546076015</v>
      </c>
      <c r="K29" s="39">
        <f>K18*K16</f>
        <v>873312.993521865</v>
      </c>
      <c r="L29" s="39">
        <f>L18*L16</f>
        <v>873679.970341378</v>
      </c>
      <c r="M29" s="13" t="s">
        <v>72</v>
      </c>
    </row>
    <row r="30" customHeight="1" outlineLevel="1"/>
    <row r="31" s="3" customFormat="1" ht="14.75" outlineLevel="1" spans="1:1">
      <c r="A31" s="3" t="s">
        <v>73</v>
      </c>
    </row>
    <row r="32" s="8" customFormat="1" ht="42" outlineLevel="1" spans="1:25">
      <c r="A32" s="8" t="s">
        <v>3</v>
      </c>
      <c r="B32" s="8" t="s">
        <v>4</v>
      </c>
      <c r="C32" s="4" t="s">
        <v>5</v>
      </c>
      <c r="D32" s="8" t="s">
        <v>6</v>
      </c>
      <c r="E32" s="8" t="s">
        <v>7</v>
      </c>
      <c r="F32" s="8" t="s">
        <v>8</v>
      </c>
      <c r="G32" s="8" t="s">
        <v>9</v>
      </c>
      <c r="H32" s="8" t="s">
        <v>74</v>
      </c>
      <c r="I32" s="8" t="s">
        <v>11</v>
      </c>
      <c r="J32" s="58" t="s">
        <v>12</v>
      </c>
      <c r="K32" s="58" t="s">
        <v>13</v>
      </c>
      <c r="L32" s="58" t="s">
        <v>75</v>
      </c>
      <c r="M32" s="4" t="s">
        <v>76</v>
      </c>
      <c r="N32" s="4" t="s">
        <v>16</v>
      </c>
      <c r="O32" s="58" t="s">
        <v>17</v>
      </c>
      <c r="P32" s="58" t="s">
        <v>18</v>
      </c>
      <c r="Q32" s="58" t="s">
        <v>19</v>
      </c>
      <c r="R32" s="58" t="s">
        <v>20</v>
      </c>
      <c r="S32" s="58" t="s">
        <v>77</v>
      </c>
      <c r="T32" s="58" t="s">
        <v>22</v>
      </c>
      <c r="U32" s="58" t="s">
        <v>23</v>
      </c>
      <c r="V32" s="58" t="s">
        <v>24</v>
      </c>
      <c r="W32" s="4" t="s">
        <v>25</v>
      </c>
      <c r="X32" s="4" t="s">
        <v>26</v>
      </c>
      <c r="Y32" s="4" t="s">
        <v>27</v>
      </c>
    </row>
    <row r="33" s="5" customFormat="1" ht="14.5" outlineLevel="1" spans="1:25">
      <c r="A33" s="14" t="s">
        <v>0</v>
      </c>
      <c r="B33" s="15" t="s">
        <v>73</v>
      </c>
      <c r="C33" s="5">
        <v>2019.2</v>
      </c>
      <c r="D33" s="16" t="s">
        <v>28</v>
      </c>
      <c r="E33" s="40" t="s">
        <v>78</v>
      </c>
      <c r="F33" s="40" t="s">
        <v>30</v>
      </c>
      <c r="G33" s="18" t="s">
        <v>31</v>
      </c>
      <c r="H33" s="41">
        <v>41177</v>
      </c>
      <c r="I33" s="59" t="s">
        <v>46</v>
      </c>
      <c r="J33" s="60">
        <v>139937</v>
      </c>
      <c r="K33" s="60">
        <v>150890</v>
      </c>
      <c r="L33" s="60">
        <v>63909</v>
      </c>
      <c r="M33" s="60">
        <v>99039</v>
      </c>
      <c r="N33" s="60">
        <v>124456</v>
      </c>
      <c r="O33" s="36">
        <v>0.0618232550859735</v>
      </c>
      <c r="P33" s="36">
        <v>0.0623601298532229</v>
      </c>
      <c r="Q33" s="69">
        <v>0.0541015289360092</v>
      </c>
      <c r="R33" s="45">
        <v>0.0530254925413409</v>
      </c>
      <c r="S33" s="45">
        <v>0.0503824754354261</v>
      </c>
      <c r="T33" s="70">
        <f>P33-O33</f>
        <v>0.000536874767249423</v>
      </c>
      <c r="U33" s="70">
        <f>S33-P33</f>
        <v>-0.0119776544177968</v>
      </c>
      <c r="V33" s="70">
        <f>S33-O33</f>
        <v>-0.0114407796505474</v>
      </c>
      <c r="W33" s="68">
        <f>AVERAGE(Y34:Y37)</f>
        <v>-0.00291245558233504</v>
      </c>
      <c r="X33" s="68">
        <f>Y33+W33</f>
        <v>-0.00888155800870757</v>
      </c>
      <c r="Y33" s="54">
        <f>V33/(12+11)*12</f>
        <v>-0.00596910242637253</v>
      </c>
    </row>
    <row r="34" ht="14" outlineLevel="1" spans="1:25">
      <c r="A34" s="24" t="s">
        <v>79</v>
      </c>
      <c r="B34" s="25" t="s">
        <v>80</v>
      </c>
      <c r="D34" s="16" t="s">
        <v>28</v>
      </c>
      <c r="E34" s="22" t="s">
        <v>78</v>
      </c>
      <c r="F34" s="26" t="s">
        <v>30</v>
      </c>
      <c r="G34" s="26" t="s">
        <v>35</v>
      </c>
      <c r="H34" s="42">
        <v>47720</v>
      </c>
      <c r="I34" s="61" t="s">
        <v>36</v>
      </c>
      <c r="J34" s="62">
        <v>153132</v>
      </c>
      <c r="K34" s="62">
        <v>126021</v>
      </c>
      <c r="L34" s="62">
        <v>65791</v>
      </c>
      <c r="M34" s="62">
        <v>100978</v>
      </c>
      <c r="N34" s="62">
        <v>143128</v>
      </c>
      <c r="O34" s="47">
        <v>0.068872308818086</v>
      </c>
      <c r="P34" s="47">
        <v>0.0520822183327788</v>
      </c>
      <c r="Q34" s="47">
        <v>0.05569471733604</v>
      </c>
      <c r="R34" s="47">
        <v>0.0540636333751302</v>
      </c>
      <c r="S34" s="46">
        <v>0.0579413041084533</v>
      </c>
      <c r="T34" s="70">
        <f>P34-O34</f>
        <v>-0.0167900904853072</v>
      </c>
      <c r="U34" s="70">
        <f>S34-P34</f>
        <v>0.00585908577567448</v>
      </c>
      <c r="V34" s="70">
        <f>S34-O34</f>
        <v>-0.0109310047096327</v>
      </c>
      <c r="W34" s="36"/>
      <c r="X34" s="36"/>
      <c r="Y34" s="54">
        <f>V34/(12+11)*12</f>
        <v>-0.00570313289198228</v>
      </c>
    </row>
    <row r="35" ht="14" outlineLevel="1" spans="1:25">
      <c r="A35" s="16" t="s">
        <v>81</v>
      </c>
      <c r="B35" s="16" t="s">
        <v>82</v>
      </c>
      <c r="D35" s="16" t="s">
        <v>28</v>
      </c>
      <c r="E35" s="22" t="s">
        <v>78</v>
      </c>
      <c r="F35" s="21" t="s">
        <v>30</v>
      </c>
      <c r="G35" s="21" t="s">
        <v>35</v>
      </c>
      <c r="H35" s="42">
        <v>37182.2690638562</v>
      </c>
      <c r="I35" s="61" t="s">
        <v>83</v>
      </c>
      <c r="J35" s="63">
        <v>26348</v>
      </c>
      <c r="K35" s="63">
        <v>26129</v>
      </c>
      <c r="L35" s="63">
        <v>13244</v>
      </c>
      <c r="M35" s="63">
        <v>19156</v>
      </c>
      <c r="N35" s="63">
        <v>26238</v>
      </c>
      <c r="O35" s="47">
        <v>0.0118502180650611</v>
      </c>
      <c r="P35" s="47">
        <v>0.0107986469145395</v>
      </c>
      <c r="Q35" s="47">
        <v>0.00964547748669027</v>
      </c>
      <c r="R35" s="47">
        <v>0.00950656454087833</v>
      </c>
      <c r="S35" s="47">
        <v>0.0106217088004974</v>
      </c>
      <c r="T35" s="70">
        <f>P35-O35</f>
        <v>-0.00105157115052159</v>
      </c>
      <c r="U35" s="70">
        <f>S35-P35</f>
        <v>-0.000176938114042024</v>
      </c>
      <c r="V35" s="70">
        <f>S35-O35</f>
        <v>-0.00122850926456362</v>
      </c>
      <c r="W35" s="36"/>
      <c r="X35" s="36"/>
      <c r="Y35" s="54">
        <f>V35/(12+11)*12</f>
        <v>-0.000640961355424496</v>
      </c>
    </row>
    <row r="36" ht="14" outlineLevel="1" spans="1:25">
      <c r="A36" s="16" t="s">
        <v>33</v>
      </c>
      <c r="B36" s="16" t="s">
        <v>84</v>
      </c>
      <c r="D36" s="16" t="s">
        <v>28</v>
      </c>
      <c r="E36" s="22" t="s">
        <v>78</v>
      </c>
      <c r="F36" s="21" t="s">
        <v>30</v>
      </c>
      <c r="G36" s="21" t="s">
        <v>35</v>
      </c>
      <c r="H36" s="42">
        <v>36252</v>
      </c>
      <c r="I36" s="61" t="s">
        <v>83</v>
      </c>
      <c r="J36" s="63">
        <v>156164</v>
      </c>
      <c r="K36" s="63">
        <v>173000</v>
      </c>
      <c r="L36" s="63">
        <v>82143</v>
      </c>
      <c r="M36" s="63">
        <v>113511</v>
      </c>
      <c r="N36" s="63">
        <v>150403</v>
      </c>
      <c r="O36" s="47">
        <v>0.0702359744159783</v>
      </c>
      <c r="P36" s="47">
        <v>0.0714977961734214</v>
      </c>
      <c r="Q36" s="47">
        <v>0.0695373404589432</v>
      </c>
      <c r="R36" s="47">
        <v>0.0607738030862605</v>
      </c>
      <c r="S36" s="47">
        <v>0.0608863811540978</v>
      </c>
      <c r="T36" s="70">
        <f>P36-O36</f>
        <v>0.00126182175744315</v>
      </c>
      <c r="U36" s="70">
        <f>S36-P36</f>
        <v>-0.0106114150193237</v>
      </c>
      <c r="V36" s="70">
        <f>S36-O36</f>
        <v>-0.00934959326188051</v>
      </c>
      <c r="W36" s="36"/>
      <c r="X36" s="36"/>
      <c r="Y36" s="54">
        <f>V36/(12+11)*12</f>
        <v>-0.00487804865837244</v>
      </c>
    </row>
    <row r="37" ht="14.5" outlineLevel="1" spans="1:25">
      <c r="A37" s="43" t="s">
        <v>85</v>
      </c>
      <c r="B37" s="43" t="s">
        <v>86</v>
      </c>
      <c r="D37" s="43" t="s">
        <v>28</v>
      </c>
      <c r="E37" s="22" t="s">
        <v>78</v>
      </c>
      <c r="F37" s="21" t="s">
        <v>30</v>
      </c>
      <c r="G37" s="21" t="s">
        <v>35</v>
      </c>
      <c r="H37" s="42">
        <v>45645</v>
      </c>
      <c r="I37" s="61" t="s">
        <v>87</v>
      </c>
      <c r="J37" s="63">
        <v>130906</v>
      </c>
      <c r="K37" s="63">
        <v>130263</v>
      </c>
      <c r="L37" s="63">
        <v>73603</v>
      </c>
      <c r="M37" s="63">
        <v>101577</v>
      </c>
      <c r="N37" s="63">
        <v>143412</v>
      </c>
      <c r="O37" s="47">
        <v>0.0588759923343283</v>
      </c>
      <c r="P37" s="47">
        <v>0.0538353608262335</v>
      </c>
      <c r="Q37" s="47">
        <v>0.0623078883142763</v>
      </c>
      <c r="R37" s="47">
        <v>0.0543843380473529</v>
      </c>
      <c r="S37" s="47">
        <v>0.0580562734391699</v>
      </c>
      <c r="T37" s="70">
        <f>P37-O37</f>
        <v>-0.00504063150809485</v>
      </c>
      <c r="U37" s="70">
        <f>S37-P37</f>
        <v>0.0042209126129364</v>
      </c>
      <c r="V37" s="70">
        <f>S37-O37</f>
        <v>-0.000819718895158458</v>
      </c>
      <c r="W37" s="36"/>
      <c r="X37" s="36"/>
      <c r="Y37" s="54">
        <f>V37/(12+11)*12</f>
        <v>-0.000427679423560935</v>
      </c>
    </row>
    <row r="38" ht="14" outlineLevel="1" spans="1:24">
      <c r="A38" s="5" t="s">
        <v>52</v>
      </c>
      <c r="J38" s="39">
        <f>SUM(J33:J37)</f>
        <v>606487</v>
      </c>
      <c r="K38" s="39">
        <f>SUM(K33:K37)</f>
        <v>606303</v>
      </c>
      <c r="L38" s="39">
        <f>SUM(L33:L37)</f>
        <v>298690</v>
      </c>
      <c r="M38" s="39">
        <f>SUM(M33:M37)</f>
        <v>434261</v>
      </c>
      <c r="N38" s="39">
        <f>SUM(N33:N37)</f>
        <v>587637</v>
      </c>
      <c r="O38" s="54">
        <f>SUM(O33:O37)</f>
        <v>0.271657748719427</v>
      </c>
      <c r="P38" s="54">
        <f>SUM(P33:P37)</f>
        <v>0.250574152100196</v>
      </c>
      <c r="Q38" s="54">
        <f>SUM(Q33:Q37)</f>
        <v>0.251286952531959</v>
      </c>
      <c r="R38" s="54">
        <f>SUM(R33:R37)</f>
        <v>0.231753831590963</v>
      </c>
      <c r="S38" s="54">
        <f>SUM(S33:S37)</f>
        <v>0.237888142937645</v>
      </c>
      <c r="T38" s="70"/>
      <c r="U38" s="70"/>
      <c r="V38" s="70"/>
      <c r="W38" s="54"/>
      <c r="X38" s="54"/>
    </row>
    <row r="39" ht="14" outlineLevel="1" spans="1:10">
      <c r="A39" s="5" t="s">
        <v>53</v>
      </c>
      <c r="J39" s="13">
        <f>K33/J33-1</f>
        <v>0.0782709362070075</v>
      </c>
    </row>
    <row r="40" s="7" customFormat="1" ht="14" outlineLevel="1" spans="1:16">
      <c r="A40" s="7" t="s">
        <v>88</v>
      </c>
      <c r="B40" s="27">
        <v>2020</v>
      </c>
      <c r="C40" s="27">
        <v>2021</v>
      </c>
      <c r="D40" s="27">
        <v>2022</v>
      </c>
      <c r="E40" s="27" t="s">
        <v>55</v>
      </c>
      <c r="F40" s="27" t="s">
        <v>56</v>
      </c>
      <c r="G40" s="27" t="s">
        <v>57</v>
      </c>
      <c r="H40" s="27" t="s">
        <v>58</v>
      </c>
      <c r="I40" s="27" t="s">
        <v>59</v>
      </c>
      <c r="J40" s="27" t="s">
        <v>60</v>
      </c>
      <c r="K40" s="27" t="s">
        <v>61</v>
      </c>
      <c r="L40" s="27" t="s">
        <v>62</v>
      </c>
      <c r="M40" s="7" t="s">
        <v>63</v>
      </c>
      <c r="O40" s="7" t="s">
        <v>64</v>
      </c>
      <c r="P40" s="7" t="s">
        <v>65</v>
      </c>
    </row>
    <row r="41" ht="14" outlineLevel="1" spans="1:16">
      <c r="A41" s="13" t="s">
        <v>66</v>
      </c>
      <c r="B41" s="44">
        <v>2223419</v>
      </c>
      <c r="C41" s="44">
        <v>2419655</v>
      </c>
      <c r="D41" s="29">
        <v>2470224</v>
      </c>
      <c r="E41" s="30">
        <f>AVERAGE(C41:D41)</f>
        <v>2444939.5</v>
      </c>
      <c r="F41" s="30">
        <f>AVERAGE(D41:E41)</f>
        <v>2457581.75</v>
      </c>
      <c r="G41" s="30">
        <f>AVERAGE(E41:F41)</f>
        <v>2451260.625</v>
      </c>
      <c r="H41" s="30">
        <f>AVERAGE(F41:G41)</f>
        <v>2454421.1875</v>
      </c>
      <c r="I41" s="30">
        <f>AVERAGE(G41:H41)</f>
        <v>2452840.90625</v>
      </c>
      <c r="J41" s="30">
        <f>AVERAGE(H41:I41)</f>
        <v>2453631.046875</v>
      </c>
      <c r="K41" s="30">
        <f>AVERAGE(I41:J41)</f>
        <v>2453235.9765625</v>
      </c>
      <c r="L41" s="30">
        <f>AVERAGE(J41:K41)</f>
        <v>2453433.51171875</v>
      </c>
      <c r="P41" s="13" t="s">
        <v>67</v>
      </c>
    </row>
    <row r="42" ht="14" outlineLevel="1" spans="1:1">
      <c r="A42" s="5" t="s">
        <v>68</v>
      </c>
    </row>
    <row r="43" ht="14" outlineLevel="1" spans="1:18">
      <c r="A43" s="15" t="s">
        <v>73</v>
      </c>
      <c r="B43" s="35">
        <f>O33</f>
        <v>0.0618232550859735</v>
      </c>
      <c r="C43" s="35">
        <f>P33</f>
        <v>0.0623601298532229</v>
      </c>
      <c r="D43" s="45">
        <v>0.0503824754354261</v>
      </c>
      <c r="E43" s="33">
        <f>D43-E54</f>
        <v>0.0535824205582949</v>
      </c>
      <c r="F43" s="33">
        <f>E43-F54</f>
        <v>0.0564195720330814</v>
      </c>
      <c r="G43" s="33">
        <f>F43-G54</f>
        <v>0.058484844880039</v>
      </c>
      <c r="H43" s="33">
        <f>G43-H54</f>
        <v>0.0603879927550889</v>
      </c>
      <c r="I43" s="33">
        <f>H43-I54</f>
        <v>0.0622255400600074</v>
      </c>
      <c r="J43" s="33">
        <f>I43-J54</f>
        <v>0.0639725552184316</v>
      </c>
      <c r="K43" s="33">
        <f>J43-K54</f>
        <v>0.0657181700089885</v>
      </c>
      <c r="L43" s="33">
        <f>K43-L54</f>
        <v>0.0674644850398535</v>
      </c>
      <c r="P43" s="54">
        <f>-SUM(P44:P47)+X33</f>
        <v>0.00276826432063258</v>
      </c>
      <c r="Q43" s="54"/>
      <c r="R43" s="13" t="s">
        <v>69</v>
      </c>
    </row>
    <row r="44" ht="14" outlineLevel="1" spans="1:17">
      <c r="A44" s="25" t="s">
        <v>80</v>
      </c>
      <c r="B44" s="35">
        <f>O34</f>
        <v>0.068872308818086</v>
      </c>
      <c r="C44" s="35">
        <f>P34</f>
        <v>0.0520822183327788</v>
      </c>
      <c r="D44" s="46">
        <v>0.0579413041084533</v>
      </c>
      <c r="E44" s="33">
        <f>MAX(0,D44+$P44)</f>
        <v>0.052238171216471</v>
      </c>
      <c r="F44" s="33">
        <f>MAX(0,E44+$P44)</f>
        <v>0.0465350383244888</v>
      </c>
      <c r="G44" s="33">
        <f>MAX(0,F44+$P44)</f>
        <v>0.0408319054325065</v>
      </c>
      <c r="H44" s="33">
        <f>MAX(0,G44+$P44)</f>
        <v>0.0351287725405242</v>
      </c>
      <c r="I44" s="33">
        <f>MAX(0,H44+$P44)</f>
        <v>0.0294256396485419</v>
      </c>
      <c r="J44" s="33">
        <f>MAX(0,I44+$P44)</f>
        <v>0.0237225067565596</v>
      </c>
      <c r="K44" s="33">
        <f>MAX(0,J44+$P44)</f>
        <v>0.0180193738645774</v>
      </c>
      <c r="L44" s="33">
        <f>MAX(0,K44+$P44)</f>
        <v>0.0123162409725951</v>
      </c>
      <c r="O44" s="56">
        <v>1</v>
      </c>
      <c r="P44" s="57">
        <f>Y34*O44</f>
        <v>-0.00570313289198228</v>
      </c>
      <c r="Q44" s="57"/>
    </row>
    <row r="45" ht="14" outlineLevel="1" spans="1:17">
      <c r="A45" s="16" t="s">
        <v>82</v>
      </c>
      <c r="B45" s="35">
        <f>O35</f>
        <v>0.0118502180650611</v>
      </c>
      <c r="C45" s="35">
        <f>P35</f>
        <v>0.0107986469145395</v>
      </c>
      <c r="D45" s="47">
        <v>0.0106217088004974</v>
      </c>
      <c r="E45" s="33">
        <f>MAX(0,D45+$P45)</f>
        <v>0.00998074744507295</v>
      </c>
      <c r="F45" s="33">
        <f>MAX(0,E45+$P45)</f>
        <v>0.00933978608964845</v>
      </c>
      <c r="G45" s="33">
        <f>MAX(0,F45+$P45)</f>
        <v>0.00869882473422396</v>
      </c>
      <c r="H45" s="33">
        <f>MAX(0,G45+$P45)</f>
        <v>0.00805786337879946</v>
      </c>
      <c r="I45" s="33">
        <f>MAX(0,H45+$P45)</f>
        <v>0.00741690202337496</v>
      </c>
      <c r="J45" s="33">
        <f>MAX(0,I45+$P45)</f>
        <v>0.00677594066795047</v>
      </c>
      <c r="K45" s="33">
        <f>MAX(0,J45+$P45)</f>
        <v>0.00613497931252597</v>
      </c>
      <c r="L45" s="33">
        <f>MAX(0,K45+$P45)</f>
        <v>0.00549401795710148</v>
      </c>
      <c r="O45" s="56">
        <v>1</v>
      </c>
      <c r="P45" s="57">
        <f>Y35*O45</f>
        <v>-0.000640961355424496</v>
      </c>
      <c r="Q45" s="57"/>
    </row>
    <row r="46" ht="14" outlineLevel="1" spans="1:17">
      <c r="A46" s="16" t="s">
        <v>84</v>
      </c>
      <c r="B46" s="35">
        <f>O36</f>
        <v>0.0702359744159783</v>
      </c>
      <c r="C46" s="35">
        <f>P36</f>
        <v>0.0714977961734214</v>
      </c>
      <c r="D46" s="47">
        <v>0.0608863811540978</v>
      </c>
      <c r="E46" s="33">
        <f>MAX(0,D46+$P46)</f>
        <v>0.0560083324957253</v>
      </c>
      <c r="F46" s="33">
        <f>MAX(0,E46+$P46)</f>
        <v>0.0511302838373529</v>
      </c>
      <c r="G46" s="33">
        <f>MAX(0,F46+$P46)</f>
        <v>0.0462522351789805</v>
      </c>
      <c r="H46" s="33">
        <f>MAX(0,G46+$P46)</f>
        <v>0.041374186520608</v>
      </c>
      <c r="I46" s="33">
        <f>MAX(0,H46+$P46)</f>
        <v>0.0364961378622356</v>
      </c>
      <c r="J46" s="33">
        <f>MAX(0,I46+$P46)</f>
        <v>0.0316180892038632</v>
      </c>
      <c r="K46" s="33">
        <f>MAX(0,J46+$P46)</f>
        <v>0.0267400405454907</v>
      </c>
      <c r="L46" s="33">
        <f>MAX(0,K46+$P46)</f>
        <v>0.0218619918871183</v>
      </c>
      <c r="O46" s="56">
        <v>1</v>
      </c>
      <c r="P46" s="57">
        <f>Y36*O46</f>
        <v>-0.00487804865837244</v>
      </c>
      <c r="Q46" s="57"/>
    </row>
    <row r="47" ht="14.5" outlineLevel="1" spans="1:17">
      <c r="A47" s="43" t="s">
        <v>86</v>
      </c>
      <c r="B47" s="35">
        <f>O37</f>
        <v>0.0588759923343283</v>
      </c>
      <c r="C47" s="35">
        <f>P37</f>
        <v>0.0538353608262335</v>
      </c>
      <c r="D47" s="47">
        <v>0.0580562734391699</v>
      </c>
      <c r="E47" s="33">
        <f>MAX(0,D47+$P47)</f>
        <v>0.0576285940156089</v>
      </c>
      <c r="F47" s="33">
        <f>MAX(0,E47+$P47)</f>
        <v>0.057200914592048</v>
      </c>
      <c r="G47" s="33">
        <f>MAX(0,F47+$P47)</f>
        <v>0.0567732351684871</v>
      </c>
      <c r="H47" s="33">
        <f>MAX(0,G47+$P47)</f>
        <v>0.0563455557449261</v>
      </c>
      <c r="I47" s="33">
        <f>MAX(0,H47+$P47)</f>
        <v>0.0559178763213652</v>
      </c>
      <c r="J47" s="33">
        <f>MAX(0,I47+$P47)</f>
        <v>0.0554901968978043</v>
      </c>
      <c r="K47" s="33">
        <f>MAX(0,J47+$P47)</f>
        <v>0.0550625174742433</v>
      </c>
      <c r="L47" s="33">
        <f>MAX(0,K47+$P47)</f>
        <v>0.0546348380506824</v>
      </c>
      <c r="O47" s="56">
        <v>1</v>
      </c>
      <c r="P47" s="57">
        <f>Y37*O47</f>
        <v>-0.000427679423560935</v>
      </c>
      <c r="Q47" s="57"/>
    </row>
    <row r="48" ht="14" outlineLevel="1" spans="1:17">
      <c r="A48" s="48" t="s">
        <v>89</v>
      </c>
      <c r="B48" s="35"/>
      <c r="C48" s="35">
        <f>'[1]XPeng-Demand FC detail-12M22'!C141/('[1]XPeng-Demand FC detail-12M22'!C140+1)*'[1]XPeng-Demand FC detail-12M22'!C140</f>
        <v>0.000179999999999997</v>
      </c>
      <c r="D48" s="35">
        <f>'[1]XPeng-Demand FC detail-12M22'!D141/('[1]XPeng-Demand FC detail-12M22'!D140+1)*'[1]XPeng-Demand FC detail-12M22'!D140</f>
        <v>-0.000269999999999999</v>
      </c>
      <c r="E48" s="35">
        <f>'[1]XPeng-Demand FC detail-12M22'!E141/('[1]XPeng-Demand FC detail-12M22'!E140+1)*'[1]XPeng-Demand FC detail-12M22'!E140</f>
        <v>-0.000276785839807146</v>
      </c>
      <c r="F48" s="35">
        <f>'[1]XPeng-Demand FC detail-12M22'!F141/('[1]XPeng-Demand FC detail-12M22'!F140+1)*'[1]XPeng-Demand FC detail-12M22'!F140</f>
        <v>0.000130899359043296</v>
      </c>
      <c r="G48" s="35">
        <f>'[1]XPeng-Demand FC detail-12M22'!G141/('[1]XPeng-Demand FC detail-12M22'!G140+1)*'[1]XPeng-Demand FC detail-12M22'!G140</f>
        <v>0.000880390092951409</v>
      </c>
      <c r="H48" s="35">
        <f>'[1]XPeng-Demand FC detail-12M22'!H141/('[1]XPeng-Demand FC detail-12M22'!H140+1)*'[1]XPeng-Demand FC detail-12M22'!H140</f>
        <v>0.00105372342628474</v>
      </c>
      <c r="I48" s="35">
        <f>'[1]XPeng-Demand FC detail-12M22'!I141/('[1]XPeng-Demand FC detail-12M22'!I140+1)*'[1]XPeng-Demand FC detail-12M22'!I140</f>
        <v>0.00111372342628474</v>
      </c>
      <c r="J48" s="35">
        <f>'[1]XPeng-Demand FC detail-12M22'!J141/('[1]XPeng-Demand FC detail-12M22'!J140+1)*'[1]XPeng-Demand FC detail-12M22'!J140</f>
        <v>0.00120705675961807</v>
      </c>
      <c r="K48" s="35">
        <f>'[1]XPeng-Demand FC detail-12M22'!K141/('[1]XPeng-Demand FC detail-12M22'!K140+1)*'[1]XPeng-Demand FC detail-12M22'!K140</f>
        <v>0.00120705675961807</v>
      </c>
      <c r="L48" s="35">
        <f>'[1]XPeng-Demand FC detail-12M22'!L141/('[1]XPeng-Demand FC detail-12M22'!L140+1)*'[1]XPeng-Demand FC detail-12M22'!L140</f>
        <v>0.00120705675961808</v>
      </c>
      <c r="M48" s="13" t="s">
        <v>90</v>
      </c>
      <c r="O48" s="56"/>
      <c r="P48" s="57"/>
      <c r="Q48" s="57"/>
    </row>
    <row r="49" ht="14" outlineLevel="1" spans="1:17">
      <c r="A49" s="48" t="s">
        <v>91</v>
      </c>
      <c r="B49" s="35"/>
      <c r="C49" s="35"/>
      <c r="D49" s="37">
        <f>'[1]BYD-Demand FC detail-12M22 '!D543</f>
        <v>21336.1631850365</v>
      </c>
      <c r="E49" s="49">
        <f>'[1]BYD-Demand FC detail-12M22 '!E543</f>
        <v>10668.0815925183</v>
      </c>
      <c r="F49" s="49">
        <f>'[1]BYD-Demand FC detail-12M22 '!F543</f>
        <v>10668.0815925183</v>
      </c>
      <c r="G49" s="49">
        <f>'[1]BYD-Demand FC detail-12M22 '!G543</f>
        <v>10668.0815925183</v>
      </c>
      <c r="H49" s="49">
        <f>'[1]BYD-Demand FC detail-12M22 '!H543</f>
        <v>10668.0815925183</v>
      </c>
      <c r="I49" s="49">
        <f>'[1]BYD-Demand FC detail-12M22 '!I543</f>
        <v>10668.0815925183</v>
      </c>
      <c r="J49" s="49">
        <f>'[1]BYD-Demand FC detail-12M22 '!J543</f>
        <v>10668.0815925183</v>
      </c>
      <c r="K49" s="49">
        <f>'[1]BYD-Demand FC detail-12M22 '!K543</f>
        <v>10668.0815925183</v>
      </c>
      <c r="L49" s="49">
        <f>'[1]BYD-Demand FC detail-12M22 '!L543</f>
        <v>10668.0815925183</v>
      </c>
      <c r="O49" s="56"/>
      <c r="P49" s="57"/>
      <c r="Q49" s="57"/>
    </row>
    <row r="50" ht="14" outlineLevel="1" spans="1:17">
      <c r="A50" s="48" t="s">
        <v>92</v>
      </c>
      <c r="B50" s="35"/>
      <c r="C50" s="35"/>
      <c r="D50" s="33">
        <f>D49/D41</f>
        <v>0.00863733944170106</v>
      </c>
      <c r="E50" s="33">
        <f>E49/E41</f>
        <v>0.00436333152313923</v>
      </c>
      <c r="F50" s="33">
        <f>F49/F41</f>
        <v>0.0043408857477552</v>
      </c>
      <c r="G50" s="33">
        <f>G49/G41</f>
        <v>0.00435207969471556</v>
      </c>
      <c r="H50" s="33">
        <f>H49/H41</f>
        <v>0.00434647551400274</v>
      </c>
      <c r="I50" s="33">
        <f>I49/I41</f>
        <v>0.00434927579906846</v>
      </c>
      <c r="J50" s="33">
        <f>J49/J41</f>
        <v>0.00434787520564894</v>
      </c>
      <c r="K50" s="33">
        <f>K49/K41</f>
        <v>0.00434857538958258</v>
      </c>
      <c r="L50" s="33">
        <f>L49/L41</f>
        <v>0.00434822526942854</v>
      </c>
      <c r="O50" s="56"/>
      <c r="P50" s="57"/>
      <c r="Q50" s="57"/>
    </row>
    <row r="51" ht="14" outlineLevel="1" spans="1:17">
      <c r="A51" s="48" t="s">
        <v>93</v>
      </c>
      <c r="B51" s="35"/>
      <c r="C51" s="35"/>
      <c r="D51" s="37">
        <f>'[1]NIO-Demand FC detail-12M22'!D108</f>
        <v>10668.0815925183</v>
      </c>
      <c r="E51" s="37">
        <f>'[1]NIO-Demand FC detail-12M22'!E108</f>
        <v>10668.0815925183</v>
      </c>
      <c r="F51" s="37">
        <f>'[1]NIO-Demand FC detail-12M22'!F108</f>
        <v>10668.0815925183</v>
      </c>
      <c r="G51" s="37">
        <f>'[1]NIO-Demand FC detail-12M22'!G108</f>
        <v>10668.0815925183</v>
      </c>
      <c r="H51" s="37">
        <f>'[1]NIO-Demand FC detail-12M22'!H108</f>
        <v>10668.0815925183</v>
      </c>
      <c r="I51" s="37">
        <f>'[1]NIO-Demand FC detail-12M22'!I108</f>
        <v>10668.0815925183</v>
      </c>
      <c r="J51" s="37">
        <f>'[1]NIO-Demand FC detail-12M22'!J108</f>
        <v>10668.0815925183</v>
      </c>
      <c r="K51" s="37">
        <f>'[1]NIO-Demand FC detail-12M22'!K108</f>
        <v>10668.0815925183</v>
      </c>
      <c r="L51" s="37">
        <f>'[1]NIO-Demand FC detail-12M22'!L108</f>
        <v>10668.0815925183</v>
      </c>
      <c r="O51" s="56"/>
      <c r="P51" s="57"/>
      <c r="Q51" s="57"/>
    </row>
    <row r="52" ht="14" outlineLevel="1" spans="1:17">
      <c r="A52" s="48" t="s">
        <v>94</v>
      </c>
      <c r="B52" s="35"/>
      <c r="C52" s="35"/>
      <c r="D52" s="33">
        <f>D51/D41</f>
        <v>0.00431866972085053</v>
      </c>
      <c r="E52" s="33">
        <f>E51/E41</f>
        <v>0.00436333152313923</v>
      </c>
      <c r="F52" s="33">
        <f>F51/F41</f>
        <v>0.0043408857477552</v>
      </c>
      <c r="G52" s="33">
        <f>G51/G41</f>
        <v>0.00435207969471556</v>
      </c>
      <c r="H52" s="33">
        <f>H51/H41</f>
        <v>0.00434647551400274</v>
      </c>
      <c r="I52" s="33">
        <f>I51/I41</f>
        <v>0.00434927579906846</v>
      </c>
      <c r="J52" s="33">
        <f>J51/J41</f>
        <v>0.00434787520564894</v>
      </c>
      <c r="K52" s="33">
        <f>K51/K41</f>
        <v>0.00434857538958258</v>
      </c>
      <c r="L52" s="33">
        <f>L51/L41</f>
        <v>0.00434822526942854</v>
      </c>
      <c r="O52" s="56"/>
      <c r="P52" s="57"/>
      <c r="Q52" s="57"/>
    </row>
    <row r="53" ht="14" outlineLevel="1" spans="1:17">
      <c r="A53" s="48" t="s">
        <v>95</v>
      </c>
      <c r="B53" s="35"/>
      <c r="C53" s="50">
        <f>C27-C29</f>
        <v>-13020.6743207169</v>
      </c>
      <c r="D53" s="50"/>
      <c r="E53" s="33"/>
      <c r="F53" s="33"/>
      <c r="G53" s="33"/>
      <c r="H53" s="33"/>
      <c r="I53" s="33"/>
      <c r="J53" s="33"/>
      <c r="K53" s="33"/>
      <c r="L53" s="33"/>
      <c r="O53" s="56"/>
      <c r="P53" s="57"/>
      <c r="Q53" s="57"/>
    </row>
    <row r="54" ht="14" outlineLevel="1" spans="1:16">
      <c r="A54" s="15" t="s">
        <v>70</v>
      </c>
      <c r="B54" s="36"/>
      <c r="C54" s="33">
        <f>SUM(C44:C47)-SUM(B44:B47)+C48</f>
        <v>-0.0214404713864805</v>
      </c>
      <c r="D54" s="33">
        <f>SUM(D44:D47)-SUM(C44:C47)+D48</f>
        <v>-0.000978354744754807</v>
      </c>
      <c r="E54" s="33">
        <f>SUM(E44:E47)-SUM(D44:D47)+E48+E50+E52</f>
        <v>-0.00319994512286882</v>
      </c>
      <c r="F54" s="33">
        <f>SUM(F44:F47)-SUM(E44:E47)+F48+F50+F52</f>
        <v>-0.00283715147478645</v>
      </c>
      <c r="G54" s="33">
        <f>SUM(G44:G47)-SUM(F44:F47)+G48+G50+G52</f>
        <v>-0.00206527284695761</v>
      </c>
      <c r="H54" s="33">
        <f>SUM(H44:H47)-SUM(G44:G47)+H48+H50+H52</f>
        <v>-0.00190314787504995</v>
      </c>
      <c r="I54" s="33">
        <f>SUM(I44:I47)-SUM(H44:H47)+I48+I50+I52</f>
        <v>-0.00183754730491848</v>
      </c>
      <c r="J54" s="33">
        <f>SUM(J44:J47)-SUM(I44:I47)+J48+J50+J52</f>
        <v>-0.00174701515842418</v>
      </c>
      <c r="K54" s="33">
        <f>SUM(K44:K47)-SUM(J44:J47)+K48+K50+K52</f>
        <v>-0.00174561479055692</v>
      </c>
      <c r="L54" s="33">
        <f>SUM(L44:L47)-SUM(K44:K47)+L48+L50+L52</f>
        <v>-0.001746315030865</v>
      </c>
      <c r="M54" s="13" t="s">
        <v>96</v>
      </c>
      <c r="O54" s="56"/>
      <c r="P54" s="57"/>
    </row>
    <row r="55" ht="14" outlineLevel="1" spans="1:16">
      <c r="A55" s="15" t="s">
        <v>71</v>
      </c>
      <c r="B55" s="36"/>
      <c r="C55" s="37">
        <f>(B43-C54)*C41+C53</f>
        <v>188448.817756989</v>
      </c>
      <c r="D55" s="37">
        <f>(C43-D54)*D41+D53</f>
        <v>156460.244777555</v>
      </c>
      <c r="E55" s="33"/>
      <c r="F55" s="33"/>
      <c r="G55" s="33"/>
      <c r="H55" s="33"/>
      <c r="I55" s="33"/>
      <c r="J55" s="33"/>
      <c r="K55" s="33"/>
      <c r="L55" s="33"/>
      <c r="O55" s="56"/>
      <c r="P55" s="57"/>
    </row>
    <row r="56" ht="13.5" customHeight="1" outlineLevel="1" spans="1:12">
      <c r="A56" s="5" t="s">
        <v>45</v>
      </c>
      <c r="E56" s="33"/>
      <c r="F56" s="33"/>
      <c r="G56" s="33"/>
      <c r="H56" s="33"/>
      <c r="I56" s="33"/>
      <c r="J56" s="33"/>
      <c r="K56" s="33"/>
      <c r="L56" s="33"/>
    </row>
    <row r="57" ht="14" outlineLevel="1" spans="1:13">
      <c r="A57" s="16" t="s">
        <v>73</v>
      </c>
      <c r="B57" s="37">
        <f>B41*B43</f>
        <v>137459</v>
      </c>
      <c r="C57" s="37">
        <f>K33</f>
        <v>150890</v>
      </c>
      <c r="D57" s="38">
        <v>124456</v>
      </c>
      <c r="E57" s="39">
        <f>E43*E41</f>
        <v>131005.776528587</v>
      </c>
      <c r="F57" s="39">
        <f>F43*F41</f>
        <v>138655.710571311</v>
      </c>
      <c r="G57" s="39">
        <f>G43*G41</f>
        <v>143361.597413672</v>
      </c>
      <c r="H57" s="39">
        <f>H43*H41</f>
        <v>148217.568888687</v>
      </c>
      <c r="I57" s="39">
        <f>I43*I41</f>
        <v>152629.350072684</v>
      </c>
      <c r="J57" s="39">
        <f>J43*J41</f>
        <v>156965.047631869</v>
      </c>
      <c r="K57" s="39">
        <f>K43*K41</f>
        <v>161222.178979901</v>
      </c>
      <c r="L57" s="39">
        <f>L43*L41</f>
        <v>165519.628447625</v>
      </c>
      <c r="M57" s="13" t="s">
        <v>72</v>
      </c>
    </row>
    <row r="58" customHeight="1" outlineLevel="1"/>
    <row r="59" s="3" customFormat="1" ht="14.75" outlineLevel="1" spans="1:1">
      <c r="A59" s="3" t="s">
        <v>97</v>
      </c>
    </row>
    <row r="60" s="4" customFormat="1" ht="70" customHeight="1" outlineLevel="1" spans="1:25">
      <c r="A60" s="4" t="s">
        <v>3</v>
      </c>
      <c r="B60" s="4" t="s">
        <v>4</v>
      </c>
      <c r="C60" s="4" t="s">
        <v>5</v>
      </c>
      <c r="D60" s="4" t="s">
        <v>6</v>
      </c>
      <c r="E60" s="4" t="s">
        <v>7</v>
      </c>
      <c r="F60" s="4" t="s">
        <v>8</v>
      </c>
      <c r="G60" s="4" t="s">
        <v>9</v>
      </c>
      <c r="H60" s="4" t="s">
        <v>10</v>
      </c>
      <c r="I60" s="4" t="s">
        <v>11</v>
      </c>
      <c r="J60" s="4" t="s">
        <v>12</v>
      </c>
      <c r="K60" s="4" t="s">
        <v>13</v>
      </c>
      <c r="L60" s="4" t="s">
        <v>75</v>
      </c>
      <c r="M60" s="4" t="s">
        <v>15</v>
      </c>
      <c r="N60" s="4" t="s">
        <v>16</v>
      </c>
      <c r="O60" s="4" t="s">
        <v>17</v>
      </c>
      <c r="P60" s="4" t="s">
        <v>18</v>
      </c>
      <c r="Q60" s="4" t="s">
        <v>19</v>
      </c>
      <c r="R60" s="71" t="s">
        <v>20</v>
      </c>
      <c r="S60" s="58" t="s">
        <v>77</v>
      </c>
      <c r="T60" s="4" t="s">
        <v>22</v>
      </c>
      <c r="U60" s="4" t="s">
        <v>23</v>
      </c>
      <c r="V60" s="4" t="s">
        <v>24</v>
      </c>
      <c r="W60" s="4" t="s">
        <v>25</v>
      </c>
      <c r="X60" s="4" t="s">
        <v>26</v>
      </c>
      <c r="Y60" s="4" t="s">
        <v>27</v>
      </c>
    </row>
    <row r="61" s="5" customFormat="1" ht="14" outlineLevel="1" spans="1:25">
      <c r="A61" s="14" t="s">
        <v>0</v>
      </c>
      <c r="B61" s="51" t="s">
        <v>97</v>
      </c>
      <c r="C61" s="5">
        <v>2014.4</v>
      </c>
      <c r="D61" s="16" t="s">
        <v>98</v>
      </c>
      <c r="E61" s="40" t="s">
        <v>78</v>
      </c>
      <c r="F61" s="17" t="s">
        <v>99</v>
      </c>
      <c r="G61" s="18" t="s">
        <v>31</v>
      </c>
      <c r="H61" s="41">
        <v>133277</v>
      </c>
      <c r="I61" s="52" t="s">
        <v>100</v>
      </c>
      <c r="J61" s="23">
        <v>3786</v>
      </c>
      <c r="K61" s="23">
        <v>5036</v>
      </c>
      <c r="L61" s="19">
        <v>3949.2</v>
      </c>
      <c r="M61" s="64">
        <v>3949</v>
      </c>
      <c r="N61" s="64"/>
      <c r="O61" s="65">
        <v>0.00311709097854921</v>
      </c>
      <c r="P61" s="65">
        <f>K61/C75</f>
        <v>0.0039542047188204</v>
      </c>
      <c r="Q61" s="36">
        <v>0.00198354347213966</v>
      </c>
      <c r="R61" s="36">
        <f>M61/D75</f>
        <v>0.00317421403237312</v>
      </c>
      <c r="S61" s="36"/>
      <c r="T61" s="70">
        <f>P61-O61</f>
        <v>0.000837113740271186</v>
      </c>
      <c r="U61" s="70">
        <f>R61-P61</f>
        <v>-0.000779990686447272</v>
      </c>
      <c r="V61" s="70">
        <f>R61-O61</f>
        <v>5.71230538239141e-5</v>
      </c>
      <c r="W61" s="68">
        <f>AVERAGE(Y62:Y68)</f>
        <v>-0.000442273890938593</v>
      </c>
      <c r="X61" s="68">
        <f>W61+Y61</f>
        <v>-0.000409632145896356</v>
      </c>
      <c r="Y61" s="54">
        <f>V61/1.75</f>
        <v>3.26417450422367e-5</v>
      </c>
    </row>
    <row r="62" ht="14" outlineLevel="1" spans="1:25">
      <c r="A62" s="20" t="s">
        <v>101</v>
      </c>
      <c r="B62" s="16" t="s">
        <v>102</v>
      </c>
      <c r="D62" s="16" t="s">
        <v>98</v>
      </c>
      <c r="E62" s="22" t="s">
        <v>78</v>
      </c>
      <c r="F62" s="21" t="s">
        <v>99</v>
      </c>
      <c r="G62" s="21" t="s">
        <v>35</v>
      </c>
      <c r="H62" s="42">
        <v>130664</v>
      </c>
      <c r="I62" s="53" t="s">
        <v>103</v>
      </c>
      <c r="J62" s="23">
        <v>15624</v>
      </c>
      <c r="K62" s="23">
        <v>9678</v>
      </c>
      <c r="L62" s="23">
        <v>4019</v>
      </c>
      <c r="M62" s="23">
        <v>8094</v>
      </c>
      <c r="N62" s="23"/>
      <c r="O62" s="35">
        <v>0.0128635576991159</v>
      </c>
      <c r="P62" s="35">
        <v>0.00796809468843087</v>
      </c>
      <c r="Q62" s="35">
        <v>0.00330892462831201</v>
      </c>
      <c r="R62" s="35">
        <f>M62/($D$75/4*3)</f>
        <v>0.008674631004652</v>
      </c>
      <c r="S62" s="35"/>
      <c r="T62" s="70">
        <f>P62-O62</f>
        <v>-0.00489546301068505</v>
      </c>
      <c r="U62" s="70">
        <f>R62-P62</f>
        <v>0.000706536316221138</v>
      </c>
      <c r="V62" s="70">
        <f>R62-O62</f>
        <v>-0.00418892669446391</v>
      </c>
      <c r="W62" s="36"/>
      <c r="X62" s="36"/>
      <c r="Y62" s="54">
        <f>V62/1.75</f>
        <v>-0.00239367239683652</v>
      </c>
    </row>
    <row r="63" ht="14" outlineLevel="1" spans="1:25">
      <c r="A63" s="20" t="s">
        <v>33</v>
      </c>
      <c r="B63" s="16" t="s">
        <v>104</v>
      </c>
      <c r="D63" s="16" t="s">
        <v>28</v>
      </c>
      <c r="E63" s="22" t="s">
        <v>78</v>
      </c>
      <c r="F63" s="21" t="s">
        <v>105</v>
      </c>
      <c r="G63" s="21" t="s">
        <v>35</v>
      </c>
      <c r="H63" s="42">
        <v>128369</v>
      </c>
      <c r="I63" s="53" t="s">
        <v>106</v>
      </c>
      <c r="J63" s="23">
        <v>24171</v>
      </c>
      <c r="K63" s="23">
        <v>22287</v>
      </c>
      <c r="L63" s="23">
        <v>6963</v>
      </c>
      <c r="M63" s="23">
        <v>10830</v>
      </c>
      <c r="N63" s="23"/>
      <c r="O63" s="35">
        <v>0.0199004770318312</v>
      </c>
      <c r="P63" s="35">
        <v>0.0174994758872816</v>
      </c>
      <c r="Q63" s="35">
        <v>0.0112677742949752</v>
      </c>
      <c r="R63" s="35">
        <f>M63/($D$75/4*3)</f>
        <v>0.0116069006400273</v>
      </c>
      <c r="S63" s="35"/>
      <c r="T63" s="70">
        <f>P63-O63</f>
        <v>-0.0024010011445496</v>
      </c>
      <c r="U63" s="70">
        <f>R63-P63</f>
        <v>-0.00589257524725428</v>
      </c>
      <c r="V63" s="70">
        <f>R63-O63</f>
        <v>-0.00829357639180388</v>
      </c>
      <c r="W63" s="36"/>
      <c r="X63" s="36"/>
      <c r="Y63" s="54">
        <f>V63/1.75</f>
        <v>-0.00473918650960222</v>
      </c>
    </row>
    <row r="64" ht="14" outlineLevel="1" spans="1:25">
      <c r="A64" s="13" t="s">
        <v>107</v>
      </c>
      <c r="B64" s="13" t="s">
        <v>108</v>
      </c>
      <c r="D64" s="13" t="s">
        <v>28</v>
      </c>
      <c r="E64" s="22" t="s">
        <v>78</v>
      </c>
      <c r="F64" s="21" t="s">
        <v>105</v>
      </c>
      <c r="G64" s="21" t="s">
        <v>35</v>
      </c>
      <c r="H64" s="42">
        <f>962000*T72</f>
        <v>149143.67</v>
      </c>
      <c r="I64" s="13" t="s">
        <v>109</v>
      </c>
      <c r="J64" s="13">
        <v>1033</v>
      </c>
      <c r="K64" s="13">
        <v>1260</v>
      </c>
      <c r="L64" s="23">
        <v>383</v>
      </c>
      <c r="M64" s="23">
        <v>946</v>
      </c>
      <c r="N64" s="23"/>
      <c r="O64" s="35">
        <v>0.000850489957961261</v>
      </c>
      <c r="P64" s="35">
        <v>0.000989336367298193</v>
      </c>
      <c r="Q64" s="35">
        <v>0.000619784224468693</v>
      </c>
      <c r="R64" s="35">
        <f>M64/($D$75/4*3)</f>
        <v>0.0010138622350384</v>
      </c>
      <c r="S64" s="35"/>
      <c r="T64" s="70">
        <f>P64-O64</f>
        <v>0.000138846409336932</v>
      </c>
      <c r="U64" s="70">
        <f>R64-P64</f>
        <v>2.45258677402053e-5</v>
      </c>
      <c r="V64" s="70">
        <f>R64-O64</f>
        <v>0.000163372277077137</v>
      </c>
      <c r="Y64" s="54">
        <f>V64/1.75</f>
        <v>9.33555869012213e-5</v>
      </c>
    </row>
    <row r="65" ht="14" outlineLevel="1" spans="1:25">
      <c r="A65" s="20" t="s">
        <v>110</v>
      </c>
      <c r="B65" s="16" t="s">
        <v>111</v>
      </c>
      <c r="D65" s="16" t="s">
        <v>98</v>
      </c>
      <c r="E65" s="22" t="s">
        <v>78</v>
      </c>
      <c r="F65" s="21" t="s">
        <v>105</v>
      </c>
      <c r="G65" s="21" t="s">
        <v>35</v>
      </c>
      <c r="H65" s="42">
        <v>125733</v>
      </c>
      <c r="I65" s="53" t="s">
        <v>112</v>
      </c>
      <c r="J65" s="23">
        <v>5278</v>
      </c>
      <c r="K65" s="84">
        <v>5222</v>
      </c>
      <c r="L65" s="23">
        <v>896</v>
      </c>
      <c r="M65" s="23">
        <v>3305</v>
      </c>
      <c r="N65" s="23"/>
      <c r="O65" s="35">
        <v>0.00434548499333934</v>
      </c>
      <c r="P65" s="35">
        <v>0.00429937905176545</v>
      </c>
      <c r="Q65" s="35">
        <v>0.000737695065182275</v>
      </c>
      <c r="R65" s="35">
        <f>M65/($D$75/4*3)</f>
        <v>0.00354208740676734</v>
      </c>
      <c r="S65" s="35"/>
      <c r="T65" s="70">
        <f>P65-O65</f>
        <v>-4.6105941573892e-5</v>
      </c>
      <c r="U65" s="70">
        <f>R65-P65</f>
        <v>-0.000757291644998103</v>
      </c>
      <c r="V65" s="70">
        <f>R65-O65</f>
        <v>-0.000803397586571995</v>
      </c>
      <c r="W65" s="36"/>
      <c r="X65" s="36"/>
      <c r="Y65" s="54">
        <f>V65/1.75</f>
        <v>-0.000459084335183997</v>
      </c>
    </row>
    <row r="66" ht="14" outlineLevel="1" spans="1:25">
      <c r="A66" s="20" t="s">
        <v>113</v>
      </c>
      <c r="B66" s="16" t="s">
        <v>114</v>
      </c>
      <c r="D66" s="16" t="s">
        <v>28</v>
      </c>
      <c r="E66" s="22" t="s">
        <v>78</v>
      </c>
      <c r="F66" s="21" t="s">
        <v>105</v>
      </c>
      <c r="G66" s="21" t="s">
        <v>35</v>
      </c>
      <c r="H66" s="42">
        <f>917800*T72</f>
        <v>142291.123</v>
      </c>
      <c r="I66" s="53" t="s">
        <v>115</v>
      </c>
      <c r="J66" s="23">
        <v>23926</v>
      </c>
      <c r="K66" s="23">
        <v>23456</v>
      </c>
      <c r="L66" s="23">
        <v>12550</v>
      </c>
      <c r="M66" s="23">
        <v>19783</v>
      </c>
      <c r="N66" s="23"/>
      <c r="O66" s="35">
        <v>0.0196987635374454</v>
      </c>
      <c r="P66" s="35">
        <v>0.0184173601836083</v>
      </c>
      <c r="Q66" s="35">
        <v>0.0203088564414676</v>
      </c>
      <c r="R66" s="35">
        <f>M66/($D$75/4*3)</f>
        <v>0.0212021528496455</v>
      </c>
      <c r="S66" s="35"/>
      <c r="T66" s="70">
        <f>P66-O66</f>
        <v>-0.00128140335383716</v>
      </c>
      <c r="U66" s="70">
        <f>R66-P66</f>
        <v>0.00278479266603722</v>
      </c>
      <c r="V66" s="70">
        <f>R66-O66</f>
        <v>0.00150338931220006</v>
      </c>
      <c r="W66" s="70"/>
      <c r="X66" s="70"/>
      <c r="Y66" s="54">
        <f>V66/1.75</f>
        <v>0.000859079606971462</v>
      </c>
    </row>
    <row r="67" ht="14" outlineLevel="1" spans="1:25">
      <c r="A67" s="13" t="s">
        <v>116</v>
      </c>
      <c r="B67" s="13" t="s">
        <v>117</v>
      </c>
      <c r="D67" s="13" t="s">
        <v>98</v>
      </c>
      <c r="E67" s="22" t="s">
        <v>78</v>
      </c>
      <c r="F67" s="21" t="s">
        <v>105</v>
      </c>
      <c r="G67" s="21" t="s">
        <v>35</v>
      </c>
      <c r="H67" s="42">
        <f>973000*T72</f>
        <v>150849.055</v>
      </c>
      <c r="I67" s="13" t="s">
        <v>118</v>
      </c>
      <c r="J67" s="13">
        <v>13635</v>
      </c>
      <c r="K67" s="13">
        <v>16319</v>
      </c>
      <c r="L67" s="13">
        <v>9738</v>
      </c>
      <c r="M67" s="13">
        <v>14536</v>
      </c>
      <c r="O67" s="35">
        <v>0.0112259734528575</v>
      </c>
      <c r="P67" s="35">
        <v>0.0128134763316978</v>
      </c>
      <c r="Q67" s="35">
        <v>0.0157583780101204</v>
      </c>
      <c r="R67" s="35">
        <f>M67/($D$75/4*3)</f>
        <v>0.0155787541739093</v>
      </c>
      <c r="S67" s="35"/>
      <c r="T67" s="70">
        <f>P67-O67</f>
        <v>0.00158750287884029</v>
      </c>
      <c r="U67" s="70">
        <f>R67-P67</f>
        <v>0.00276527784221147</v>
      </c>
      <c r="V67" s="70">
        <f>R67-O67</f>
        <v>0.00435278072105176</v>
      </c>
      <c r="Y67" s="54">
        <f>V67/1.75</f>
        <v>0.00248730326917243</v>
      </c>
    </row>
    <row r="68" ht="14" outlineLevel="1" spans="1:25">
      <c r="A68" s="13" t="s">
        <v>119</v>
      </c>
      <c r="B68" s="13" t="s">
        <v>120</v>
      </c>
      <c r="D68" s="13" t="s">
        <v>121</v>
      </c>
      <c r="E68" s="22" t="s">
        <v>78</v>
      </c>
      <c r="F68" s="21" t="s">
        <v>105</v>
      </c>
      <c r="G68" s="18" t="s">
        <v>35</v>
      </c>
      <c r="H68" s="42">
        <f>888000*T72</f>
        <v>137671.08</v>
      </c>
      <c r="I68" s="13" t="s">
        <v>122</v>
      </c>
      <c r="J68" s="13">
        <v>1440</v>
      </c>
      <c r="K68" s="13">
        <v>7315</v>
      </c>
      <c r="L68" s="13">
        <v>1681</v>
      </c>
      <c r="M68" s="23">
        <v>2831</v>
      </c>
      <c r="N68" s="23"/>
      <c r="O68" s="35">
        <v>0.00118558135475723</v>
      </c>
      <c r="P68" s="35">
        <v>0.00574364724348118</v>
      </c>
      <c r="Q68" s="35">
        <v>0.00272025399825554</v>
      </c>
      <c r="R68" s="35">
        <f>M68/($D$75/4*3)</f>
        <v>0.0030340845532703</v>
      </c>
      <c r="S68" s="35"/>
      <c r="T68" s="70">
        <f>P68-O68</f>
        <v>0.00455806588872395</v>
      </c>
      <c r="U68" s="70">
        <f>R68-P68</f>
        <v>-0.00270956269021087</v>
      </c>
      <c r="V68" s="70">
        <f>R68-O68</f>
        <v>0.00184850319851307</v>
      </c>
      <c r="Y68" s="54">
        <f>V68/1.75</f>
        <v>0.00105628754200747</v>
      </c>
    </row>
    <row r="69" customHeight="1" outlineLevel="1"/>
    <row r="70" ht="14" outlineLevel="1" spans="1:24">
      <c r="A70" s="13" t="s">
        <v>52</v>
      </c>
      <c r="I70" s="39">
        <f>SUM(J61:J68)</f>
        <v>88893</v>
      </c>
      <c r="J70" s="39">
        <f>SUM(K61:K68)</f>
        <v>90573</v>
      </c>
      <c r="K70" s="39">
        <f>SUM(L61:L68)</f>
        <v>40179.2</v>
      </c>
      <c r="L70" s="39"/>
      <c r="M70" s="54">
        <f>SUM(O61:O68)</f>
        <v>0.0731874190058571</v>
      </c>
      <c r="N70" s="54"/>
      <c r="O70" s="54">
        <f>SUM(P61:P68)</f>
        <v>0.0716849744723837</v>
      </c>
      <c r="P70" s="54">
        <f>SUM(Q61:Q68)</f>
        <v>0.0567052101349215</v>
      </c>
      <c r="Q70" s="54">
        <f>SUM(R61:R68)</f>
        <v>0.0678266868956832</v>
      </c>
      <c r="R70" s="54">
        <f>SUM(T61:T64)</f>
        <v>-0.00632050400562654</v>
      </c>
      <c r="S70" s="54"/>
      <c r="T70" s="54">
        <f>SUM(U61:U64)</f>
        <v>-0.00594150374974021</v>
      </c>
      <c r="U70" s="54">
        <f>SUM(V61:V64)</f>
        <v>-0.0122620077553667</v>
      </c>
      <c r="V70" s="54"/>
      <c r="W70" s="54"/>
      <c r="X70" s="54">
        <f>SUM(Y61:Y64)</f>
        <v>-0.00700686157449528</v>
      </c>
    </row>
    <row r="71" ht="14" outlineLevel="1" spans="1:24">
      <c r="A71" s="5" t="s">
        <v>53</v>
      </c>
      <c r="I71" s="13">
        <f>SUM(I61:I69)</f>
        <v>0</v>
      </c>
      <c r="J71" s="13">
        <f>SUM(J61:J69)</f>
        <v>88893</v>
      </c>
      <c r="K71" s="13">
        <f>SUM(K61:K69)</f>
        <v>90573</v>
      </c>
      <c r="M71" s="13">
        <f>SUM(M61:M69)</f>
        <v>64274</v>
      </c>
      <c r="O71" s="13">
        <f>SUM(O61:O69)</f>
        <v>0.0731874190058571</v>
      </c>
      <c r="P71" s="13">
        <f>SUM(P61:P69)</f>
        <v>0.0716849744723837</v>
      </c>
      <c r="R71" s="13">
        <f>SUM(R61:R69)</f>
        <v>0.0678266868956832</v>
      </c>
      <c r="T71" s="13">
        <f>SUM(T61:T69)</f>
        <v>-0.00150244453347335</v>
      </c>
      <c r="U71" s="13">
        <f>SUM(U61:U69)</f>
        <v>-0.00385828757670049</v>
      </c>
      <c r="X71" s="13">
        <f>SUM(X61:X69)</f>
        <v>-0.000409632145896356</v>
      </c>
    </row>
    <row r="72" ht="14" outlineLevel="1" spans="1:20">
      <c r="A72" s="13" t="s">
        <v>123</v>
      </c>
      <c r="B72" s="13">
        <v>2020</v>
      </c>
      <c r="C72" s="13">
        <v>2021</v>
      </c>
      <c r="D72" s="13" t="s">
        <v>124</v>
      </c>
      <c r="E72" s="13" t="s">
        <v>55</v>
      </c>
      <c r="F72" s="13" t="s">
        <v>56</v>
      </c>
      <c r="G72" s="13" t="s">
        <v>57</v>
      </c>
      <c r="H72" s="13" t="s">
        <v>58</v>
      </c>
      <c r="I72" s="13" t="s">
        <v>59</v>
      </c>
      <c r="J72" s="13" t="s">
        <v>60</v>
      </c>
      <c r="K72" s="13" t="s">
        <v>61</v>
      </c>
      <c r="L72" s="13" t="s">
        <v>62</v>
      </c>
      <c r="O72" s="13" t="s">
        <v>64</v>
      </c>
      <c r="P72" s="13" t="s">
        <v>65</v>
      </c>
      <c r="T72" s="16">
        <v>0.155035</v>
      </c>
    </row>
    <row r="73" ht="14" outlineLevel="1" spans="1:16">
      <c r="A73" s="13" t="s">
        <v>125</v>
      </c>
      <c r="B73" s="28">
        <v>709338</v>
      </c>
      <c r="C73" s="28">
        <v>784972</v>
      </c>
      <c r="D73" s="30">
        <f>AVERAGE(B73:C73)</f>
        <v>747155</v>
      </c>
      <c r="E73" s="30">
        <f>AVERAGE(C73:D73)</f>
        <v>766063.5</v>
      </c>
      <c r="F73" s="30">
        <f>AVERAGE(D73:E73)</f>
        <v>756609.25</v>
      </c>
      <c r="G73" s="30">
        <f>AVERAGE(E73:F73)</f>
        <v>761336.375</v>
      </c>
      <c r="H73" s="30">
        <f>AVERAGE(F73:G73)</f>
        <v>758972.8125</v>
      </c>
      <c r="I73" s="30">
        <f>AVERAGE(G73:H73)</f>
        <v>760154.59375</v>
      </c>
      <c r="J73" s="30">
        <f>AVERAGE(H73:I73)</f>
        <v>759563.703125</v>
      </c>
      <c r="K73" s="30">
        <f>AVERAGE(I73:J73)</f>
        <v>759859.1484375</v>
      </c>
      <c r="L73" s="30">
        <f>AVERAGE(J73:K73)</f>
        <v>759711.42578125</v>
      </c>
      <c r="P73" s="13" t="s">
        <v>67</v>
      </c>
    </row>
    <row r="74" ht="14" outlineLevel="1" spans="1:20">
      <c r="A74" s="13" t="s">
        <v>126</v>
      </c>
      <c r="B74" s="28">
        <v>505256</v>
      </c>
      <c r="C74" s="28">
        <v>488609</v>
      </c>
      <c r="D74" s="30">
        <f>AVERAGE(B74:C74)</f>
        <v>496932.5</v>
      </c>
      <c r="E74" s="30">
        <f>AVERAGE(C74:D74)</f>
        <v>492770.75</v>
      </c>
      <c r="F74" s="30">
        <f>AVERAGE(D74:E74)</f>
        <v>494851.625</v>
      </c>
      <c r="G74" s="30">
        <f>AVERAGE(E74:F74)</f>
        <v>493811.1875</v>
      </c>
      <c r="H74" s="30">
        <f>AVERAGE(F74:G74)</f>
        <v>494331.40625</v>
      </c>
      <c r="I74" s="30">
        <f>AVERAGE(G74:H74)</f>
        <v>494071.296875</v>
      </c>
      <c r="J74" s="30">
        <f>AVERAGE(H74:I74)</f>
        <v>494201.3515625</v>
      </c>
      <c r="K74" s="30">
        <f>AVERAGE(I74:J74)</f>
        <v>494136.32421875</v>
      </c>
      <c r="L74" s="30">
        <f>AVERAGE(J74:K74)</f>
        <v>494168.837890625</v>
      </c>
      <c r="T74" s="16"/>
    </row>
    <row r="75" ht="14" outlineLevel="1" spans="1:20">
      <c r="A75" s="13" t="s">
        <v>127</v>
      </c>
      <c r="B75" s="72">
        <f>SUM(B73:B74)</f>
        <v>1214594</v>
      </c>
      <c r="C75" s="72">
        <f>SUM(C73:C74)</f>
        <v>1273581</v>
      </c>
      <c r="D75" s="72">
        <f>SUM(D73:D74)</f>
        <v>1244087.5</v>
      </c>
      <c r="E75" s="72">
        <f>SUM(E73:E74)</f>
        <v>1258834.25</v>
      </c>
      <c r="F75" s="72">
        <f>SUM(F73:F74)</f>
        <v>1251460.875</v>
      </c>
      <c r="G75" s="72">
        <f>SUM(G73:G74)</f>
        <v>1255147.5625</v>
      </c>
      <c r="H75" s="72">
        <f>SUM(H73:H74)</f>
        <v>1253304.21875</v>
      </c>
      <c r="I75" s="72">
        <f>SUM(I73:I74)</f>
        <v>1254225.890625</v>
      </c>
      <c r="J75" s="72">
        <f>SUM(J73:J74)</f>
        <v>1253765.0546875</v>
      </c>
      <c r="K75" s="72">
        <f>SUM(K73:K74)</f>
        <v>1253995.47265625</v>
      </c>
      <c r="L75" s="72">
        <f>SUM(L73:L74)</f>
        <v>1253880.26367188</v>
      </c>
      <c r="T75" s="16"/>
    </row>
    <row r="76" ht="14" outlineLevel="1" spans="1:1">
      <c r="A76" s="5" t="s">
        <v>68</v>
      </c>
    </row>
    <row r="77" s="5" customFormat="1" ht="14" outlineLevel="1" spans="1:17">
      <c r="A77" s="15" t="s">
        <v>97</v>
      </c>
      <c r="B77" s="65">
        <v>0.00311709097854921</v>
      </c>
      <c r="C77" s="65">
        <v>0.0041462414601093</v>
      </c>
      <c r="D77" s="70">
        <f>R61-D85/4</f>
        <v>0.00413728308222206</v>
      </c>
      <c r="E77" s="70">
        <f>D77-E85</f>
        <v>0.0072332003187922</v>
      </c>
      <c r="F77" s="70">
        <f>E77-F85</f>
        <v>0.0103291175553624</v>
      </c>
      <c r="G77" s="70">
        <f>F77-G85</f>
        <v>0.00962957927575263</v>
      </c>
      <c r="H77" s="70">
        <f>G77-H85</f>
        <v>0.00648783332081735</v>
      </c>
      <c r="I77" s="70">
        <f>H77-I85</f>
        <v>0.00245089165094874</v>
      </c>
      <c r="J77" s="70">
        <f>I77-J85</f>
        <v>-0.00158605001891983</v>
      </c>
      <c r="K77" s="70">
        <f>J77-K85</f>
        <v>-0.00562299168878843</v>
      </c>
      <c r="L77" s="70">
        <f>K77-L85</f>
        <v>-0.00990529171715765</v>
      </c>
      <c r="O77" s="85"/>
      <c r="P77" s="86">
        <f>-SUM(P78:P84)+X61</f>
        <v>0.00268628509067379</v>
      </c>
      <c r="Q77" s="86"/>
    </row>
    <row r="78" ht="14" outlineLevel="1" spans="1:17">
      <c r="A78" s="16" t="s">
        <v>102</v>
      </c>
      <c r="B78" s="35">
        <v>0.0128635576991159</v>
      </c>
      <c r="C78" s="35">
        <v>0.00796809468843087</v>
      </c>
      <c r="D78" s="73">
        <f>MAX(0,R62+$P78/4)</f>
        <v>0.00807621290544287</v>
      </c>
      <c r="E78" s="73">
        <f>MAX(0,D78+$P78)</f>
        <v>0.00568254050860635</v>
      </c>
      <c r="F78" s="73">
        <f>MAX(0,E78+$P78)</f>
        <v>0.00328886811176983</v>
      </c>
      <c r="G78" s="73">
        <f>MAX(0,F78+$P78)</f>
        <v>0.000895195714933308</v>
      </c>
      <c r="H78" s="73">
        <f>MAX(0,G78+$P78)</f>
        <v>0</v>
      </c>
      <c r="I78" s="73">
        <f>MAX(0,H78+$P78)</f>
        <v>0</v>
      </c>
      <c r="J78" s="73">
        <f>MAX(0,I78+$P78)</f>
        <v>0</v>
      </c>
      <c r="K78" s="73">
        <f>MAX(0,J78+$P78)</f>
        <v>0</v>
      </c>
      <c r="L78" s="73">
        <f>MAX(0,K78+$P78)</f>
        <v>0</v>
      </c>
      <c r="O78" s="56">
        <v>1</v>
      </c>
      <c r="P78" s="57">
        <f>Y62*O78</f>
        <v>-0.00239367239683652</v>
      </c>
      <c r="Q78" s="57"/>
    </row>
    <row r="79" ht="14" outlineLevel="1" spans="1:17">
      <c r="A79" s="16" t="s">
        <v>104</v>
      </c>
      <c r="B79" s="35">
        <v>0.0199004770318312</v>
      </c>
      <c r="C79" s="35">
        <v>0.0174994758872816</v>
      </c>
      <c r="D79" s="73">
        <f>MAX(0,R63+$P79/4)</f>
        <v>0.0104221040126268</v>
      </c>
      <c r="E79" s="73">
        <f>MAX(0,D79+$P79)</f>
        <v>0.00568291750302456</v>
      </c>
      <c r="F79" s="73">
        <f>MAX(0,E79+$P79)</f>
        <v>0.000943730993422338</v>
      </c>
      <c r="G79" s="73">
        <f>MAX(0,F79+$P79)</f>
        <v>0</v>
      </c>
      <c r="H79" s="73">
        <f>MAX(0,G79+$P79)</f>
        <v>0</v>
      </c>
      <c r="I79" s="73">
        <f>MAX(0,H79+$P79)</f>
        <v>0</v>
      </c>
      <c r="J79" s="73">
        <f>MAX(0,I79+$P79)</f>
        <v>0</v>
      </c>
      <c r="K79" s="73">
        <f>MAX(0,J79+$P79)</f>
        <v>0</v>
      </c>
      <c r="L79" s="73">
        <f>MAX(0,K79+$P79)</f>
        <v>0</v>
      </c>
      <c r="O79" s="87">
        <v>1</v>
      </c>
      <c r="P79" s="57">
        <f>Y63*O79</f>
        <v>-0.00473918650960222</v>
      </c>
      <c r="Q79" s="57"/>
    </row>
    <row r="80" ht="14" outlineLevel="1" spans="1:17">
      <c r="A80" s="16" t="s">
        <v>108</v>
      </c>
      <c r="B80" s="35">
        <v>0.000850489957961261</v>
      </c>
      <c r="C80" s="35">
        <v>0.000989336367298193</v>
      </c>
      <c r="D80" s="73">
        <f>MAX(0,R64+$P80/4)</f>
        <v>0.0010372011317637</v>
      </c>
      <c r="E80" s="73">
        <f>MAX(0,D80+$P80)</f>
        <v>0.00113055671866492</v>
      </c>
      <c r="F80" s="73">
        <f>MAX(0,E80+$P80)</f>
        <v>0.00122391230556615</v>
      </c>
      <c r="G80" s="73">
        <f>MAX(0,F80+$P80)</f>
        <v>0.00131726789246737</v>
      </c>
      <c r="H80" s="73">
        <f>MAX(0,G80+$P80)</f>
        <v>0.00141062347936859</v>
      </c>
      <c r="I80" s="73">
        <f>MAX(0,H80+$P80)</f>
        <v>0.00150397906626981</v>
      </c>
      <c r="J80" s="73">
        <f>MAX(0,I80+$P80)</f>
        <v>0.00159733465317103</v>
      </c>
      <c r="K80" s="73">
        <f>MAX(0,J80+$P80)</f>
        <v>0.00169069024007225</v>
      </c>
      <c r="L80" s="73">
        <f>MAX(0,K80+$P80)</f>
        <v>0.00178404582697347</v>
      </c>
      <c r="O80" s="56">
        <v>1</v>
      </c>
      <c r="P80" s="57">
        <f>Y64*O80</f>
        <v>9.33555869012213e-5</v>
      </c>
      <c r="Q80" s="57"/>
    </row>
    <row r="81" ht="14" outlineLevel="1" spans="1:17">
      <c r="A81" s="16" t="s">
        <v>111</v>
      </c>
      <c r="B81" s="35">
        <v>0.00434548499333934</v>
      </c>
      <c r="C81" s="35">
        <v>0.00429937905176545</v>
      </c>
      <c r="D81" s="73">
        <f>MAX(0,R65+$P81/4)</f>
        <v>0.00342731632297134</v>
      </c>
      <c r="E81" s="73">
        <f>MAX(0,D81+$P81)</f>
        <v>0.00296823198778735</v>
      </c>
      <c r="F81" s="73">
        <f>MAX(0,E81+$P81)</f>
        <v>0.00250914765260335</v>
      </c>
      <c r="G81" s="73">
        <f>MAX(0,F81+$P81)</f>
        <v>0.00205006331741935</v>
      </c>
      <c r="H81" s="73">
        <f>MAX(0,G81+$P81)</f>
        <v>0.00159097898223535</v>
      </c>
      <c r="I81" s="73">
        <f>MAX(0,H81+$P81)</f>
        <v>0.00113189464705136</v>
      </c>
      <c r="J81" s="73">
        <f>MAX(0,I81+$P81)</f>
        <v>0.000672810311867359</v>
      </c>
      <c r="K81" s="73">
        <f>MAX(0,J81+$P81)</f>
        <v>0.000213725976683361</v>
      </c>
      <c r="L81" s="73">
        <f>MAX(0,K81+$P81)</f>
        <v>0</v>
      </c>
      <c r="O81" s="56">
        <v>1</v>
      </c>
      <c r="P81" s="57">
        <f>Y65*O81</f>
        <v>-0.000459084335183997</v>
      </c>
      <c r="Q81" s="57"/>
    </row>
    <row r="82" ht="14" outlineLevel="1" spans="1:17">
      <c r="A82" s="16" t="s">
        <v>114</v>
      </c>
      <c r="B82" s="35">
        <v>0.0196987635374454</v>
      </c>
      <c r="C82" s="35">
        <v>0.0184173601836083</v>
      </c>
      <c r="D82" s="73">
        <f>MAX(0,R66+$P82/4)</f>
        <v>0.0214169227513884</v>
      </c>
      <c r="E82" s="73">
        <f>MAX(0,D82+$P82)</f>
        <v>0.0222760023583598</v>
      </c>
      <c r="F82" s="73">
        <f>MAX(0,E82+$P82)</f>
        <v>0.0231350819653313</v>
      </c>
      <c r="G82" s="73">
        <f>MAX(0,F82+$P82)</f>
        <v>0.0239941615723027</v>
      </c>
      <c r="H82" s="73">
        <f>MAX(0,G82+$P82)</f>
        <v>0.0248532411792742</v>
      </c>
      <c r="I82" s="73">
        <f>MAX(0,H82+$P82)</f>
        <v>0.0257123207862457</v>
      </c>
      <c r="J82" s="73">
        <f>MAX(0,I82+$P82)</f>
        <v>0.0265714003932171</v>
      </c>
      <c r="K82" s="73">
        <f>MAX(0,J82+$P82)</f>
        <v>0.0274304800001886</v>
      </c>
      <c r="L82" s="73">
        <f>MAX(0,K82+$P82)</f>
        <v>0.02828955960716</v>
      </c>
      <c r="O82" s="56">
        <v>1</v>
      </c>
      <c r="P82" s="57">
        <f>Y66*O82</f>
        <v>0.000859079606971462</v>
      </c>
      <c r="Q82" s="57"/>
    </row>
    <row r="83" ht="14" outlineLevel="1" spans="1:17">
      <c r="A83" s="16" t="s">
        <v>117</v>
      </c>
      <c r="B83" s="35">
        <v>0.0112259734528575</v>
      </c>
      <c r="C83" s="35">
        <v>0.0128134763316978</v>
      </c>
      <c r="D83" s="73">
        <f>MAX(0,R67+$P83/4)</f>
        <v>0.0162005799912024</v>
      </c>
      <c r="E83" s="73">
        <f>MAX(0,D83+$P83)</f>
        <v>0.0186878832603748</v>
      </c>
      <c r="F83" s="73">
        <f>MAX(0,E83+$P83)</f>
        <v>0.0211751865295472</v>
      </c>
      <c r="G83" s="73">
        <f>MAX(0,F83+$P83)</f>
        <v>0.0236624897987197</v>
      </c>
      <c r="H83" s="73">
        <f>MAX(0,G83+$P83)</f>
        <v>0.0261497930678921</v>
      </c>
      <c r="I83" s="73">
        <f>MAX(0,H83+$P83)</f>
        <v>0.0286370963370645</v>
      </c>
      <c r="J83" s="73">
        <f>MAX(0,I83+$P83)</f>
        <v>0.031124399606237</v>
      </c>
      <c r="K83" s="73">
        <f>MAX(0,J83+$P83)</f>
        <v>0.0336117028754094</v>
      </c>
      <c r="L83" s="73">
        <f>MAX(0,K83+$P83)</f>
        <v>0.0360990061445818</v>
      </c>
      <c r="O83" s="56">
        <v>1</v>
      </c>
      <c r="P83" s="57">
        <f>Y67*O83</f>
        <v>0.00248730326917243</v>
      </c>
      <c r="Q83" s="57"/>
    </row>
    <row r="84" ht="14" outlineLevel="1" spans="1:17">
      <c r="A84" s="16" t="s">
        <v>120</v>
      </c>
      <c r="B84" s="35">
        <v>0.00118558135475723</v>
      </c>
      <c r="C84" s="35">
        <v>0.00574364724348118</v>
      </c>
      <c r="D84" s="73">
        <f>MAX(0,R68+$P84/4)</f>
        <v>0.00329815643877217</v>
      </c>
      <c r="E84" s="73">
        <f>MAX(0,D84+$P84)</f>
        <v>0.00435444398077964</v>
      </c>
      <c r="F84" s="73">
        <f>MAX(0,E84+$P84)</f>
        <v>0.00541073152278711</v>
      </c>
      <c r="G84" s="73">
        <f>MAX(0,F84+$P84)</f>
        <v>0.00646701906479458</v>
      </c>
      <c r="H84" s="73">
        <f>MAX(0,G84+$P84)</f>
        <v>0.00752330660680206</v>
      </c>
      <c r="I84" s="73">
        <f>MAX(0,H84+$P84)</f>
        <v>0.00857959414880953</v>
      </c>
      <c r="J84" s="73">
        <f>MAX(0,I84+$P84)</f>
        <v>0.009635881690817</v>
      </c>
      <c r="K84" s="73">
        <f>MAX(0,J84+$P84)</f>
        <v>0.0106921692328245</v>
      </c>
      <c r="L84" s="73">
        <f>MAX(0,K84+$P84)</f>
        <v>0.0117484567748319</v>
      </c>
      <c r="O84" s="56">
        <v>1</v>
      </c>
      <c r="P84" s="57">
        <f>Y68*O84</f>
        <v>0.00105628754200747</v>
      </c>
      <c r="Q84" s="57"/>
    </row>
    <row r="85" ht="14" outlineLevel="1" spans="1:17">
      <c r="A85" s="16" t="s">
        <v>70</v>
      </c>
      <c r="B85" s="35"/>
      <c r="C85" s="33">
        <f>SUM(C78:C84)-SUM(B78:B84)</f>
        <v>-0.00233955827374456</v>
      </c>
      <c r="D85" s="33">
        <f>SUM(D78:D84)-SUM(C78:C84)</f>
        <v>-0.00385227619939575</v>
      </c>
      <c r="E85" s="33">
        <f>SUM(E78:E84)-SUM(D78:D84)</f>
        <v>-0.00309591723657014</v>
      </c>
      <c r="F85" s="33">
        <f>SUM(F78:F84)-SUM(E78:E84)</f>
        <v>-0.00309591723657015</v>
      </c>
      <c r="G85" s="33">
        <f>SUM(G78:G84)-SUM(F78:F84)</f>
        <v>0.000699538279609724</v>
      </c>
      <c r="H85" s="33">
        <f>SUM(H78:H84)-SUM(G78:G84)</f>
        <v>0.00314174595493528</v>
      </c>
      <c r="I85" s="33">
        <f>SUM(I78:I84)-SUM(H78:H84)</f>
        <v>0.0040369416698686</v>
      </c>
      <c r="J85" s="33">
        <f>SUM(J78:J84)-SUM(I78:I84)</f>
        <v>0.00403694166986858</v>
      </c>
      <c r="K85" s="33">
        <f>SUM(K78:K84)-SUM(J78:J84)</f>
        <v>0.00403694166986859</v>
      </c>
      <c r="L85" s="33">
        <f>SUM(L78:L84)-SUM(K78:K84)</f>
        <v>0.00428230002836923</v>
      </c>
      <c r="O85" s="56"/>
      <c r="P85" s="57"/>
      <c r="Q85" s="57"/>
    </row>
    <row r="86" ht="14" outlineLevel="1" spans="1:1">
      <c r="A86" s="5" t="s">
        <v>45</v>
      </c>
    </row>
    <row r="87" ht="14" outlineLevel="1" spans="1:12">
      <c r="A87" s="16" t="s">
        <v>97</v>
      </c>
      <c r="B87" s="37">
        <v>3786</v>
      </c>
      <c r="C87" s="37">
        <v>5036</v>
      </c>
      <c r="D87" s="74">
        <f>D75*D77</f>
        <v>5147.14216655394</v>
      </c>
      <c r="E87" s="74">
        <f>E75*E77</f>
        <v>9105.40029840655</v>
      </c>
      <c r="F87" s="74">
        <f>F75*F77</f>
        <v>12926.4864938116</v>
      </c>
      <c r="G87" s="74">
        <f>G75*G77</f>
        <v>12086.5429558614</v>
      </c>
      <c r="H87" s="74">
        <f>H75*H77</f>
        <v>8131.2288715272</v>
      </c>
      <c r="I87" s="74">
        <f>I75*I77</f>
        <v>3073.97176373657</v>
      </c>
      <c r="J87" s="74">
        <f>MAX(J75*J77,0)</f>
        <v>0</v>
      </c>
      <c r="K87" s="74">
        <f>MAX(K75*K77,0)</f>
        <v>0</v>
      </c>
      <c r="L87" s="74">
        <f>MAX(0,L75*L77)</f>
        <v>0</v>
      </c>
    </row>
    <row r="88" customHeight="1" outlineLevel="1"/>
    <row r="89" s="3" customFormat="1" ht="14.75" outlineLevel="1" spans="1:4">
      <c r="A89" s="3" t="s">
        <v>128</v>
      </c>
      <c r="D89" s="11"/>
    </row>
    <row r="90" s="4" customFormat="1" ht="61" customHeight="1" outlineLevel="1" spans="1:25">
      <c r="A90" s="4" t="s">
        <v>3</v>
      </c>
      <c r="B90" s="4" t="s">
        <v>4</v>
      </c>
      <c r="C90" s="4" t="s">
        <v>5</v>
      </c>
      <c r="D90" s="4" t="s">
        <v>6</v>
      </c>
      <c r="E90" s="4" t="s">
        <v>7</v>
      </c>
      <c r="F90" s="4" t="s">
        <v>8</v>
      </c>
      <c r="G90" s="4" t="s">
        <v>9</v>
      </c>
      <c r="H90" s="4" t="s">
        <v>10</v>
      </c>
      <c r="I90" s="4" t="s">
        <v>11</v>
      </c>
      <c r="J90" s="4" t="s">
        <v>12</v>
      </c>
      <c r="K90" s="4" t="s">
        <v>13</v>
      </c>
      <c r="L90" s="4" t="s">
        <v>75</v>
      </c>
      <c r="M90" s="4" t="s">
        <v>129</v>
      </c>
      <c r="N90" s="4" t="s">
        <v>16</v>
      </c>
      <c r="O90" s="4" t="s">
        <v>17</v>
      </c>
      <c r="P90" s="4" t="s">
        <v>18</v>
      </c>
      <c r="Q90" s="4" t="s">
        <v>19</v>
      </c>
      <c r="R90" s="71" t="s">
        <v>20</v>
      </c>
      <c r="S90" s="58" t="s">
        <v>77</v>
      </c>
      <c r="T90" s="4" t="s">
        <v>22</v>
      </c>
      <c r="U90" s="4" t="s">
        <v>23</v>
      </c>
      <c r="V90" s="4" t="s">
        <v>24</v>
      </c>
      <c r="W90" s="4" t="s">
        <v>25</v>
      </c>
      <c r="X90" s="4" t="s">
        <v>26</v>
      </c>
      <c r="Y90" s="4" t="s">
        <v>27</v>
      </c>
    </row>
    <row r="91" s="5" customFormat="1" ht="14" outlineLevel="1" spans="1:25">
      <c r="A91" s="5" t="s">
        <v>0</v>
      </c>
      <c r="B91" s="5" t="s">
        <v>128</v>
      </c>
      <c r="C91" s="5">
        <v>2016.6</v>
      </c>
      <c r="D91" s="5" t="s">
        <v>98</v>
      </c>
      <c r="E91" s="5" t="s">
        <v>29</v>
      </c>
      <c r="F91" s="5" t="s">
        <v>99</v>
      </c>
      <c r="G91" s="75" t="s">
        <v>31</v>
      </c>
      <c r="H91" s="60">
        <v>119792</v>
      </c>
      <c r="I91" s="88" t="s">
        <v>130</v>
      </c>
      <c r="J91" s="60">
        <v>4565</v>
      </c>
      <c r="K91" s="60">
        <v>2302</v>
      </c>
      <c r="L91" s="89">
        <v>1823</v>
      </c>
      <c r="M91" s="90">
        <f>L91</f>
        <v>1823</v>
      </c>
      <c r="N91" s="90"/>
      <c r="O91" s="76">
        <v>0.0104775610349489</v>
      </c>
      <c r="P91" s="76">
        <v>0.00528353680228969</v>
      </c>
      <c r="Q91" s="76">
        <v>0.00808278760846143</v>
      </c>
      <c r="R91" s="76">
        <v>0.0050577774078544</v>
      </c>
      <c r="S91" s="76"/>
      <c r="T91" s="70">
        <f>P91-O91</f>
        <v>-0.00519402423265923</v>
      </c>
      <c r="U91" s="70">
        <f>R91-P91</f>
        <v>-0.000225759394435287</v>
      </c>
      <c r="V91" s="70">
        <f>R91-O91</f>
        <v>-0.00541978362709452</v>
      </c>
      <c r="W91" s="70">
        <f>AVERAGE(Y92:Y100)</f>
        <v>-0.0104687400447588</v>
      </c>
      <c r="X91" s="70">
        <f>W91+Y91</f>
        <v>-0.0135657592602414</v>
      </c>
      <c r="Y91" s="70">
        <f>V91/1.75</f>
        <v>-0.00309701921548258</v>
      </c>
    </row>
    <row r="92" ht="14" outlineLevel="1" spans="1:25">
      <c r="A92" s="13" t="s">
        <v>81</v>
      </c>
      <c r="B92" s="13" t="s">
        <v>131</v>
      </c>
      <c r="D92" s="13" t="s">
        <v>98</v>
      </c>
      <c r="E92" s="13" t="s">
        <v>29</v>
      </c>
      <c r="F92" s="13" t="s">
        <v>99</v>
      </c>
      <c r="G92" s="13" t="s">
        <v>132</v>
      </c>
      <c r="H92" s="63">
        <v>138741</v>
      </c>
      <c r="I92" s="91" t="s">
        <v>133</v>
      </c>
      <c r="J92" s="63">
        <v>0</v>
      </c>
      <c r="K92" s="63">
        <v>1830</v>
      </c>
      <c r="L92" s="63">
        <v>460</v>
      </c>
      <c r="M92" s="92">
        <v>575</v>
      </c>
      <c r="N92" s="92"/>
      <c r="O92" s="77">
        <v>0</v>
      </c>
      <c r="P92" s="77">
        <v>0.00420020519035192</v>
      </c>
      <c r="Q92" s="76">
        <v>0.00203954048266169</v>
      </c>
      <c r="R92" s="76">
        <v>0.00159529457461123</v>
      </c>
      <c r="S92" s="76"/>
      <c r="T92" s="70">
        <f>P92-O92</f>
        <v>0.00420020519035192</v>
      </c>
      <c r="U92" s="70">
        <f>R92-P92</f>
        <v>-0.00260491061574069</v>
      </c>
      <c r="V92" s="70">
        <f>R92-O92</f>
        <v>0.00159529457461123</v>
      </c>
      <c r="W92" s="35"/>
      <c r="X92" s="35"/>
      <c r="Y92" s="70">
        <f>V92/0.75</f>
        <v>0.00212705943281498</v>
      </c>
    </row>
    <row r="93" ht="14" outlineLevel="1" spans="1:25">
      <c r="A93" s="13" t="s">
        <v>101</v>
      </c>
      <c r="B93" s="13" t="s">
        <v>134</v>
      </c>
      <c r="D93" s="13" t="s">
        <v>98</v>
      </c>
      <c r="E93" s="13" t="s">
        <v>29</v>
      </c>
      <c r="F93" s="13" t="s">
        <v>99</v>
      </c>
      <c r="G93" s="13" t="s">
        <v>35</v>
      </c>
      <c r="H93" s="63">
        <v>119191</v>
      </c>
      <c r="I93" s="91" t="s">
        <v>130</v>
      </c>
      <c r="J93" s="63">
        <v>5022</v>
      </c>
      <c r="K93" s="63">
        <v>2897</v>
      </c>
      <c r="L93" s="63">
        <v>552</v>
      </c>
      <c r="M93" s="63">
        <v>2330</v>
      </c>
      <c r="N93" s="63"/>
      <c r="O93" s="77">
        <v>0.0151363537723338</v>
      </c>
      <c r="P93" s="77">
        <v>0.00587688762303529</v>
      </c>
      <c r="Q93" s="76">
        <v>0.00216695781890985</v>
      </c>
      <c r="R93" s="76">
        <v>0.00646441105885943</v>
      </c>
      <c r="S93" s="76"/>
      <c r="T93" s="70">
        <f>P93-O93</f>
        <v>-0.00925946614929852</v>
      </c>
      <c r="U93" s="70">
        <f>R93-P93</f>
        <v>0.000587523435824144</v>
      </c>
      <c r="V93" s="70">
        <f>R93-O93</f>
        <v>-0.00867194271347438</v>
      </c>
      <c r="W93" s="35"/>
      <c r="X93" s="35"/>
      <c r="Y93" s="70">
        <f>V93/1.75</f>
        <v>-0.00495539583627107</v>
      </c>
    </row>
    <row r="94" ht="14" outlineLevel="1" spans="1:25">
      <c r="A94" s="13" t="s">
        <v>33</v>
      </c>
      <c r="B94" s="13" t="s">
        <v>135</v>
      </c>
      <c r="D94" s="13" t="s">
        <v>98</v>
      </c>
      <c r="E94" s="13" t="s">
        <v>29</v>
      </c>
      <c r="F94" s="13" t="s">
        <v>99</v>
      </c>
      <c r="G94" s="13" t="s">
        <v>35</v>
      </c>
      <c r="H94" s="63">
        <v>118896</v>
      </c>
      <c r="I94" s="91" t="s">
        <v>130</v>
      </c>
      <c r="J94" s="63">
        <v>4950</v>
      </c>
      <c r="K94" s="63">
        <v>3034</v>
      </c>
      <c r="L94" s="63">
        <v>972</v>
      </c>
      <c r="M94" s="63">
        <v>3698</v>
      </c>
      <c r="N94" s="63"/>
      <c r="O94" s="77">
        <v>0.0149193451160996</v>
      </c>
      <c r="P94" s="77">
        <v>0.00615480740362067</v>
      </c>
      <c r="Q94" s="76">
        <v>0.00375843908776651</v>
      </c>
      <c r="R94" s="76">
        <v>0.0102598249337606</v>
      </c>
      <c r="S94" s="76"/>
      <c r="T94" s="70">
        <f>P94-O94</f>
        <v>-0.00876453771247896</v>
      </c>
      <c r="U94" s="70">
        <f>R94-P94</f>
        <v>0.00410501753013993</v>
      </c>
      <c r="V94" s="70">
        <f>R94-O94</f>
        <v>-0.00465952018233903</v>
      </c>
      <c r="W94" s="35"/>
      <c r="X94" s="35"/>
      <c r="Y94" s="70">
        <f>V94/1.75</f>
        <v>-0.00266258296133659</v>
      </c>
    </row>
    <row r="95" ht="14" outlineLevel="1" spans="1:25">
      <c r="A95" s="13" t="s">
        <v>39</v>
      </c>
      <c r="B95" s="13" t="s">
        <v>136</v>
      </c>
      <c r="D95" s="13" t="s">
        <v>98</v>
      </c>
      <c r="E95" s="13" t="s">
        <v>29</v>
      </c>
      <c r="F95" s="13" t="s">
        <v>99</v>
      </c>
      <c r="G95" s="13" t="s">
        <v>35</v>
      </c>
      <c r="H95" s="63">
        <v>108522</v>
      </c>
      <c r="I95" s="91" t="s">
        <v>137</v>
      </c>
      <c r="J95" s="63">
        <v>36161</v>
      </c>
      <c r="K95" s="63">
        <v>47786</v>
      </c>
      <c r="L95" s="63">
        <v>24473</v>
      </c>
      <c r="M95" s="63">
        <v>36183</v>
      </c>
      <c r="N95" s="63"/>
      <c r="O95" s="35">
        <v>0.108989583584501</v>
      </c>
      <c r="P95" s="35">
        <v>0.096939230912794</v>
      </c>
      <c r="Q95" s="76">
        <v>0.0960723889532259</v>
      </c>
      <c r="R95" s="76">
        <v>0.100387032335927</v>
      </c>
      <c r="S95" s="76"/>
      <c r="T95" s="70">
        <f>P95-O95</f>
        <v>-0.0120503526717067</v>
      </c>
      <c r="U95" s="70">
        <f>R95-P95</f>
        <v>0.00344780142313338</v>
      </c>
      <c r="V95" s="70">
        <f>R95-O95</f>
        <v>-0.00860255124857333</v>
      </c>
      <c r="W95" s="35"/>
      <c r="X95" s="35"/>
      <c r="Y95" s="70">
        <f>V95/1.75</f>
        <v>-0.00491574357061333</v>
      </c>
    </row>
    <row r="96" ht="14" outlineLevel="1" spans="1:25">
      <c r="A96" s="13" t="s">
        <v>138</v>
      </c>
      <c r="B96" s="13" t="s">
        <v>139</v>
      </c>
      <c r="D96" s="13" t="s">
        <v>98</v>
      </c>
      <c r="E96" s="13" t="s">
        <v>29</v>
      </c>
      <c r="F96" s="13" t="s">
        <v>99</v>
      </c>
      <c r="G96" s="13" t="s">
        <v>35</v>
      </c>
      <c r="H96" s="63">
        <v>112866</v>
      </c>
      <c r="I96" s="91" t="s">
        <v>140</v>
      </c>
      <c r="J96" s="63">
        <v>2416</v>
      </c>
      <c r="K96" s="63">
        <v>3280</v>
      </c>
      <c r="L96" s="63">
        <v>4218</v>
      </c>
      <c r="M96" s="63">
        <v>9079</v>
      </c>
      <c r="N96" s="63"/>
      <c r="O96" s="77">
        <v>0.00728184602030237</v>
      </c>
      <c r="P96" s="77">
        <v>0.00665384584175207</v>
      </c>
      <c r="Q96" s="76">
        <v>0.0165583842031916</v>
      </c>
      <c r="R96" s="76">
        <v>0.0251890077267746</v>
      </c>
      <c r="S96" s="76"/>
      <c r="T96" s="70">
        <f>P96-O96</f>
        <v>-0.000628000178550294</v>
      </c>
      <c r="U96" s="70">
        <f>R96-P96</f>
        <v>0.0185351618850225</v>
      </c>
      <c r="V96" s="70">
        <f>R96-O96</f>
        <v>0.0179071617064722</v>
      </c>
      <c r="W96" s="35"/>
      <c r="X96" s="35"/>
      <c r="Y96" s="70">
        <f>V96/1.75</f>
        <v>0.0102326638322698</v>
      </c>
    </row>
    <row r="97" ht="14" outlineLevel="1" spans="1:25">
      <c r="A97" s="13" t="s">
        <v>39</v>
      </c>
      <c r="B97" s="13" t="s">
        <v>141</v>
      </c>
      <c r="D97" s="13" t="s">
        <v>98</v>
      </c>
      <c r="E97" s="13" t="s">
        <v>29</v>
      </c>
      <c r="F97" s="13" t="s">
        <v>99</v>
      </c>
      <c r="G97" s="13" t="s">
        <v>35</v>
      </c>
      <c r="H97" s="63">
        <f>1068000*0.155035</f>
        <v>165577.38</v>
      </c>
      <c r="I97" s="91" t="s">
        <v>142</v>
      </c>
      <c r="J97" s="92">
        <f>8230*12/9</f>
        <v>10973.3333333333</v>
      </c>
      <c r="K97" s="92">
        <f>6785*2</f>
        <v>13570</v>
      </c>
      <c r="L97" s="63">
        <v>9188</v>
      </c>
      <c r="M97" s="63">
        <v>14568</v>
      </c>
      <c r="N97" s="63"/>
      <c r="O97" s="77">
        <v>0.0330737266816162</v>
      </c>
      <c r="P97" s="77">
        <v>0.0275282585587121</v>
      </c>
      <c r="Q97" s="76">
        <v>0.0360688558698255</v>
      </c>
      <c r="R97" s="76">
        <v>0.0404178284572808</v>
      </c>
      <c r="S97" s="76"/>
      <c r="T97" s="70">
        <f>P97-O97</f>
        <v>-0.00554546812290408</v>
      </c>
      <c r="U97" s="70">
        <f>R97-P97</f>
        <v>0.0128895698985687</v>
      </c>
      <c r="V97" s="70">
        <f>R97-O97</f>
        <v>0.00734410177566463</v>
      </c>
      <c r="W97" s="35"/>
      <c r="X97" s="35"/>
      <c r="Y97" s="70">
        <f>V97/1.75</f>
        <v>0.00419662958609407</v>
      </c>
    </row>
    <row r="98" ht="14" outlineLevel="1" spans="1:25">
      <c r="A98" s="13" t="s">
        <v>119</v>
      </c>
      <c r="B98" s="13" t="s">
        <v>143</v>
      </c>
      <c r="D98" s="13" t="s">
        <v>98</v>
      </c>
      <c r="E98" s="13" t="s">
        <v>29</v>
      </c>
      <c r="F98" s="13" t="s">
        <v>99</v>
      </c>
      <c r="G98" s="13" t="s">
        <v>35</v>
      </c>
      <c r="H98" s="63">
        <f>913000*T72</f>
        <v>141546.955</v>
      </c>
      <c r="I98" s="91" t="s">
        <v>144</v>
      </c>
      <c r="J98" s="63">
        <v>35893</v>
      </c>
      <c r="K98" s="63">
        <v>30051</v>
      </c>
      <c r="L98" s="63">
        <v>16315</v>
      </c>
      <c r="M98" s="63">
        <v>25952</v>
      </c>
      <c r="N98" s="63"/>
      <c r="O98" s="77">
        <v>0.108181829141851</v>
      </c>
      <c r="P98" s="77">
        <v>0.0609618053019791</v>
      </c>
      <c r="Q98" s="76">
        <v>0.064046950752743</v>
      </c>
      <c r="R98" s="76">
        <v>0.0720018866092361</v>
      </c>
      <c r="S98" s="76"/>
      <c r="T98" s="70">
        <f>P98-O98</f>
        <v>-0.0472200238398722</v>
      </c>
      <c r="U98" s="70">
        <f>R98-P98</f>
        <v>0.0110400813072569</v>
      </c>
      <c r="V98" s="70">
        <f>R98-O98</f>
        <v>-0.0361799425326153</v>
      </c>
      <c r="W98" s="35"/>
      <c r="X98" s="35"/>
      <c r="Y98" s="70">
        <f>V98/1.75</f>
        <v>-0.0206742528757802</v>
      </c>
    </row>
    <row r="99" ht="14" outlineLevel="1" spans="1:25">
      <c r="A99" s="13" t="s">
        <v>33</v>
      </c>
      <c r="B99" s="13" t="s">
        <v>145</v>
      </c>
      <c r="D99" s="13" t="s">
        <v>98</v>
      </c>
      <c r="E99" s="13" t="s">
        <v>29</v>
      </c>
      <c r="F99" s="13" t="s">
        <v>99</v>
      </c>
      <c r="G99" s="13" t="s">
        <v>35</v>
      </c>
      <c r="H99" s="63">
        <f>699900*T72</f>
        <v>108508.9965</v>
      </c>
      <c r="I99" s="91" t="s">
        <v>137</v>
      </c>
      <c r="J99" s="12">
        <v>48538</v>
      </c>
      <c r="K99" s="63">
        <v>50217</v>
      </c>
      <c r="L99" s="63">
        <v>12828</v>
      </c>
      <c r="M99" s="63">
        <v>34878</v>
      </c>
      <c r="N99" s="63"/>
      <c r="O99" s="77">
        <v>0.146293974392979</v>
      </c>
      <c r="P99" s="77">
        <v>0.101870785559532</v>
      </c>
      <c r="Q99" s="76">
        <v>0.050358215400318</v>
      </c>
      <c r="R99" s="76">
        <v>0.0967664072578967</v>
      </c>
      <c r="S99" s="76"/>
      <c r="T99" s="70">
        <f>P99-O99</f>
        <v>-0.0444231888334469</v>
      </c>
      <c r="U99" s="70">
        <f>R99-P99</f>
        <v>-0.00510437830163493</v>
      </c>
      <c r="V99" s="70">
        <f>R99-O99</f>
        <v>-0.0495275671350819</v>
      </c>
      <c r="W99" s="70"/>
      <c r="X99" s="70"/>
      <c r="Y99" s="70">
        <f>V99/1.75</f>
        <v>-0.0283014669343325</v>
      </c>
    </row>
    <row r="100" ht="14" outlineLevel="1" spans="1:25">
      <c r="A100" s="13" t="s">
        <v>52</v>
      </c>
      <c r="J100" s="39">
        <f>SUM(J91:J99)</f>
        <v>148518.333333333</v>
      </c>
      <c r="K100" s="39">
        <f>SUM(K91:K99)</f>
        <v>154967</v>
      </c>
      <c r="L100" s="39">
        <f>SUM(L91:L99)</f>
        <v>70829</v>
      </c>
      <c r="M100" s="39"/>
      <c r="N100" s="39"/>
      <c r="O100" s="54">
        <f>SUM(O91:O99)</f>
        <v>0.444354219744632</v>
      </c>
      <c r="P100" s="54">
        <f>SUM(P91:P99)</f>
        <v>0.315469363194066</v>
      </c>
      <c r="Q100" s="54">
        <f>SUM(Q91:Q99)</f>
        <v>0.279152520177103</v>
      </c>
      <c r="R100" s="54">
        <f>SUM(R91:R99)</f>
        <v>0.358139470362201</v>
      </c>
      <c r="S100" s="54"/>
      <c r="T100" s="54">
        <f>SUM(T91:T99)</f>
        <v>-0.128884856550565</v>
      </c>
      <c r="U100" s="54">
        <f>SUM(U91:U99)</f>
        <v>0.0426701071681347</v>
      </c>
      <c r="V100" s="54">
        <f>SUM(V91:V99)</f>
        <v>-0.0862147493824303</v>
      </c>
      <c r="W100" s="54"/>
      <c r="X100" s="54"/>
      <c r="Y100" s="70">
        <f>V100/1.75</f>
        <v>-0.0492655710756745</v>
      </c>
    </row>
    <row r="101" ht="14" outlineLevel="1" spans="1:3">
      <c r="A101" s="5" t="s">
        <v>53</v>
      </c>
      <c r="C101" s="13">
        <f>C103/B103-1</f>
        <v>0.485749764907289</v>
      </c>
    </row>
    <row r="102" s="7" customFormat="1" ht="14" outlineLevel="1" spans="1:16">
      <c r="A102" s="7" t="s">
        <v>146</v>
      </c>
      <c r="B102" s="7">
        <v>2020</v>
      </c>
      <c r="C102" s="7">
        <v>2021</v>
      </c>
      <c r="D102" s="7" t="s">
        <v>124</v>
      </c>
      <c r="E102" s="7" t="s">
        <v>55</v>
      </c>
      <c r="F102" s="7" t="s">
        <v>56</v>
      </c>
      <c r="G102" s="7" t="s">
        <v>57</v>
      </c>
      <c r="H102" s="7" t="s">
        <v>58</v>
      </c>
      <c r="I102" s="7" t="s">
        <v>59</v>
      </c>
      <c r="J102" s="7" t="s">
        <v>60</v>
      </c>
      <c r="K102" s="7" t="s">
        <v>61</v>
      </c>
      <c r="L102" s="7" t="s">
        <v>62</v>
      </c>
      <c r="O102" s="7" t="s">
        <v>64</v>
      </c>
      <c r="P102" s="7" t="s">
        <v>65</v>
      </c>
    </row>
    <row r="103" ht="14" outlineLevel="1" spans="1:16">
      <c r="A103" s="13" t="s">
        <v>66</v>
      </c>
      <c r="B103" s="29">
        <v>331784</v>
      </c>
      <c r="C103" s="29">
        <v>492948</v>
      </c>
      <c r="D103" s="30">
        <f>AVERAGE(B103:C103)</f>
        <v>412366</v>
      </c>
      <c r="E103" s="30">
        <f>AVERAGE(C103:D103)</f>
        <v>452657</v>
      </c>
      <c r="F103" s="30">
        <f>AVERAGE(D103:E103)</f>
        <v>432511.5</v>
      </c>
      <c r="G103" s="30">
        <f>AVERAGE(E103:F103)</f>
        <v>442584.25</v>
      </c>
      <c r="H103" s="30">
        <f>AVERAGE(F103:G103)</f>
        <v>437547.875</v>
      </c>
      <c r="I103" s="30">
        <f>AVERAGE(G103:H103)</f>
        <v>440066.0625</v>
      </c>
      <c r="J103" s="30">
        <f>AVERAGE(H103:I103)</f>
        <v>438806.96875</v>
      </c>
      <c r="K103" s="30">
        <f>AVERAGE(I103:J103)</f>
        <v>439436.515625</v>
      </c>
      <c r="L103" s="30">
        <f>AVERAGE(J103:K103)</f>
        <v>439121.7421875</v>
      </c>
      <c r="P103" s="13" t="s">
        <v>67</v>
      </c>
    </row>
    <row r="104" ht="14" outlineLevel="1" spans="1:1">
      <c r="A104" s="5" t="s">
        <v>68</v>
      </c>
    </row>
    <row r="105" s="5" customFormat="1" ht="14" outlineLevel="1" spans="1:17">
      <c r="A105" s="5" t="s">
        <v>128</v>
      </c>
      <c r="B105" s="76">
        <v>0.0137589516070697</v>
      </c>
      <c r="C105" s="76">
        <v>0.00466986375844917</v>
      </c>
      <c r="D105" s="70">
        <f>R91+Y91/4</f>
        <v>0.00428352260398375</v>
      </c>
      <c r="E105" s="70">
        <f>D105-E114</f>
        <v>0.0100560360830484</v>
      </c>
      <c r="F105" s="70">
        <f>E105-F114</f>
        <v>0.0111433199893626</v>
      </c>
      <c r="G105" s="70">
        <f>F105-G114</f>
        <v>0.0119604376321561</v>
      </c>
      <c r="H105" s="70">
        <f>G105-H114</f>
        <v>0.0117214026230297</v>
      </c>
      <c r="I105" s="70">
        <f>H105-I114</f>
        <v>0.00987593730448673</v>
      </c>
      <c r="J105" s="70">
        <f>I105-J114</f>
        <v>0.00803047198594366</v>
      </c>
      <c r="K105" s="70">
        <f>J105-K114</f>
        <v>0.00618500666740065</v>
      </c>
      <c r="L105" s="70">
        <f>K105-L114</f>
        <v>0.00433954134885757</v>
      </c>
      <c r="O105" s="85"/>
      <c r="P105" s="86">
        <f>-SUM(P106:P113)+X91</f>
        <v>-0.00779324578117676</v>
      </c>
      <c r="Q105" s="86"/>
    </row>
    <row r="106" ht="14" outlineLevel="1" spans="1:17">
      <c r="A106" s="13" t="s">
        <v>131</v>
      </c>
      <c r="B106" s="77">
        <v>0</v>
      </c>
      <c r="C106" s="77">
        <v>0.00371235911292875</v>
      </c>
      <c r="D106" s="70">
        <f>MAX(0,R92+P106/4)</f>
        <v>0.00212705943281498</v>
      </c>
      <c r="E106" s="33">
        <f>MAX(0,D106+P106)</f>
        <v>0.00425411886562996</v>
      </c>
      <c r="F106" s="33">
        <f>MAX(0,E106+P106)</f>
        <v>0.00638117829844493</v>
      </c>
      <c r="G106" s="33">
        <f>MAX(0,F106+P106)</f>
        <v>0.00850823773125991</v>
      </c>
      <c r="H106" s="33">
        <f>MAX(0,G106+P106)</f>
        <v>0.0106352971640749</v>
      </c>
      <c r="I106" s="33">
        <f>MAX(0,H106+P106)</f>
        <v>0.0127623565968899</v>
      </c>
      <c r="J106" s="33">
        <f>MAX(0,I106+P106)</f>
        <v>0.0148894160297049</v>
      </c>
      <c r="K106" s="33">
        <f>MAX(0,J106+P106)</f>
        <v>0.0170164754625198</v>
      </c>
      <c r="L106" s="33">
        <f>MAX(0,K106+P106)</f>
        <v>0.0191435348953348</v>
      </c>
      <c r="O106" s="56">
        <v>1</v>
      </c>
      <c r="P106" s="57">
        <f>O106*Y92</f>
        <v>0.00212705943281498</v>
      </c>
      <c r="Q106" s="57"/>
    </row>
    <row r="107" ht="14" outlineLevel="1" spans="1:17">
      <c r="A107" s="13" t="s">
        <v>134</v>
      </c>
      <c r="B107" s="77">
        <v>0.0151363537723338</v>
      </c>
      <c r="C107" s="77">
        <v>0.00587688762303529</v>
      </c>
      <c r="D107" s="70">
        <f>MAX(0,R93+P107/4)</f>
        <v>0.00522556209979167</v>
      </c>
      <c r="E107" s="33">
        <f>MAX(0,D107+P107)</f>
        <v>0.000270166263520594</v>
      </c>
      <c r="F107" s="33">
        <f>MAX(0,E107+P107)</f>
        <v>0</v>
      </c>
      <c r="G107" s="33">
        <f>MAX(0,F107+P107)</f>
        <v>0</v>
      </c>
      <c r="H107" s="33">
        <f>MAX(0,G107+P107)</f>
        <v>0</v>
      </c>
      <c r="I107" s="33">
        <f>MAX(0,H107+P107)</f>
        <v>0</v>
      </c>
      <c r="J107" s="33">
        <f>MAX(0,I107+P107)</f>
        <v>0</v>
      </c>
      <c r="K107" s="33">
        <f>MAX(0,J107+P107)</f>
        <v>0</v>
      </c>
      <c r="L107" s="33">
        <f>MAX(0,K107+P107)</f>
        <v>0</v>
      </c>
      <c r="O107" s="56">
        <f>O106</f>
        <v>1</v>
      </c>
      <c r="P107" s="57">
        <f>O107*Y93</f>
        <v>-0.00495539583627107</v>
      </c>
      <c r="Q107" s="57"/>
    </row>
    <row r="108" ht="14" outlineLevel="1" spans="1:17">
      <c r="A108" s="13" t="s">
        <v>135</v>
      </c>
      <c r="B108" s="77">
        <v>0.0149193451160996</v>
      </c>
      <c r="C108" s="77">
        <v>0.00615480740362067</v>
      </c>
      <c r="D108" s="70">
        <f>MAX(0,R94+P108/4)</f>
        <v>0.00959417919342645</v>
      </c>
      <c r="E108" s="33">
        <f>MAX(0,D108+P108)</f>
        <v>0.00693159623208986</v>
      </c>
      <c r="F108" s="33">
        <f>MAX(0,E108+P108)</f>
        <v>0.00426901327075327</v>
      </c>
      <c r="G108" s="33">
        <f>MAX(0,F108+P108)</f>
        <v>0.00160643030941667</v>
      </c>
      <c r="H108" s="33">
        <f>MAX(0,G108+P108)</f>
        <v>0</v>
      </c>
      <c r="I108" s="33">
        <f>MAX(0,H108+P108)</f>
        <v>0</v>
      </c>
      <c r="J108" s="33">
        <f>MAX(0,I108+P108)</f>
        <v>0</v>
      </c>
      <c r="K108" s="33">
        <f>MAX(0,J108+P108)</f>
        <v>0</v>
      </c>
      <c r="L108" s="33">
        <f>MAX(0,K108+P108)</f>
        <v>0</v>
      </c>
      <c r="O108" s="56">
        <f>O107</f>
        <v>1</v>
      </c>
      <c r="P108" s="57">
        <f>O108*Y94</f>
        <v>-0.00266258296133659</v>
      </c>
      <c r="Q108" s="57"/>
    </row>
    <row r="109" ht="14" outlineLevel="1" spans="1:17">
      <c r="A109" s="13" t="s">
        <v>136</v>
      </c>
      <c r="B109" s="35">
        <v>0.108989583584501</v>
      </c>
      <c r="C109" s="35">
        <v>0.096939230912794</v>
      </c>
      <c r="D109" s="70">
        <f>MAX(0,R95+P109/4)</f>
        <v>0.0991580964432741</v>
      </c>
      <c r="E109" s="33">
        <f>MAX(0,D109+P109)</f>
        <v>0.0942423528726608</v>
      </c>
      <c r="F109" s="33">
        <f>MAX(0,E109+P109)</f>
        <v>0.0893266093020474</v>
      </c>
      <c r="G109" s="33">
        <f>MAX(0,F109+P109)</f>
        <v>0.0844108657314341</v>
      </c>
      <c r="H109" s="33">
        <f>MAX(0,G109+P109)</f>
        <v>0.0794951221608208</v>
      </c>
      <c r="I109" s="33">
        <f>MAX(0,H109+P109)</f>
        <v>0.0745793785902074</v>
      </c>
      <c r="J109" s="33">
        <f>MAX(0,I109+P109)</f>
        <v>0.0696636350195941</v>
      </c>
      <c r="K109" s="33">
        <f>MAX(0,J109+P109)</f>
        <v>0.0647478914489808</v>
      </c>
      <c r="L109" s="33">
        <f>MAX(0,K109+P109)</f>
        <v>0.0598321478783674</v>
      </c>
      <c r="O109" s="56">
        <f>O108</f>
        <v>1</v>
      </c>
      <c r="P109" s="57">
        <f>O109*Y95</f>
        <v>-0.00491574357061333</v>
      </c>
      <c r="Q109" s="57"/>
    </row>
    <row r="110" ht="14" outlineLevel="1" spans="1:17">
      <c r="A110" s="13" t="s">
        <v>139</v>
      </c>
      <c r="B110" s="77">
        <v>0.00728184602030237</v>
      </c>
      <c r="C110" s="77">
        <v>0.00665384584175207</v>
      </c>
      <c r="D110" s="70">
        <f>MAX(0,R96+P110/4)</f>
        <v>0.0277471736848421</v>
      </c>
      <c r="E110" s="33">
        <f>MAX(0,D110+P110)</f>
        <v>0.0379798375171119</v>
      </c>
      <c r="F110" s="33">
        <f>MAX(0,E110+P110)</f>
        <v>0.0482125013493817</v>
      </c>
      <c r="G110" s="33">
        <f>MAX(0,F110+P110)</f>
        <v>0.0584451651816516</v>
      </c>
      <c r="H110" s="33">
        <f>MAX(0,G110+P110)</f>
        <v>0.0686778290139214</v>
      </c>
      <c r="I110" s="33">
        <f>MAX(0,H110+P110)</f>
        <v>0.0789104928461913</v>
      </c>
      <c r="J110" s="33">
        <f>MAX(0,I110+P110)</f>
        <v>0.0891431566784611</v>
      </c>
      <c r="K110" s="33">
        <f>MAX(0,J110+P110)</f>
        <v>0.0993758205107309</v>
      </c>
      <c r="L110" s="33">
        <f>MAX(0,K110+P110)</f>
        <v>0.109608484343001</v>
      </c>
      <c r="O110" s="56">
        <f>O109</f>
        <v>1</v>
      </c>
      <c r="P110" s="57">
        <f>O110*Y96</f>
        <v>0.0102326638322698</v>
      </c>
      <c r="Q110" s="57"/>
    </row>
    <row r="111" ht="14" outlineLevel="1" spans="1:17">
      <c r="A111" s="13" t="s">
        <v>141</v>
      </c>
      <c r="B111" s="77">
        <v>0.0330737266816162</v>
      </c>
      <c r="C111" s="77">
        <v>0.0275282585587121</v>
      </c>
      <c r="D111" s="70">
        <f>MAX(0,R97+P111/4)</f>
        <v>0.0414669858538043</v>
      </c>
      <c r="E111" s="33">
        <f>MAX(0,D111+P111)</f>
        <v>0.0456636154398984</v>
      </c>
      <c r="F111" s="33">
        <f>MAX(0,E111+P111)</f>
        <v>0.0498602450259925</v>
      </c>
      <c r="G111" s="33">
        <f>MAX(0,F111+P111)</f>
        <v>0.0540568746120865</v>
      </c>
      <c r="H111" s="33">
        <f>MAX(0,G111+P111)</f>
        <v>0.0582535041981806</v>
      </c>
      <c r="I111" s="33">
        <f>MAX(0,H111+P111)</f>
        <v>0.0624501337842747</v>
      </c>
      <c r="J111" s="33">
        <f>MAX(0,I111+P111)</f>
        <v>0.0666467633703688</v>
      </c>
      <c r="K111" s="33">
        <f>MAX(0,J111+P111)</f>
        <v>0.0708433929564628</v>
      </c>
      <c r="L111" s="33">
        <f>MAX(0,K111+P111)</f>
        <v>0.0750400225425569</v>
      </c>
      <c r="O111" s="56">
        <f>O110</f>
        <v>1</v>
      </c>
      <c r="P111" s="57">
        <f>O111*Y97</f>
        <v>0.00419662958609407</v>
      </c>
      <c r="Q111" s="57"/>
    </row>
    <row r="112" ht="14" outlineLevel="1" spans="1:17">
      <c r="A112" s="13" t="s">
        <v>143</v>
      </c>
      <c r="B112" s="77">
        <v>0.108181829141851</v>
      </c>
      <c r="C112" s="77">
        <v>0.0609618053019791</v>
      </c>
      <c r="D112" s="70">
        <f>MAX(0,R98+P112/4)</f>
        <v>0.0709681739654471</v>
      </c>
      <c r="E112" s="33">
        <f>MAX(0,D112+P112)</f>
        <v>0.066833323390291</v>
      </c>
      <c r="F112" s="33">
        <f>MAX(0,E112+P112)</f>
        <v>0.062698472815135</v>
      </c>
      <c r="G112" s="33">
        <f>MAX(0,F112+P112)</f>
        <v>0.058563622239979</v>
      </c>
      <c r="H112" s="33">
        <f>MAX(0,G112+P112)</f>
        <v>0.0544287716648229</v>
      </c>
      <c r="I112" s="33">
        <f>MAX(0,H112+P112)</f>
        <v>0.0502939210896669</v>
      </c>
      <c r="J112" s="33">
        <f>MAX(0,I112+P112)</f>
        <v>0.0461590705145109</v>
      </c>
      <c r="K112" s="33">
        <f>MAX(0,J112+P112)</f>
        <v>0.0420242199393548</v>
      </c>
      <c r="L112" s="33">
        <f>MAX(0,K112+P112)</f>
        <v>0.0378893693641988</v>
      </c>
      <c r="O112" s="56">
        <v>0.2</v>
      </c>
      <c r="P112" s="57">
        <f>O112*Y98</f>
        <v>-0.00413485057515603</v>
      </c>
      <c r="Q112" s="57"/>
    </row>
    <row r="113" ht="14" outlineLevel="1" spans="1:17">
      <c r="A113" s="13" t="s">
        <v>145</v>
      </c>
      <c r="B113" s="77">
        <v>0.146293974392979</v>
      </c>
      <c r="C113" s="77">
        <v>0.101870785559532</v>
      </c>
      <c r="D113" s="70">
        <f>MAX(0,R99+P113/4)</f>
        <v>0.0953513339111801</v>
      </c>
      <c r="E113" s="33">
        <f>MAX(0,D113+P113)</f>
        <v>0.0896910405243136</v>
      </c>
      <c r="F113" s="33">
        <f>MAX(0,E113+P113)</f>
        <v>0.0840307471374471</v>
      </c>
      <c r="G113" s="33">
        <f>MAX(0,F113+P113)</f>
        <v>0.0783704537505806</v>
      </c>
      <c r="H113" s="33">
        <f>MAX(0,G113+P113)</f>
        <v>0.0727101603637141</v>
      </c>
      <c r="I113" s="33">
        <f>MAX(0,H113+P113)</f>
        <v>0.0670498669768476</v>
      </c>
      <c r="J113" s="33">
        <f>MAX(0,I113+P113)</f>
        <v>0.0613895735899811</v>
      </c>
      <c r="K113" s="33">
        <f>MAX(0,J113+P113)</f>
        <v>0.0557292802031146</v>
      </c>
      <c r="L113" s="33">
        <f>MAX(0,K113+P113)</f>
        <v>0.0500689868162481</v>
      </c>
      <c r="O113" s="56">
        <v>0.2</v>
      </c>
      <c r="P113" s="57">
        <f>O113*Y99</f>
        <v>-0.0056602933868665</v>
      </c>
      <c r="Q113" s="57"/>
    </row>
    <row r="114" ht="14" outlineLevel="1" spans="1:17">
      <c r="A114" s="16" t="s">
        <v>70</v>
      </c>
      <c r="B114" s="77"/>
      <c r="C114" s="77">
        <f>SUM(C106:C113)-SUM(B106:B113)</f>
        <v>-0.124178678395329</v>
      </c>
      <c r="D114" s="77">
        <f>SUM(D106:D113)-SUM(C106:C113)</f>
        <v>0.0419405842702271</v>
      </c>
      <c r="E114" s="77">
        <f>SUM(E106:E113)-SUM(D106:D113)</f>
        <v>-0.0057725134790646</v>
      </c>
      <c r="F114" s="77">
        <f>SUM(F106:F113)-SUM(E106:E113)</f>
        <v>-0.00108728390631424</v>
      </c>
      <c r="G114" s="77">
        <f>SUM(G106:G113)-SUM(F106:F113)</f>
        <v>-0.000817117642793519</v>
      </c>
      <c r="H114" s="77">
        <f>SUM(H106:H113)-SUM(G106:G113)</f>
        <v>0.000239035009126365</v>
      </c>
      <c r="I114" s="77">
        <f>SUM(I106:I113)-SUM(H106:H113)</f>
        <v>0.00184546531854302</v>
      </c>
      <c r="J114" s="77">
        <f>SUM(J106:J113)-SUM(I106:I113)</f>
        <v>0.00184546531854307</v>
      </c>
      <c r="K114" s="77">
        <f>SUM(K106:K113)-SUM(J106:J113)</f>
        <v>0.00184546531854302</v>
      </c>
      <c r="L114" s="77">
        <f>SUM(L106:L113)-SUM(K106:K113)</f>
        <v>0.00184546531854307</v>
      </c>
      <c r="O114" s="56"/>
      <c r="P114" s="57"/>
      <c r="Q114" s="57"/>
    </row>
    <row r="115" ht="14" outlineLevel="1" spans="1:5">
      <c r="A115" s="5" t="s">
        <v>45</v>
      </c>
      <c r="E115" s="33"/>
    </row>
    <row r="116" ht="14" outlineLevel="1" spans="1:12">
      <c r="A116" s="16" t="s">
        <v>128</v>
      </c>
      <c r="B116" s="63">
        <v>4565</v>
      </c>
      <c r="C116" s="63">
        <v>2302</v>
      </c>
      <c r="D116" s="78">
        <f>D105*D103</f>
        <v>1766.37908211436</v>
      </c>
      <c r="E116" s="74">
        <f>E105*E103</f>
        <v>4551.93512524442</v>
      </c>
      <c r="F116" s="74">
        <f>F105*F103</f>
        <v>4819.6140435792</v>
      </c>
      <c r="G116" s="74">
        <f>G105*G103</f>
        <v>5293.50131909959</v>
      </c>
      <c r="H116" s="74">
        <f>H105*H103</f>
        <v>5128.67480972609</v>
      </c>
      <c r="I116" s="74">
        <f>I105*I103</f>
        <v>4346.06484308234</v>
      </c>
      <c r="J116" s="74">
        <f>J105*J103</f>
        <v>3523.82706978373</v>
      </c>
      <c r="K116" s="74">
        <f>K105*K103</f>
        <v>2717.91777903993</v>
      </c>
      <c r="L116" s="74">
        <f>L105*L103</f>
        <v>1905.58695740503</v>
      </c>
    </row>
    <row r="117" customHeight="1" outlineLevel="1"/>
    <row r="118" customHeight="1" outlineLevel="1"/>
    <row r="119" s="2" customFormat="1" ht="19.75" outlineLevel="1"/>
    <row r="120" s="2" customFormat="1" ht="20.5" spans="1:1">
      <c r="A120" s="2" t="s">
        <v>147</v>
      </c>
    </row>
    <row r="121" s="3" customFormat="1" ht="15.5" outlineLevel="1" spans="1:1">
      <c r="A121" s="3" t="s">
        <v>2</v>
      </c>
    </row>
    <row r="122" s="4" customFormat="1" ht="46.5" customHeight="1" outlineLevel="1" spans="1:25">
      <c r="A122" s="4" t="s">
        <v>3</v>
      </c>
      <c r="B122" s="4" t="s">
        <v>4</v>
      </c>
      <c r="C122" s="4" t="s">
        <v>5</v>
      </c>
      <c r="D122" s="4" t="s">
        <v>6</v>
      </c>
      <c r="E122" s="4" t="s">
        <v>7</v>
      </c>
      <c r="F122" s="4" t="s">
        <v>8</v>
      </c>
      <c r="G122" s="4" t="s">
        <v>9</v>
      </c>
      <c r="H122" s="4" t="s">
        <v>10</v>
      </c>
      <c r="I122" s="4" t="s">
        <v>11</v>
      </c>
      <c r="J122" s="4" t="s">
        <v>12</v>
      </c>
      <c r="K122" s="4" t="s">
        <v>13</v>
      </c>
      <c r="L122" s="4" t="s">
        <v>148</v>
      </c>
      <c r="M122" s="4" t="s">
        <v>76</v>
      </c>
      <c r="N122" s="4" t="s">
        <v>16</v>
      </c>
      <c r="O122" s="4" t="s">
        <v>17</v>
      </c>
      <c r="P122" s="4" t="s">
        <v>18</v>
      </c>
      <c r="Q122" s="4" t="s">
        <v>149</v>
      </c>
      <c r="R122" s="4" t="s">
        <v>20</v>
      </c>
      <c r="T122" s="4" t="s">
        <v>22</v>
      </c>
      <c r="U122" s="4" t="s">
        <v>23</v>
      </c>
      <c r="V122" s="4" t="s">
        <v>24</v>
      </c>
      <c r="W122" s="4" t="s">
        <v>25</v>
      </c>
      <c r="X122" s="4" t="s">
        <v>26</v>
      </c>
      <c r="Y122" s="4" t="s">
        <v>27</v>
      </c>
    </row>
    <row r="123" s="5" customFormat="1" ht="14" outlineLevel="1" spans="1:27">
      <c r="A123" s="14" t="s">
        <v>0</v>
      </c>
      <c r="B123" s="15" t="s">
        <v>2</v>
      </c>
      <c r="C123" s="15">
        <v>2021.1</v>
      </c>
      <c r="D123" s="15" t="s">
        <v>98</v>
      </c>
      <c r="E123" s="79" t="s">
        <v>29</v>
      </c>
      <c r="F123" s="79" t="s">
        <v>150</v>
      </c>
      <c r="G123" s="80" t="s">
        <v>31</v>
      </c>
      <c r="H123" s="60">
        <f>54990*1.12</f>
        <v>61588.8</v>
      </c>
      <c r="I123" s="93" t="s">
        <v>151</v>
      </c>
      <c r="J123" s="19">
        <v>0</v>
      </c>
      <c r="K123" s="19">
        <v>24376</v>
      </c>
      <c r="L123" s="19">
        <v>45047</v>
      </c>
      <c r="M123" s="19">
        <v>83058</v>
      </c>
      <c r="N123" s="19"/>
      <c r="O123" s="76">
        <v>0</v>
      </c>
      <c r="P123" s="76">
        <v>0.0186606672871837</v>
      </c>
      <c r="Q123" s="76">
        <v>0.059205684124197</v>
      </c>
      <c r="R123" s="76">
        <v>0.0733949007607415</v>
      </c>
      <c r="S123" s="76"/>
      <c r="T123" s="68">
        <f>P123-O123</f>
        <v>0.0186606672871837</v>
      </c>
      <c r="U123" s="68">
        <f>R123-P123</f>
        <v>0.0547342334735579</v>
      </c>
      <c r="V123" s="68">
        <f>R123-O123</f>
        <v>0.0733949007607415</v>
      </c>
      <c r="W123" s="68">
        <f>SUM(V124:V144)/1.75</f>
        <v>-0.0395328365254545</v>
      </c>
      <c r="X123" s="68">
        <f>Y123+W123</f>
        <v>0.00240710676639785</v>
      </c>
      <c r="Y123" s="68">
        <f>V123/1.75</f>
        <v>0.0419399432918523</v>
      </c>
      <c r="AA123" s="96"/>
    </row>
    <row r="124" ht="14" outlineLevel="1" spans="1:27">
      <c r="A124" s="20" t="s">
        <v>107</v>
      </c>
      <c r="B124" s="81" t="s">
        <v>152</v>
      </c>
      <c r="C124" s="81">
        <v>2021.8</v>
      </c>
      <c r="D124" s="16" t="s">
        <v>28</v>
      </c>
      <c r="E124" s="82" t="s">
        <v>29</v>
      </c>
      <c r="F124" s="82" t="s">
        <v>150</v>
      </c>
      <c r="G124" s="83" t="s">
        <v>31</v>
      </c>
      <c r="H124" s="63">
        <f>60970*1.12</f>
        <v>68286.4</v>
      </c>
      <c r="I124" s="93" t="s">
        <v>153</v>
      </c>
      <c r="J124" s="23">
        <v>0</v>
      </c>
      <c r="K124" s="23">
        <v>146</v>
      </c>
      <c r="L124" s="23">
        <v>8756</v>
      </c>
      <c r="M124" s="23">
        <v>13882</v>
      </c>
      <c r="N124" s="23"/>
      <c r="O124" s="77">
        <v>0</v>
      </c>
      <c r="P124" s="94">
        <f>0.00984020451449712%/8*12</f>
        <v>0.000147603067717457</v>
      </c>
      <c r="Q124" s="77">
        <v>0.0115080908871061</v>
      </c>
      <c r="R124" s="77">
        <v>0.0122669461383685</v>
      </c>
      <c r="S124" s="77"/>
      <c r="T124" s="95">
        <f>P124-O124</f>
        <v>0.000147603067717457</v>
      </c>
      <c r="U124" s="95">
        <f>R124-P124</f>
        <v>0.0121193430706511</v>
      </c>
      <c r="V124" s="95">
        <f>R124-O124</f>
        <v>0.0122669461383685</v>
      </c>
      <c r="W124" s="77"/>
      <c r="X124" s="77"/>
      <c r="Y124" s="95">
        <f>V124/1.75</f>
        <v>0.00700968350763916</v>
      </c>
      <c r="Z124" s="97"/>
      <c r="AA124" s="98"/>
    </row>
    <row r="125" ht="14" outlineLevel="1" spans="1:27">
      <c r="A125" s="20" t="s">
        <v>119</v>
      </c>
      <c r="B125" s="81" t="s">
        <v>154</v>
      </c>
      <c r="C125" s="81"/>
      <c r="D125" s="16" t="s">
        <v>98</v>
      </c>
      <c r="E125" s="82" t="s">
        <v>29</v>
      </c>
      <c r="F125" s="82" t="s">
        <v>150</v>
      </c>
      <c r="G125" s="26" t="s">
        <v>35</v>
      </c>
      <c r="H125" s="63">
        <f>50935*1.12</f>
        <v>57047.2</v>
      </c>
      <c r="I125" s="93" t="s">
        <v>155</v>
      </c>
      <c r="J125" s="23">
        <v>16865</v>
      </c>
      <c r="K125" s="23">
        <v>15757</v>
      </c>
      <c r="L125" s="23">
        <v>9843</v>
      </c>
      <c r="M125" s="23">
        <v>14963</v>
      </c>
      <c r="N125" s="23"/>
      <c r="O125" s="77">
        <v>0.0131754518637034</v>
      </c>
      <c r="P125" s="77">
        <v>0.0106200070229405</v>
      </c>
      <c r="Q125" s="77">
        <v>0.0129367449293953</v>
      </c>
      <c r="R125" s="77">
        <v>0.0132221808866452</v>
      </c>
      <c r="S125" s="77"/>
      <c r="T125" s="95">
        <f>P125-O125</f>
        <v>-0.00255544484076293</v>
      </c>
      <c r="U125" s="95">
        <f>R125-P125</f>
        <v>0.0026021738637047</v>
      </c>
      <c r="V125" s="95">
        <f>R125-O125</f>
        <v>4.67290229417758e-5</v>
      </c>
      <c r="W125" s="77"/>
      <c r="X125" s="77"/>
      <c r="Y125" s="95">
        <f>V125/1.75</f>
        <v>2.67022988238719e-5</v>
      </c>
      <c r="Z125" s="97"/>
      <c r="AA125" s="98"/>
    </row>
    <row r="126" ht="14" outlineLevel="1" spans="1:27">
      <c r="A126" s="20" t="s">
        <v>113</v>
      </c>
      <c r="B126" s="81" t="s">
        <v>156</v>
      </c>
      <c r="C126" s="81"/>
      <c r="D126" s="16" t="s">
        <v>28</v>
      </c>
      <c r="E126" s="82" t="s">
        <v>29</v>
      </c>
      <c r="F126" s="82" t="s">
        <v>150</v>
      </c>
      <c r="G126" s="83" t="s">
        <v>31</v>
      </c>
      <c r="H126" s="63">
        <f>53610*1.12</f>
        <v>60043.2</v>
      </c>
      <c r="I126" s="93" t="s">
        <v>157</v>
      </c>
      <c r="J126" s="23">
        <v>0</v>
      </c>
      <c r="K126" s="23">
        <v>0</v>
      </c>
      <c r="L126" s="23">
        <v>6509</v>
      </c>
      <c r="M126" s="23">
        <v>10515</v>
      </c>
      <c r="N126" s="23"/>
      <c r="O126" s="77">
        <v>0</v>
      </c>
      <c r="P126" s="77">
        <v>0</v>
      </c>
      <c r="Q126" s="77">
        <v>0.00855483823483024</v>
      </c>
      <c r="R126" s="77">
        <v>0.009291668249888</v>
      </c>
      <c r="S126" s="77"/>
      <c r="T126" s="95">
        <f>P126-O126</f>
        <v>0</v>
      </c>
      <c r="U126" s="95">
        <f>R126-P126</f>
        <v>0.009291668249888</v>
      </c>
      <c r="V126" s="95">
        <f>R126-O126</f>
        <v>0.009291668249888</v>
      </c>
      <c r="W126" s="77"/>
      <c r="X126" s="77"/>
      <c r="Y126" s="95">
        <f>V126/1.75</f>
        <v>0.00530952471422171</v>
      </c>
      <c r="Z126" s="97"/>
      <c r="AA126" s="98"/>
    </row>
    <row r="127" ht="14" outlineLevel="1" spans="1:27">
      <c r="A127" s="20" t="s">
        <v>158</v>
      </c>
      <c r="B127" s="81" t="s">
        <v>159</v>
      </c>
      <c r="C127" s="81"/>
      <c r="D127" s="16" t="s">
        <v>28</v>
      </c>
      <c r="E127" s="82" t="s">
        <v>29</v>
      </c>
      <c r="F127" s="82" t="s">
        <v>150</v>
      </c>
      <c r="G127" s="83" t="s">
        <v>31</v>
      </c>
      <c r="H127" s="63">
        <f>62011*1.12</f>
        <v>69452.32</v>
      </c>
      <c r="I127" s="93" t="s">
        <v>153</v>
      </c>
      <c r="J127" s="23">
        <v>13444</v>
      </c>
      <c r="K127" s="23">
        <v>8079</v>
      </c>
      <c r="L127" s="23">
        <v>3603</v>
      </c>
      <c r="M127" s="23">
        <v>5442</v>
      </c>
      <c r="N127" s="23"/>
      <c r="O127" s="77">
        <v>0.0105028624284393</v>
      </c>
      <c r="P127" s="77">
        <v>0.00544513782689193</v>
      </c>
      <c r="Q127" s="77">
        <v>0.00473545585498439</v>
      </c>
      <c r="R127" s="77">
        <v>0.0048088691027951</v>
      </c>
      <c r="S127" s="77"/>
      <c r="T127" s="95">
        <f>P127-O127</f>
        <v>-0.00505772460154736</v>
      </c>
      <c r="U127" s="95">
        <f>R127-P127</f>
        <v>-0.000636268724096831</v>
      </c>
      <c r="V127" s="95">
        <f>R127-O127</f>
        <v>-0.00569399332564419</v>
      </c>
      <c r="W127" s="77"/>
      <c r="X127" s="77"/>
      <c r="Y127" s="95">
        <f>V127/1.75</f>
        <v>-0.00325371047179668</v>
      </c>
      <c r="Z127" s="97"/>
      <c r="AA127" s="98"/>
    </row>
    <row r="128" ht="14" outlineLevel="1" spans="1:27">
      <c r="A128" s="20" t="s">
        <v>160</v>
      </c>
      <c r="B128" s="81" t="s">
        <v>161</v>
      </c>
      <c r="C128" s="81"/>
      <c r="D128" s="16" t="s">
        <v>28</v>
      </c>
      <c r="E128" s="82" t="s">
        <v>29</v>
      </c>
      <c r="F128" s="82" t="s">
        <v>150</v>
      </c>
      <c r="G128" s="26" t="s">
        <v>35</v>
      </c>
      <c r="H128" s="63">
        <f>47579/0.727099</f>
        <v>65436.7562051385</v>
      </c>
      <c r="I128" s="93" t="s">
        <v>162</v>
      </c>
      <c r="J128" s="23">
        <v>7262</v>
      </c>
      <c r="K128" s="23">
        <v>8723</v>
      </c>
      <c r="L128" s="23">
        <v>4469</v>
      </c>
      <c r="M128" s="23">
        <v>6063</v>
      </c>
      <c r="N128" s="23"/>
      <c r="O128" s="77">
        <v>0.00567329566760831</v>
      </c>
      <c r="P128" s="77">
        <v>0.00587918520410674</v>
      </c>
      <c r="Q128" s="77">
        <v>0.00587364757588821</v>
      </c>
      <c r="R128" s="77">
        <v>0.00535762097946466</v>
      </c>
      <c r="S128" s="77"/>
      <c r="T128" s="95">
        <f>P128-O128</f>
        <v>0.000205889536498425</v>
      </c>
      <c r="U128" s="95">
        <f>R128-P128</f>
        <v>-0.000521564224642074</v>
      </c>
      <c r="V128" s="95">
        <f>R128-O128</f>
        <v>-0.000315674688143648</v>
      </c>
      <c r="W128" s="77"/>
      <c r="X128" s="77"/>
      <c r="Y128" s="95">
        <f>V128/1.75</f>
        <v>-0.000180385536082085</v>
      </c>
      <c r="Z128" s="97"/>
      <c r="AA128" s="98"/>
    </row>
    <row r="129" ht="14" outlineLevel="1" spans="1:27">
      <c r="A129" s="16" t="s">
        <v>107</v>
      </c>
      <c r="B129" s="16" t="s">
        <v>163</v>
      </c>
      <c r="C129" s="16"/>
      <c r="D129" s="16" t="s">
        <v>28</v>
      </c>
      <c r="E129" s="82" t="s">
        <v>29</v>
      </c>
      <c r="F129" s="82" t="s">
        <v>150</v>
      </c>
      <c r="G129" s="26" t="s">
        <v>35</v>
      </c>
      <c r="H129" s="63">
        <f>45324/0.727099</f>
        <v>62335.3903663738</v>
      </c>
      <c r="I129" s="93" t="s">
        <v>151</v>
      </c>
      <c r="J129" s="23">
        <v>16981</v>
      </c>
      <c r="K129" s="23">
        <v>15151</v>
      </c>
      <c r="L129" s="23">
        <v>6798</v>
      </c>
      <c r="M129" s="23">
        <v>11005</v>
      </c>
      <c r="N129" s="23"/>
      <c r="O129" s="77">
        <v>0.013266074598135</v>
      </c>
      <c r="P129" s="77">
        <v>0.0102115711369278</v>
      </c>
      <c r="Q129" s="77">
        <v>0.00893467357818037</v>
      </c>
      <c r="R129" s="77">
        <v>0.00972466087399119</v>
      </c>
      <c r="S129" s="77"/>
      <c r="T129" s="95">
        <f>P129-O129</f>
        <v>-0.00305450346120725</v>
      </c>
      <c r="U129" s="95">
        <f>R129-P129</f>
        <v>-0.000486910262936601</v>
      </c>
      <c r="V129" s="95">
        <f>R129-O129</f>
        <v>-0.00354141372414385</v>
      </c>
      <c r="W129" s="77"/>
      <c r="X129" s="77"/>
      <c r="Y129" s="95">
        <f>V129/1.75</f>
        <v>-0.00202366498522506</v>
      </c>
      <c r="Z129" s="97"/>
      <c r="AA129" s="98"/>
    </row>
    <row r="130" ht="14" outlineLevel="1" spans="1:27">
      <c r="A130" s="20" t="s">
        <v>113</v>
      </c>
      <c r="B130" s="81" t="s">
        <v>40</v>
      </c>
      <c r="C130" s="81"/>
      <c r="D130" s="16" t="s">
        <v>28</v>
      </c>
      <c r="E130" s="82" t="s">
        <v>29</v>
      </c>
      <c r="F130" s="82" t="s">
        <v>150</v>
      </c>
      <c r="G130" s="26" t="s">
        <v>35</v>
      </c>
      <c r="H130" s="63">
        <f>42493/0.727099</f>
        <v>58441.8352934057</v>
      </c>
      <c r="I130" s="93" t="s">
        <v>155</v>
      </c>
      <c r="J130" s="23">
        <v>99160</v>
      </c>
      <c r="K130" s="23">
        <v>50580</v>
      </c>
      <c r="L130" s="23">
        <v>32601</v>
      </c>
      <c r="M130" s="23">
        <v>48130</v>
      </c>
      <c r="N130" s="23"/>
      <c r="O130" s="77">
        <v>0.0774668133296668</v>
      </c>
      <c r="P130" s="77">
        <v>0.0340902427632373</v>
      </c>
      <c r="Q130" s="77">
        <v>0.0428477924863575</v>
      </c>
      <c r="R130" s="77">
        <v>0.0425304795879324</v>
      </c>
      <c r="S130" s="77"/>
      <c r="T130" s="95">
        <f>P130-O130</f>
        <v>-0.0433765705664295</v>
      </c>
      <c r="U130" s="95">
        <f>R130-P130</f>
        <v>0.00844023682469514</v>
      </c>
      <c r="V130" s="95">
        <f>R130-O130</f>
        <v>-0.0349363337417344</v>
      </c>
      <c r="W130" s="77"/>
      <c r="X130" s="77"/>
      <c r="Y130" s="95">
        <f>V130/1.75</f>
        <v>-0.0199636192809911</v>
      </c>
      <c r="Z130" s="97"/>
      <c r="AA130" s="98"/>
    </row>
    <row r="131" ht="14" outlineLevel="1" spans="1:27">
      <c r="A131" s="20" t="s">
        <v>158</v>
      </c>
      <c r="B131" s="81" t="s">
        <v>164</v>
      </c>
      <c r="C131" s="81"/>
      <c r="D131" s="16" t="s">
        <v>28</v>
      </c>
      <c r="E131" s="82" t="s">
        <v>29</v>
      </c>
      <c r="F131" s="82" t="s">
        <v>150</v>
      </c>
      <c r="G131" s="26" t="s">
        <v>35</v>
      </c>
      <c r="H131" s="63">
        <f>42506/0.727099</f>
        <v>58459.7145643165</v>
      </c>
      <c r="I131" s="93" t="s">
        <v>155</v>
      </c>
      <c r="J131" s="23">
        <v>11026</v>
      </c>
      <c r="K131" s="23">
        <v>12055</v>
      </c>
      <c r="L131" s="23">
        <v>4820</v>
      </c>
      <c r="M131" s="23">
        <v>7261</v>
      </c>
      <c r="N131" s="23"/>
      <c r="O131" s="77">
        <v>0.00861384715382115</v>
      </c>
      <c r="P131" s="77">
        <v>0.00812490859056594</v>
      </c>
      <c r="Q131" s="77">
        <v>0.00633497008632382</v>
      </c>
      <c r="R131" s="77">
        <v>0.00641624376247615</v>
      </c>
      <c r="S131" s="77"/>
      <c r="T131" s="95">
        <f>P131-O131</f>
        <v>-0.000488938563255215</v>
      </c>
      <c r="U131" s="95">
        <f>R131-P131</f>
        <v>-0.00170866482808979</v>
      </c>
      <c r="V131" s="95">
        <f>R131-O131</f>
        <v>-0.002197603391345</v>
      </c>
      <c r="W131" s="77"/>
      <c r="X131" s="77"/>
      <c r="Y131" s="95">
        <f>V131/1.75</f>
        <v>-0.00125577336648286</v>
      </c>
      <c r="Z131" s="97"/>
      <c r="AA131" s="98"/>
    </row>
    <row r="132" ht="14" outlineLevel="1" spans="1:27">
      <c r="A132" s="25" t="s">
        <v>165</v>
      </c>
      <c r="B132" s="25" t="s">
        <v>166</v>
      </c>
      <c r="C132" s="25"/>
      <c r="D132" s="16" t="s">
        <v>28</v>
      </c>
      <c r="E132" s="82" t="s">
        <v>29</v>
      </c>
      <c r="F132" s="82" t="s">
        <v>150</v>
      </c>
      <c r="G132" s="26" t="s">
        <v>35</v>
      </c>
      <c r="H132" s="63">
        <f>43740/0.727099</f>
        <v>60156.8699723146</v>
      </c>
      <c r="I132" s="93" t="s">
        <v>157</v>
      </c>
      <c r="J132" s="23">
        <v>17438</v>
      </c>
      <c r="K132" s="23">
        <v>16650</v>
      </c>
      <c r="L132" s="23">
        <v>8910</v>
      </c>
      <c r="M132" s="23">
        <v>12747</v>
      </c>
      <c r="N132" s="23"/>
      <c r="O132" s="77">
        <v>0.0136230969225769</v>
      </c>
      <c r="P132" s="77">
        <v>0.0112218770661902</v>
      </c>
      <c r="Q132" s="77">
        <v>0.0117104944956733</v>
      </c>
      <c r="R132" s="77">
        <v>0.0112639938355989</v>
      </c>
      <c r="S132" s="77"/>
      <c r="T132" s="95">
        <f>P132-O132</f>
        <v>-0.00240121985638673</v>
      </c>
      <c r="U132" s="95">
        <f>R132-P132</f>
        <v>4.21167694086844e-5</v>
      </c>
      <c r="V132" s="95">
        <f>R132-O132</f>
        <v>-0.00235910308697805</v>
      </c>
      <c r="W132" s="77"/>
      <c r="X132" s="77"/>
      <c r="Y132" s="95">
        <f>V132/1.75</f>
        <v>-0.0013480589068446</v>
      </c>
      <c r="Z132" s="97"/>
      <c r="AA132" s="98"/>
    </row>
    <row r="133" ht="14" outlineLevel="1" spans="1:27">
      <c r="A133" s="25" t="s">
        <v>167</v>
      </c>
      <c r="B133" s="25" t="s">
        <v>168</v>
      </c>
      <c r="C133" s="25"/>
      <c r="D133" s="16" t="s">
        <v>28</v>
      </c>
      <c r="E133" s="82" t="s">
        <v>29</v>
      </c>
      <c r="F133" s="82" t="s">
        <v>150</v>
      </c>
      <c r="G133" s="26" t="s">
        <v>35</v>
      </c>
      <c r="H133" s="63">
        <f>42321/0.727099</f>
        <v>58205.27878597</v>
      </c>
      <c r="I133" s="93" t="s">
        <v>155</v>
      </c>
      <c r="J133" s="23">
        <v>53523</v>
      </c>
      <c r="K133" s="23">
        <v>61094</v>
      </c>
      <c r="L133" s="23">
        <v>16018</v>
      </c>
      <c r="M133" s="23">
        <v>20161</v>
      </c>
      <c r="N133" s="23"/>
      <c r="O133" s="77">
        <v>0.0418137984050399</v>
      </c>
      <c r="P133" s="77">
        <v>0.0411765379868964</v>
      </c>
      <c r="Q133" s="77">
        <v>0.0210526039092811</v>
      </c>
      <c r="R133" s="77">
        <v>0.0178154373358052</v>
      </c>
      <c r="S133" s="77"/>
      <c r="T133" s="95">
        <f>P133-O133</f>
        <v>-0.00063726041814352</v>
      </c>
      <c r="U133" s="95">
        <f>R133-P133</f>
        <v>-0.0233611006510911</v>
      </c>
      <c r="V133" s="95">
        <f>R133-O133</f>
        <v>-0.0239983610692347</v>
      </c>
      <c r="W133" s="77"/>
      <c r="X133" s="77"/>
      <c r="Y133" s="95">
        <f>V133/1.75</f>
        <v>-0.0137133491824198</v>
      </c>
      <c r="Z133" s="97"/>
      <c r="AA133" s="98"/>
    </row>
    <row r="134" ht="14" outlineLevel="1" spans="1:27">
      <c r="A134" s="25" t="s">
        <v>169</v>
      </c>
      <c r="B134" s="25" t="s">
        <v>170</v>
      </c>
      <c r="C134" s="25"/>
      <c r="D134" s="16" t="s">
        <v>28</v>
      </c>
      <c r="E134" s="82" t="s">
        <v>29</v>
      </c>
      <c r="F134" s="82" t="s">
        <v>150</v>
      </c>
      <c r="G134" s="26" t="s">
        <v>35</v>
      </c>
      <c r="H134" s="63">
        <f>43773/0.727099</f>
        <v>60202.2558138575</v>
      </c>
      <c r="I134" s="93" t="s">
        <v>157</v>
      </c>
      <c r="J134" s="23">
        <v>12784</v>
      </c>
      <c r="K134" s="23">
        <v>11212</v>
      </c>
      <c r="L134" s="23">
        <v>5379</v>
      </c>
      <c r="M134" s="23">
        <v>7719</v>
      </c>
      <c r="N134" s="23"/>
      <c r="O134" s="77">
        <v>0.00998725031874203</v>
      </c>
      <c r="P134" s="77">
        <v>0.00755673787784532</v>
      </c>
      <c r="Q134" s="77">
        <v>0.0070696688992398</v>
      </c>
      <c r="R134" s="77">
        <v>0.00682095931725016</v>
      </c>
      <c r="S134" s="77"/>
      <c r="T134" s="95">
        <f>P134-O134</f>
        <v>-0.00243051244089671</v>
      </c>
      <c r="U134" s="95">
        <f>R134-P134</f>
        <v>-0.000735778560595158</v>
      </c>
      <c r="V134" s="95">
        <f>R134-O134</f>
        <v>-0.00316629100149187</v>
      </c>
      <c r="W134" s="77"/>
      <c r="X134" s="77"/>
      <c r="Y134" s="95">
        <f>V134/1.75</f>
        <v>-0.00180930914370964</v>
      </c>
      <c r="Z134" s="97"/>
      <c r="AA134" s="98"/>
    </row>
    <row r="135" ht="14" outlineLevel="1" spans="1:27">
      <c r="A135" s="25" t="s">
        <v>81</v>
      </c>
      <c r="B135" s="25" t="s">
        <v>48</v>
      </c>
      <c r="C135" s="25"/>
      <c r="D135" s="16" t="s">
        <v>28</v>
      </c>
      <c r="E135" s="82" t="s">
        <v>29</v>
      </c>
      <c r="F135" s="82" t="s">
        <v>150</v>
      </c>
      <c r="G135" s="26" t="s">
        <v>35</v>
      </c>
      <c r="H135" s="63">
        <f>39731/0.727099</f>
        <v>54643.1778891183</v>
      </c>
      <c r="I135" s="93" t="s">
        <v>171</v>
      </c>
      <c r="J135" s="23">
        <v>70533</v>
      </c>
      <c r="K135" s="23">
        <v>73165</v>
      </c>
      <c r="L135" s="23">
        <v>33338</v>
      </c>
      <c r="M135" s="23">
        <v>45810</v>
      </c>
      <c r="N135" s="23"/>
      <c r="O135" s="77">
        <v>0.0551025286867828</v>
      </c>
      <c r="P135" s="77">
        <v>0.0493122303632316</v>
      </c>
      <c r="Q135" s="77">
        <v>0.0438164383273576</v>
      </c>
      <c r="R135" s="77">
        <v>0.0404803920615662</v>
      </c>
      <c r="S135" s="77"/>
      <c r="T135" s="95">
        <f>P135-O135</f>
        <v>-0.00579029832355123</v>
      </c>
      <c r="U135" s="95">
        <f>R135-P135</f>
        <v>-0.00883183830166535</v>
      </c>
      <c r="V135" s="95">
        <f>R135-O135</f>
        <v>-0.0146221366252166</v>
      </c>
      <c r="W135" s="77"/>
      <c r="X135" s="77"/>
      <c r="Y135" s="95">
        <f>V135/1.75</f>
        <v>-0.0083555066429809</v>
      </c>
      <c r="Z135" s="97"/>
      <c r="AA135" s="98"/>
    </row>
    <row r="136" ht="14" outlineLevel="1" spans="1:27">
      <c r="A136" s="16" t="s">
        <v>107</v>
      </c>
      <c r="B136" s="16" t="s">
        <v>34</v>
      </c>
      <c r="C136" s="16"/>
      <c r="D136" s="16" t="s">
        <v>28</v>
      </c>
      <c r="E136" s="82" t="s">
        <v>29</v>
      </c>
      <c r="F136" s="82" t="s">
        <v>150</v>
      </c>
      <c r="G136" s="26" t="s">
        <v>35</v>
      </c>
      <c r="H136" s="63">
        <f>40459/0.727099</f>
        <v>55644.4170601252</v>
      </c>
      <c r="I136" s="93" t="s">
        <v>171</v>
      </c>
      <c r="J136" s="23">
        <v>61740</v>
      </c>
      <c r="K136" s="23">
        <v>81466</v>
      </c>
      <c r="L136" s="23">
        <v>32145</v>
      </c>
      <c r="M136" s="23">
        <v>46857</v>
      </c>
      <c r="N136" s="23"/>
      <c r="O136" s="77">
        <v>0.0482331691707707</v>
      </c>
      <c r="P136" s="77">
        <v>0.0549069932176727</v>
      </c>
      <c r="Q136" s="77">
        <v>0.0422484675155351</v>
      </c>
      <c r="R136" s="77">
        <v>0.0414055824236806</v>
      </c>
      <c r="S136" s="77"/>
      <c r="T136" s="95">
        <f>P136-O136</f>
        <v>0.006673824046902</v>
      </c>
      <c r="U136" s="95">
        <f>R136-P136</f>
        <v>-0.0135014107939921</v>
      </c>
      <c r="V136" s="95">
        <f>R136-O136</f>
        <v>-0.0068275867470901</v>
      </c>
      <c r="W136" s="77"/>
      <c r="X136" s="77"/>
      <c r="Y136" s="95">
        <f>V136/1.75</f>
        <v>-0.00390147814119434</v>
      </c>
      <c r="Z136" s="97"/>
      <c r="AA136" s="98"/>
    </row>
    <row r="137" ht="14" outlineLevel="1" spans="1:27">
      <c r="A137" s="15" t="s">
        <v>172</v>
      </c>
      <c r="B137" s="15" t="s">
        <v>173</v>
      </c>
      <c r="C137" s="16">
        <v>2020.9</v>
      </c>
      <c r="D137" s="25" t="s">
        <v>45</v>
      </c>
      <c r="E137" s="21" t="s">
        <v>29</v>
      </c>
      <c r="F137" s="21" t="s">
        <v>150</v>
      </c>
      <c r="G137" s="83" t="s">
        <v>31</v>
      </c>
      <c r="H137" s="63">
        <f>49950*1.182779</f>
        <v>59079.81105</v>
      </c>
      <c r="I137" s="93" t="s">
        <v>155</v>
      </c>
      <c r="J137" s="23">
        <v>4984</v>
      </c>
      <c r="K137" s="23">
        <v>53605</v>
      </c>
      <c r="L137" s="23">
        <v>22651</v>
      </c>
      <c r="M137" s="23">
        <v>39813</v>
      </c>
      <c r="N137" s="23"/>
      <c r="O137" s="94">
        <f>0.389365265868353%/9*12</f>
        <v>0.00519153687824471</v>
      </c>
      <c r="P137" s="77">
        <v>0.0361290522602478</v>
      </c>
      <c r="Q137" s="77">
        <v>0.0297704164782824</v>
      </c>
      <c r="R137" s="77">
        <v>0.035181092537593</v>
      </c>
      <c r="S137" s="77"/>
      <c r="T137" s="95">
        <f>P137-O137</f>
        <v>0.0309375153820031</v>
      </c>
      <c r="U137" s="95">
        <f>R137-P137</f>
        <v>-0.000947959722654761</v>
      </c>
      <c r="V137" s="95">
        <f>R137-O137</f>
        <v>0.0299895556593483</v>
      </c>
      <c r="W137" s="77"/>
      <c r="X137" s="77"/>
      <c r="Y137" s="95">
        <f>V137/1.75</f>
        <v>0.017136888948199</v>
      </c>
      <c r="Z137" s="97"/>
      <c r="AA137" s="98"/>
    </row>
    <row r="138" ht="14" outlineLevel="1" spans="1:27">
      <c r="A138" s="99" t="s">
        <v>174</v>
      </c>
      <c r="B138" s="99" t="s">
        <v>175</v>
      </c>
      <c r="C138" s="25">
        <v>2020.12</v>
      </c>
      <c r="D138" s="25" t="s">
        <v>45</v>
      </c>
      <c r="E138" s="21" t="s">
        <v>29</v>
      </c>
      <c r="F138" s="21" t="s">
        <v>150</v>
      </c>
      <c r="G138" s="83" t="s">
        <v>31</v>
      </c>
      <c r="H138" s="63">
        <f>41330/0.727099</f>
        <v>56842.3282111514</v>
      </c>
      <c r="I138" s="93" t="s">
        <v>176</v>
      </c>
      <c r="J138" s="23">
        <v>185</v>
      </c>
      <c r="K138" s="23">
        <v>23054</v>
      </c>
      <c r="L138" s="23">
        <v>11560</v>
      </c>
      <c r="M138" s="23">
        <v>17751</v>
      </c>
      <c r="N138" s="23"/>
      <c r="O138" s="94">
        <f>0.014452763680908%*12</f>
        <v>0.00173433164170896</v>
      </c>
      <c r="P138" s="77">
        <v>0.0155380873203573</v>
      </c>
      <c r="Q138" s="77">
        <v>0.0151934137340049</v>
      </c>
      <c r="R138" s="77">
        <v>0.0156858205519507</v>
      </c>
      <c r="S138" s="77"/>
      <c r="T138" s="95">
        <f>P138-O138</f>
        <v>0.0138037556786483</v>
      </c>
      <c r="U138" s="95">
        <f>R138-P138</f>
        <v>0.000147733231593427</v>
      </c>
      <c r="V138" s="95">
        <f>R138-O138</f>
        <v>0.0139514889102418</v>
      </c>
      <c r="W138" s="77"/>
      <c r="X138" s="77"/>
      <c r="Y138" s="95">
        <f>V138/1.75</f>
        <v>0.00797227937728101</v>
      </c>
      <c r="Z138" s="97"/>
      <c r="AA138" s="98"/>
    </row>
    <row r="139" ht="14" outlineLevel="1" spans="1:27">
      <c r="A139" s="25" t="s">
        <v>177</v>
      </c>
      <c r="B139" s="25" t="s">
        <v>178</v>
      </c>
      <c r="C139" s="25"/>
      <c r="D139" s="25" t="s">
        <v>45</v>
      </c>
      <c r="E139" s="21" t="s">
        <v>29</v>
      </c>
      <c r="F139" s="21" t="s">
        <v>150</v>
      </c>
      <c r="G139" s="21" t="s">
        <v>132</v>
      </c>
      <c r="H139" s="63">
        <f>45599/0.727099</f>
        <v>62713.6057125646</v>
      </c>
      <c r="I139" s="93" t="s">
        <v>151</v>
      </c>
      <c r="J139" s="23">
        <v>1953</v>
      </c>
      <c r="K139" s="23">
        <v>2179</v>
      </c>
      <c r="L139" s="23">
        <v>1122</v>
      </c>
      <c r="M139" s="23">
        <v>1630</v>
      </c>
      <c r="N139" s="23"/>
      <c r="O139" s="77">
        <v>0.00152574310642234</v>
      </c>
      <c r="P139" s="77">
        <v>0.00146861682445817</v>
      </c>
      <c r="Q139" s="77">
        <v>0.00147465486241812</v>
      </c>
      <c r="R139" s="77">
        <v>0.00144036321895553</v>
      </c>
      <c r="S139" s="77"/>
      <c r="T139" s="95">
        <f>P139-O139</f>
        <v>-5.71262819641742e-5</v>
      </c>
      <c r="U139" s="95">
        <f>R139-P139</f>
        <v>-2.82536055026318e-5</v>
      </c>
      <c r="V139" s="95">
        <f>R139-O139</f>
        <v>-8.5379887466806e-5</v>
      </c>
      <c r="W139" s="77"/>
      <c r="X139" s="77"/>
      <c r="Y139" s="95">
        <f>V139/1.75</f>
        <v>-4.87885071238891e-5</v>
      </c>
      <c r="Z139" s="97"/>
      <c r="AA139" s="98"/>
    </row>
    <row r="140" ht="14" outlineLevel="1" spans="1:27">
      <c r="A140" s="20" t="s">
        <v>179</v>
      </c>
      <c r="B140" s="16" t="s">
        <v>180</v>
      </c>
      <c r="C140" s="16"/>
      <c r="D140" s="16" t="s">
        <v>28</v>
      </c>
      <c r="E140" s="82" t="s">
        <v>29</v>
      </c>
      <c r="F140" s="82" t="s">
        <v>150</v>
      </c>
      <c r="G140" s="26" t="s">
        <v>35</v>
      </c>
      <c r="H140" s="63">
        <f>39345/0.727099</f>
        <v>54112.3010759195</v>
      </c>
      <c r="I140" s="93" t="s">
        <v>171</v>
      </c>
      <c r="J140" s="23">
        <v>21348</v>
      </c>
      <c r="K140" s="23">
        <v>15729</v>
      </c>
      <c r="L140" s="23">
        <v>5477</v>
      </c>
      <c r="M140" s="23">
        <v>8436</v>
      </c>
      <c r="N140" s="23"/>
      <c r="O140" s="77">
        <v>0.0166777080572986</v>
      </c>
      <c r="P140" s="77">
        <v>0.0106011353978442</v>
      </c>
      <c r="Q140" s="77">
        <v>0.00719847119560074</v>
      </c>
      <c r="R140" s="77">
        <v>0.00745454240190729</v>
      </c>
      <c r="S140" s="77"/>
      <c r="T140" s="95">
        <f>P140-O140</f>
        <v>-0.00607657265945438</v>
      </c>
      <c r="U140" s="95">
        <f>R140-P140</f>
        <v>-0.0031465929959369</v>
      </c>
      <c r="V140" s="95">
        <f>R140-O140</f>
        <v>-0.00922316565539128</v>
      </c>
      <c r="W140" s="77"/>
      <c r="X140" s="77"/>
      <c r="Y140" s="95">
        <f>V140/1.75</f>
        <v>-0.0052703803745093</v>
      </c>
      <c r="Z140" s="97"/>
      <c r="AA140" s="98"/>
    </row>
    <row r="141" ht="14" outlineLevel="1" spans="1:27">
      <c r="A141" s="20" t="s">
        <v>167</v>
      </c>
      <c r="B141" s="81" t="s">
        <v>181</v>
      </c>
      <c r="C141" s="81"/>
      <c r="D141" s="16" t="s">
        <v>28</v>
      </c>
      <c r="E141" s="82" t="s">
        <v>29</v>
      </c>
      <c r="F141" s="82" t="s">
        <v>182</v>
      </c>
      <c r="G141" s="83" t="s">
        <v>31</v>
      </c>
      <c r="H141" s="63">
        <f>58247*1.12</f>
        <v>65236.64</v>
      </c>
      <c r="I141" s="93" t="s">
        <v>183</v>
      </c>
      <c r="J141" s="23">
        <v>26777</v>
      </c>
      <c r="K141" s="23">
        <v>20632</v>
      </c>
      <c r="L141" s="23">
        <v>9976</v>
      </c>
      <c r="M141" s="84"/>
      <c r="N141" s="84"/>
      <c r="O141" s="77">
        <v>0.0209190082747931</v>
      </c>
      <c r="P141" s="77">
        <v>0.0139056917495277</v>
      </c>
      <c r="Q141" s="77">
        <v>0.0131115480458852</v>
      </c>
      <c r="R141" s="77">
        <v>0</v>
      </c>
      <c r="S141" s="77"/>
      <c r="T141" s="95">
        <f>P141-O141</f>
        <v>-0.00701331652526543</v>
      </c>
      <c r="U141" s="95">
        <f>R141-P141</f>
        <v>-0.0139056917495277</v>
      </c>
      <c r="V141" s="95">
        <f>R141-O141</f>
        <v>-0.0209190082747931</v>
      </c>
      <c r="W141" s="77"/>
      <c r="X141" s="77"/>
      <c r="Y141" s="95">
        <f>V141/1.75</f>
        <v>-0.0119537190141675</v>
      </c>
      <c r="Z141" s="97"/>
      <c r="AA141" s="98"/>
    </row>
    <row r="142" ht="14" outlineLevel="1" spans="1:27">
      <c r="A142" s="20" t="s">
        <v>184</v>
      </c>
      <c r="B142" s="81" t="s">
        <v>185</v>
      </c>
      <c r="C142" s="81"/>
      <c r="D142" s="16" t="s">
        <v>28</v>
      </c>
      <c r="E142" s="82" t="s">
        <v>29</v>
      </c>
      <c r="F142" s="82" t="s">
        <v>182</v>
      </c>
      <c r="G142" s="26" t="s">
        <v>35</v>
      </c>
      <c r="H142" s="63">
        <f>56715*1.12</f>
        <v>63520.8</v>
      </c>
      <c r="I142" s="93" t="s">
        <v>183</v>
      </c>
      <c r="J142" s="23">
        <v>0</v>
      </c>
      <c r="K142" s="23">
        <v>166</v>
      </c>
      <c r="L142" s="23">
        <v>140</v>
      </c>
      <c r="M142" s="23">
        <v>197</v>
      </c>
      <c r="N142" s="23"/>
      <c r="O142" s="77">
        <v>0</v>
      </c>
      <c r="P142" s="77">
        <v>0.000111881777356611</v>
      </c>
      <c r="Q142" s="77">
        <v>0.00018400328051563</v>
      </c>
      <c r="R142" s="77">
        <v>0.000174080708057816</v>
      </c>
      <c r="S142" s="77"/>
      <c r="T142" s="95">
        <f>P142-O142</f>
        <v>0.000111881777356611</v>
      </c>
      <c r="U142" s="95">
        <f>R142-P142</f>
        <v>6.2198930701205e-5</v>
      </c>
      <c r="V142" s="95">
        <f>R142-O142</f>
        <v>0.000174080708057816</v>
      </c>
      <c r="W142" s="77"/>
      <c r="X142" s="77"/>
      <c r="Y142" s="95">
        <f>V142/1.75</f>
        <v>9.9474690318752e-5</v>
      </c>
      <c r="Z142" s="97"/>
      <c r="AA142" s="98"/>
    </row>
    <row r="143" ht="14" outlineLevel="1" spans="1:27">
      <c r="A143" s="81" t="s">
        <v>172</v>
      </c>
      <c r="B143" s="81" t="s">
        <v>186</v>
      </c>
      <c r="C143" s="81"/>
      <c r="D143" s="25" t="s">
        <v>45</v>
      </c>
      <c r="E143" s="82" t="s">
        <v>29</v>
      </c>
      <c r="F143" s="82" t="s">
        <v>182</v>
      </c>
      <c r="G143" s="26" t="s">
        <v>35</v>
      </c>
      <c r="H143" s="63">
        <f>51175*1.12</f>
        <v>57316</v>
      </c>
      <c r="I143" s="93" t="s">
        <v>176</v>
      </c>
      <c r="J143" s="23">
        <v>14275</v>
      </c>
      <c r="K143" s="23">
        <v>13087</v>
      </c>
      <c r="L143" s="23">
        <v>5081</v>
      </c>
      <c r="M143" s="23">
        <v>7055</v>
      </c>
      <c r="N143" s="23"/>
      <c r="O143" s="77">
        <v>0.0111520649483763</v>
      </c>
      <c r="P143" s="77">
        <v>0.00882046277268656</v>
      </c>
      <c r="Q143" s="77">
        <v>0.00667800477357082</v>
      </c>
      <c r="R143" s="77">
        <v>0.0062342101286695</v>
      </c>
      <c r="S143" s="77"/>
      <c r="T143" s="95">
        <f>P143-O143</f>
        <v>-0.00233160217568973</v>
      </c>
      <c r="U143" s="95">
        <f>R143-P143</f>
        <v>-0.00258625264401706</v>
      </c>
      <c r="V143" s="95">
        <f>R143-O143</f>
        <v>-0.00491785481970679</v>
      </c>
      <c r="W143" s="77"/>
      <c r="X143" s="77"/>
      <c r="Y143" s="95">
        <f>V143/1.75</f>
        <v>-0.00281020275411816</v>
      </c>
      <c r="Z143" s="97"/>
      <c r="AA143" s="98"/>
    </row>
    <row r="144" ht="14" outlineLevel="1" spans="1:27">
      <c r="A144" s="20" t="s">
        <v>187</v>
      </c>
      <c r="B144" s="16" t="s">
        <v>188</v>
      </c>
      <c r="C144" s="16"/>
      <c r="D144" s="16" t="s">
        <v>28</v>
      </c>
      <c r="E144" s="82" t="s">
        <v>29</v>
      </c>
      <c r="F144" s="82" t="s">
        <v>182</v>
      </c>
      <c r="G144" s="26" t="s">
        <v>35</v>
      </c>
      <c r="H144" s="63">
        <f>56500*1.12</f>
        <v>63280</v>
      </c>
      <c r="I144" s="93" t="s">
        <v>151</v>
      </c>
      <c r="J144" s="23">
        <v>24584</v>
      </c>
      <c r="K144" s="23">
        <v>29339</v>
      </c>
      <c r="L144" s="23">
        <v>13915</v>
      </c>
      <c r="M144" s="23">
        <v>19359</v>
      </c>
      <c r="N144" s="23"/>
      <c r="O144" s="77">
        <v>0.0192057698557536</v>
      </c>
      <c r="P144" s="77">
        <v>0.0197740931678651</v>
      </c>
      <c r="Q144" s="77">
        <v>0.0182886117741071</v>
      </c>
      <c r="R144" s="77">
        <v>0.0171067432857424</v>
      </c>
      <c r="S144" s="77"/>
      <c r="T144" s="95">
        <f>P144-O144</f>
        <v>0.00056832331211152</v>
      </c>
      <c r="U144" s="95">
        <f>R144-P144</f>
        <v>-0.00266734988212269</v>
      </c>
      <c r="V144" s="95">
        <f>R144-O144</f>
        <v>-0.00209902657001117</v>
      </c>
      <c r="W144" s="77"/>
      <c r="X144" s="77"/>
      <c r="Y144" s="95">
        <f>V144/1.75</f>
        <v>-0.0011994437542921</v>
      </c>
      <c r="Z144" s="97"/>
      <c r="AA144" s="98"/>
    </row>
    <row r="145" ht="14" outlineLevel="1" spans="1:25">
      <c r="A145" s="16" t="s">
        <v>52</v>
      </c>
      <c r="B145" s="16"/>
      <c r="C145" s="16"/>
      <c r="D145" s="16"/>
      <c r="E145" s="16"/>
      <c r="F145" s="16"/>
      <c r="G145" s="16"/>
      <c r="H145" s="16"/>
      <c r="I145" s="16"/>
      <c r="J145" s="110">
        <f>SUM(J123:J144)</f>
        <v>474862</v>
      </c>
      <c r="K145" s="110">
        <f>SUM(K123:K144)</f>
        <v>536245</v>
      </c>
      <c r="L145" s="110">
        <f>SUM(L123:L144)</f>
        <v>288158</v>
      </c>
      <c r="M145" s="110"/>
      <c r="N145" s="110"/>
      <c r="O145" s="95">
        <f>SUM(O123:O144)</f>
        <v>0.373864351307884</v>
      </c>
      <c r="P145" s="95">
        <f>SUM(P123:P144)</f>
        <v>0.363702720681751</v>
      </c>
      <c r="Q145" s="95">
        <f>SUM(Q123:Q144)</f>
        <v>0.378728695048735</v>
      </c>
      <c r="R145" s="95">
        <f>SUM(R123:R144)</f>
        <v>0.37807678814908</v>
      </c>
      <c r="S145" s="95"/>
      <c r="T145" s="95">
        <f>SUM(T123:T144)</f>
        <v>-0.010161630626133</v>
      </c>
      <c r="U145" s="95">
        <f>SUM(U123:U144)</f>
        <v>0.0143740674673293</v>
      </c>
      <c r="V145" s="95">
        <f>SUM(V123:V144)</f>
        <v>0.00421243684119627</v>
      </c>
      <c r="W145" s="95"/>
      <c r="X145" s="95"/>
      <c r="Y145" s="16"/>
    </row>
    <row r="146" ht="14" outlineLevel="1" spans="1:25">
      <c r="A146" s="15" t="s">
        <v>53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="7" customFormat="1" ht="14" outlineLevel="1" spans="1:24">
      <c r="A147" s="100" t="s">
        <v>66</v>
      </c>
      <c r="B147" s="100">
        <v>2020</v>
      </c>
      <c r="C147" s="100">
        <v>2021</v>
      </c>
      <c r="D147" s="100" t="s">
        <v>124</v>
      </c>
      <c r="E147" s="100" t="s">
        <v>55</v>
      </c>
      <c r="F147" s="100" t="s">
        <v>56</v>
      </c>
      <c r="G147" s="100" t="s">
        <v>57</v>
      </c>
      <c r="H147" s="100" t="s">
        <v>58</v>
      </c>
      <c r="I147" s="100" t="s">
        <v>59</v>
      </c>
      <c r="J147" s="100" t="s">
        <v>60</v>
      </c>
      <c r="K147" s="100" t="s">
        <v>61</v>
      </c>
      <c r="L147" s="100" t="s">
        <v>62</v>
      </c>
      <c r="O147" s="100" t="s">
        <v>64</v>
      </c>
      <c r="P147" s="100" t="s">
        <v>65</v>
      </c>
      <c r="Q147" s="100"/>
      <c r="R147" s="100"/>
      <c r="S147" s="100"/>
      <c r="T147" s="100"/>
      <c r="U147" s="100"/>
      <c r="V147" s="100"/>
      <c r="W147" s="100"/>
      <c r="X147" s="100"/>
    </row>
    <row r="148" ht="14" outlineLevel="1" spans="1:24">
      <c r="A148" s="16" t="s">
        <v>189</v>
      </c>
      <c r="B148" s="101">
        <v>959001</v>
      </c>
      <c r="C148" s="101">
        <v>1143536</v>
      </c>
      <c r="D148" s="102">
        <f>AVERAGE(B148:C148)</f>
        <v>1051268.5</v>
      </c>
      <c r="E148" s="102">
        <f>AVERAGE(C148:D148)</f>
        <v>1097402.25</v>
      </c>
      <c r="F148" s="102">
        <f>AVERAGE(D148:E148)</f>
        <v>1074335.375</v>
      </c>
      <c r="G148" s="102">
        <f>AVERAGE(E148:F148)</f>
        <v>1085868.8125</v>
      </c>
      <c r="H148" s="102">
        <f>AVERAGE(F148:G148)</f>
        <v>1080102.09375</v>
      </c>
      <c r="I148" s="102">
        <f>AVERAGE(G148:H148)</f>
        <v>1082985.453125</v>
      </c>
      <c r="J148" s="102">
        <f>AVERAGE(H148:I148)</f>
        <v>1081543.7734375</v>
      </c>
      <c r="K148" s="102">
        <f>AVERAGE(I148:J148)</f>
        <v>1082264.61328125</v>
      </c>
      <c r="L148" s="102">
        <f>AVERAGE(J148:K148)</f>
        <v>1081904.19335938</v>
      </c>
      <c r="O148" s="16"/>
      <c r="P148" s="16" t="s">
        <v>67</v>
      </c>
      <c r="Q148" s="16"/>
      <c r="R148" s="16"/>
      <c r="S148" s="16"/>
      <c r="T148" s="16"/>
      <c r="U148" s="16"/>
      <c r="V148" s="16"/>
      <c r="W148" s="16"/>
      <c r="X148" s="16"/>
    </row>
    <row r="149" ht="14" outlineLevel="1" spans="1:24">
      <c r="A149" s="16" t="s">
        <v>190</v>
      </c>
      <c r="B149" s="101">
        <v>321031</v>
      </c>
      <c r="C149" s="101">
        <v>340173</v>
      </c>
      <c r="D149" s="102">
        <f>AVERAGE(B149:C149)</f>
        <v>330602</v>
      </c>
      <c r="E149" s="102">
        <f>AVERAGE(C149:D149)</f>
        <v>335387.5</v>
      </c>
      <c r="F149" s="102">
        <f>AVERAGE(D149:E149)</f>
        <v>332994.75</v>
      </c>
      <c r="G149" s="102">
        <f>AVERAGE(E149:F149)</f>
        <v>334191.125</v>
      </c>
      <c r="H149" s="102">
        <f>AVERAGE(F149:G149)</f>
        <v>333592.9375</v>
      </c>
      <c r="I149" s="102">
        <f>AVERAGE(G149:H149)</f>
        <v>333892.03125</v>
      </c>
      <c r="J149" s="102">
        <f>AVERAGE(H149:I149)</f>
        <v>333742.484375</v>
      </c>
      <c r="K149" s="102">
        <f>AVERAGE(I149:J149)</f>
        <v>333817.2578125</v>
      </c>
      <c r="L149" s="102">
        <f>AVERAGE(J149:K149)</f>
        <v>333779.87109375</v>
      </c>
      <c r="O149" s="16"/>
      <c r="P149" s="16" t="s">
        <v>67</v>
      </c>
      <c r="Q149" s="16"/>
      <c r="R149" s="16"/>
      <c r="S149" s="16"/>
      <c r="T149" s="16"/>
      <c r="U149" s="16"/>
      <c r="V149" s="16"/>
      <c r="W149" s="16"/>
      <c r="X149" s="16"/>
    </row>
    <row r="150" ht="14" outlineLevel="1" spans="1:24">
      <c r="A150" s="16" t="s">
        <v>191</v>
      </c>
      <c r="B150" s="103">
        <f>SUM(B148:B149)</f>
        <v>1280032</v>
      </c>
      <c r="C150" s="103">
        <f>SUM(C148:C149)</f>
        <v>1483709</v>
      </c>
      <c r="D150" s="102">
        <f>AVERAGE(B150:C150)</f>
        <v>1381870.5</v>
      </c>
      <c r="E150" s="102">
        <f>AVERAGE(C150:D150)</f>
        <v>1432789.75</v>
      </c>
      <c r="F150" s="102">
        <f>AVERAGE(D150:E150)</f>
        <v>1407330.125</v>
      </c>
      <c r="G150" s="102">
        <f>AVERAGE(E150:F150)</f>
        <v>1420059.9375</v>
      </c>
      <c r="H150" s="102">
        <f>AVERAGE(F150:G150)</f>
        <v>1413695.03125</v>
      </c>
      <c r="I150" s="102">
        <f>AVERAGE(G150:H150)</f>
        <v>1416877.484375</v>
      </c>
      <c r="J150" s="102">
        <f>AVERAGE(H150:I150)</f>
        <v>1415286.2578125</v>
      </c>
      <c r="K150" s="102">
        <f>AVERAGE(I150:J150)</f>
        <v>1416081.87109375</v>
      </c>
      <c r="L150" s="102">
        <f>AVERAGE(J150:K150)</f>
        <v>1415684.06445313</v>
      </c>
      <c r="O150" s="16"/>
      <c r="P150" s="16" t="s">
        <v>67</v>
      </c>
      <c r="Q150" s="16"/>
      <c r="R150" s="16"/>
      <c r="S150" s="16"/>
      <c r="T150" s="16"/>
      <c r="U150" s="16"/>
      <c r="V150" s="16"/>
      <c r="W150" s="16"/>
      <c r="X150" s="16"/>
    </row>
    <row r="151" ht="14" outlineLevel="1" spans="1:24">
      <c r="A151" s="15" t="s">
        <v>68</v>
      </c>
      <c r="B151" s="16"/>
      <c r="C151" s="16"/>
      <c r="D151" s="104"/>
      <c r="E151" s="16"/>
      <c r="F151" s="16"/>
      <c r="G151" s="16"/>
      <c r="H151" s="16"/>
      <c r="I151" s="16"/>
      <c r="J151" s="16"/>
      <c r="K151" s="16"/>
      <c r="L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ht="14" outlineLevel="1" spans="1:24">
      <c r="A152" s="15" t="s">
        <v>2</v>
      </c>
      <c r="B152" s="76">
        <v>0</v>
      </c>
      <c r="C152" s="76">
        <v>0.0186606672871837</v>
      </c>
      <c r="D152" s="95">
        <f>R123-D174</f>
        <v>0.114101093311749</v>
      </c>
      <c r="E152" s="95">
        <f>D152-E174</f>
        <v>0.173215897004125</v>
      </c>
      <c r="F152" s="95">
        <f>E152-F174</f>
        <v>0.203089522403519</v>
      </c>
      <c r="G152" s="95">
        <f>F152-G174</f>
        <v>0.207424994316522</v>
      </c>
      <c r="H152" s="95">
        <f>G152-H174</f>
        <v>0.210785522691194</v>
      </c>
      <c r="I152" s="95">
        <f>H152-I174</f>
        <v>0.210959257653428</v>
      </c>
      <c r="J152" s="95">
        <f>I152-J174</f>
        <v>0.201495426851228</v>
      </c>
      <c r="K152" s="95">
        <f>J152-K174</f>
        <v>0.192031596049027</v>
      </c>
      <c r="L152" s="95">
        <f>K152-L174</f>
        <v>0.182567765246827</v>
      </c>
      <c r="O152" s="16"/>
      <c r="P152" s="95">
        <f>-SUM(P153:P173)+X123</f>
        <v>0.0633525111805984</v>
      </c>
      <c r="Q152" s="95"/>
      <c r="R152" s="16"/>
      <c r="S152" s="16"/>
      <c r="T152" s="16"/>
      <c r="U152" s="16"/>
      <c r="V152" s="16"/>
      <c r="W152" s="16"/>
      <c r="X152" s="16"/>
    </row>
    <row r="153" s="5" customFormat="1" ht="14" outlineLevel="1" spans="1:24">
      <c r="A153" s="105" t="s">
        <v>152</v>
      </c>
      <c r="B153" s="76">
        <v>0</v>
      </c>
      <c r="C153" s="76">
        <v>9.84020451449711e-5</v>
      </c>
      <c r="D153" s="68">
        <f>MAX(0,Q124+$P153/4)</f>
        <v>0.0120922311794094</v>
      </c>
      <c r="E153" s="68">
        <f>MAX(0,D153+$P153)</f>
        <v>0.0144287923486224</v>
      </c>
      <c r="F153" s="68">
        <f>MAX(0,E153+$P153)</f>
        <v>0.0167653535178355</v>
      </c>
      <c r="G153" s="68">
        <f>MAX(0,F153+$P153)</f>
        <v>0.0191019146870485</v>
      </c>
      <c r="H153" s="68">
        <f>MAX(0,G153+$P153)</f>
        <v>0.0214384758562616</v>
      </c>
      <c r="I153" s="68">
        <f>MAX(0,H153+$P153)</f>
        <v>0.0237750370254746</v>
      </c>
      <c r="J153" s="68">
        <f>MAX(0,I153+$P153)</f>
        <v>0.0261115981946877</v>
      </c>
      <c r="K153" s="68">
        <f>MAX(0,J153+$P153)</f>
        <v>0.0284481593639007</v>
      </c>
      <c r="L153" s="68">
        <f>MAX(0,K153+$P153)</f>
        <v>0.0307847205331138</v>
      </c>
      <c r="O153" s="111">
        <v>0.333333333333333</v>
      </c>
      <c r="P153" s="112">
        <f>O153*Y124</f>
        <v>0.00233656116921305</v>
      </c>
      <c r="Q153" s="112"/>
      <c r="R153" s="15"/>
      <c r="S153" s="15"/>
      <c r="T153" s="15"/>
      <c r="U153" s="15"/>
      <c r="V153" s="15"/>
      <c r="W153" s="15"/>
      <c r="X153" s="15"/>
    </row>
    <row r="154" ht="14" outlineLevel="1" spans="1:24">
      <c r="A154" s="81" t="s">
        <v>154</v>
      </c>
      <c r="B154" s="77">
        <v>0.0131754518637034</v>
      </c>
      <c r="C154" s="77">
        <v>0.0106200070229405</v>
      </c>
      <c r="D154" s="95">
        <f>MAX(0,Q125+$P154/4)</f>
        <v>0.0129434205041013</v>
      </c>
      <c r="E154" s="95">
        <f>MAX(0,D154+$P154)</f>
        <v>0.0129701228029252</v>
      </c>
      <c r="F154" s="95">
        <f>MAX(0,E154+$P154)</f>
        <v>0.012996825101749</v>
      </c>
      <c r="G154" s="95">
        <f>MAX(0,F154+$P154)</f>
        <v>0.0130235274005729</v>
      </c>
      <c r="H154" s="95">
        <f>MAX(0,G154+$P154)</f>
        <v>0.0130502296993968</v>
      </c>
      <c r="I154" s="95">
        <f>MAX(0,H154+$P154)</f>
        <v>0.0130769319982206</v>
      </c>
      <c r="J154" s="95">
        <f>MAX(0,I154+$P154)</f>
        <v>0.0131036342970445</v>
      </c>
      <c r="K154" s="95">
        <f>MAX(0,J154+$P154)</f>
        <v>0.0131303365958684</v>
      </c>
      <c r="L154" s="95">
        <f>MAX(0,K154+$P154)</f>
        <v>0.0131570388946923</v>
      </c>
      <c r="O154" s="97">
        <v>1</v>
      </c>
      <c r="P154" s="94">
        <f>O154*Y125</f>
        <v>2.67022988238719e-5</v>
      </c>
      <c r="Q154" s="94"/>
      <c r="R154" s="16"/>
      <c r="S154" s="16"/>
      <c r="T154" s="16"/>
      <c r="U154" s="16"/>
      <c r="V154" s="16"/>
      <c r="W154" s="16"/>
      <c r="X154" s="16"/>
    </row>
    <row r="155" s="5" customFormat="1" ht="14" outlineLevel="1" spans="1:24">
      <c r="A155" s="105" t="s">
        <v>156</v>
      </c>
      <c r="B155" s="76">
        <v>0</v>
      </c>
      <c r="C155" s="76">
        <v>0</v>
      </c>
      <c r="D155" s="68">
        <f>MAX(0,Q126+$P155/4)</f>
        <v>0.00988221941338567</v>
      </c>
      <c r="E155" s="68">
        <f>MAX(0,D155+$P155)</f>
        <v>0.0151917441276074</v>
      </c>
      <c r="F155" s="68">
        <f>MAX(0,E155+$P155)</f>
        <v>0.0205012688418291</v>
      </c>
      <c r="G155" s="68">
        <f>MAX(0,F155+$P155)</f>
        <v>0.0258107935560508</v>
      </c>
      <c r="H155" s="68">
        <f>MAX(0,G155+$P155)</f>
        <v>0.0311203182702725</v>
      </c>
      <c r="I155" s="68">
        <f>MAX(0,H155+$P155)</f>
        <v>0.0364298429844942</v>
      </c>
      <c r="J155" s="68">
        <f>MAX(0,I155+$P155)</f>
        <v>0.0417393676987159</v>
      </c>
      <c r="K155" s="68">
        <f>MAX(0,J155+$P155)</f>
        <v>0.0470488924129377</v>
      </c>
      <c r="L155" s="68">
        <f>MAX(0,K155+$P155)</f>
        <v>0.0523584171271594</v>
      </c>
      <c r="O155" s="111">
        <v>1</v>
      </c>
      <c r="P155" s="112">
        <f>O155*Y126</f>
        <v>0.00530952471422171</v>
      </c>
      <c r="Q155" s="112"/>
      <c r="R155" s="15"/>
      <c r="S155" s="15"/>
      <c r="T155" s="15"/>
      <c r="U155" s="15"/>
      <c r="V155" s="15"/>
      <c r="W155" s="15"/>
      <c r="X155" s="15"/>
    </row>
    <row r="156" ht="14" outlineLevel="1" spans="1:24">
      <c r="A156" s="81" t="s">
        <v>159</v>
      </c>
      <c r="B156" s="77">
        <v>0.0105028624284393</v>
      </c>
      <c r="C156" s="77">
        <v>0.00544513782689193</v>
      </c>
      <c r="D156" s="95">
        <f>MAX(0,Q127+$P156/4)</f>
        <v>0.00392202823703522</v>
      </c>
      <c r="E156" s="95">
        <f>MAX(0,D156+$P156)</f>
        <v>0.000668317765238537</v>
      </c>
      <c r="F156" s="95">
        <f>MAX(0,E156+$P156)</f>
        <v>0</v>
      </c>
      <c r="G156" s="95">
        <f>MAX(0,F156+$P156)</f>
        <v>0</v>
      </c>
      <c r="H156" s="95">
        <f>MAX(0,G156+$P156)</f>
        <v>0</v>
      </c>
      <c r="I156" s="95">
        <f>MAX(0,H156+$P156)</f>
        <v>0</v>
      </c>
      <c r="J156" s="95">
        <f>MAX(0,I156+$P156)</f>
        <v>0</v>
      </c>
      <c r="K156" s="95">
        <f>MAX(0,J156+$P156)</f>
        <v>0</v>
      </c>
      <c r="L156" s="95">
        <f>MAX(0,K156+$P156)</f>
        <v>0</v>
      </c>
      <c r="O156" s="97">
        <v>1</v>
      </c>
      <c r="P156" s="94">
        <f>O156*Y127</f>
        <v>-0.00325371047179668</v>
      </c>
      <c r="Q156" s="94"/>
      <c r="R156" s="16"/>
      <c r="S156" s="16"/>
      <c r="T156" s="16"/>
      <c r="U156" s="16"/>
      <c r="V156" s="16"/>
      <c r="W156" s="16"/>
      <c r="X156" s="16"/>
    </row>
    <row r="157" ht="14" outlineLevel="1" spans="1:24">
      <c r="A157" s="81" t="s">
        <v>161</v>
      </c>
      <c r="B157" s="77">
        <v>0.00567329566760831</v>
      </c>
      <c r="C157" s="77">
        <v>0.00587918520410674</v>
      </c>
      <c r="D157" s="95">
        <f>MAX(0,Q128+$P157/4)</f>
        <v>0.00582855119186769</v>
      </c>
      <c r="E157" s="95">
        <f>MAX(0,D157+$P157)</f>
        <v>0.0056481656557856</v>
      </c>
      <c r="F157" s="95">
        <f>MAX(0,E157+$P157)</f>
        <v>0.00546778011970352</v>
      </c>
      <c r="G157" s="95">
        <f>MAX(0,F157+$P157)</f>
        <v>0.00528739458362143</v>
      </c>
      <c r="H157" s="95">
        <f>MAX(0,G157+$P157)</f>
        <v>0.00510700904753935</v>
      </c>
      <c r="I157" s="95">
        <f>MAX(0,H157+$P157)</f>
        <v>0.00492662351145727</v>
      </c>
      <c r="J157" s="95">
        <f>MAX(0,I157+$P157)</f>
        <v>0.00474623797537518</v>
      </c>
      <c r="K157" s="95">
        <f>MAX(0,J157+$P157)</f>
        <v>0.0045658524392931</v>
      </c>
      <c r="L157" s="95">
        <f>MAX(0,K157+$P157)</f>
        <v>0.00438546690321101</v>
      </c>
      <c r="O157" s="97">
        <v>1</v>
      </c>
      <c r="P157" s="94">
        <f>O157*Y128</f>
        <v>-0.000180385536082085</v>
      </c>
      <c r="Q157" s="94"/>
      <c r="R157" s="16"/>
      <c r="S157" s="16"/>
      <c r="T157" s="16"/>
      <c r="U157" s="16"/>
      <c r="V157" s="16"/>
      <c r="W157" s="16"/>
      <c r="X157" s="16"/>
    </row>
    <row r="158" ht="14" outlineLevel="1" spans="1:24">
      <c r="A158" s="16" t="s">
        <v>163</v>
      </c>
      <c r="B158" s="77">
        <v>0.013266074598135</v>
      </c>
      <c r="C158" s="77">
        <v>0.0102115711369278</v>
      </c>
      <c r="D158" s="95">
        <f>MAX(0,Q129+$P158/4)</f>
        <v>0.0084287573318741</v>
      </c>
      <c r="E158" s="95">
        <f>MAX(0,D158+$P158)</f>
        <v>0.00640509234664904</v>
      </c>
      <c r="F158" s="95">
        <f>MAX(0,E158+$P158)</f>
        <v>0.00438142736142398</v>
      </c>
      <c r="G158" s="95">
        <f>MAX(0,F158+$P158)</f>
        <v>0.00235776237619892</v>
      </c>
      <c r="H158" s="95">
        <f>MAX(0,G158+$P158)</f>
        <v>0.000334097390973865</v>
      </c>
      <c r="I158" s="95">
        <f>MAX(0,H158+$P158)</f>
        <v>0</v>
      </c>
      <c r="J158" s="95">
        <f>MAX(0,I158+$P158)</f>
        <v>0</v>
      </c>
      <c r="K158" s="95">
        <f>MAX(0,J158+$P158)</f>
        <v>0</v>
      </c>
      <c r="L158" s="95">
        <f>MAX(0,K158+$P158)</f>
        <v>0</v>
      </c>
      <c r="O158" s="97">
        <v>1</v>
      </c>
      <c r="P158" s="94">
        <f>O158*Y129</f>
        <v>-0.00202366498522506</v>
      </c>
      <c r="Q158" s="94"/>
      <c r="R158" s="16"/>
      <c r="S158" s="16"/>
      <c r="T158" s="16"/>
      <c r="U158" s="16"/>
      <c r="V158" s="16"/>
      <c r="W158" s="16"/>
      <c r="X158" s="16"/>
    </row>
    <row r="159" ht="14" outlineLevel="1" spans="1:24">
      <c r="A159" s="81" t="s">
        <v>40</v>
      </c>
      <c r="B159" s="77">
        <v>0.0774668133296668</v>
      </c>
      <c r="C159" s="77">
        <v>0.0340902427632373</v>
      </c>
      <c r="D159" s="95">
        <f>MAX(0,Q130+$P159/4)</f>
        <v>0.0378568876661097</v>
      </c>
      <c r="E159" s="95">
        <f>MAX(0,D159+$P159)</f>
        <v>0.0178932683851186</v>
      </c>
      <c r="F159" s="95">
        <f>MAX(0,E159+$P159)</f>
        <v>0</v>
      </c>
      <c r="G159" s="95">
        <f>MAX(0,F159+$P159)</f>
        <v>0</v>
      </c>
      <c r="H159" s="95">
        <f>MAX(0,G159+$P159)</f>
        <v>0</v>
      </c>
      <c r="I159" s="95">
        <f>MAX(0,H159+$P159)</f>
        <v>0</v>
      </c>
      <c r="J159" s="95">
        <f>MAX(0,I159+$P159)</f>
        <v>0</v>
      </c>
      <c r="K159" s="95">
        <f>MAX(0,J159+$P159)</f>
        <v>0</v>
      </c>
      <c r="L159" s="95">
        <f>MAX(0,K159+$P159)</f>
        <v>0</v>
      </c>
      <c r="O159" s="97">
        <v>1</v>
      </c>
      <c r="P159" s="94">
        <f>O159*Y130</f>
        <v>-0.0199636192809911</v>
      </c>
      <c r="Q159" s="94"/>
      <c r="R159" s="16"/>
      <c r="S159" s="16"/>
      <c r="T159" s="16"/>
      <c r="U159" s="16"/>
      <c r="V159" s="16"/>
      <c r="W159" s="16"/>
      <c r="X159" s="16"/>
    </row>
    <row r="160" ht="14" outlineLevel="1" spans="1:24">
      <c r="A160" s="81" t="s">
        <v>164</v>
      </c>
      <c r="B160" s="77">
        <v>0.00861384715382115</v>
      </c>
      <c r="C160" s="77">
        <v>0.00812490859056594</v>
      </c>
      <c r="D160" s="95">
        <f>MAX(0,Q131+$P160/4)</f>
        <v>0.00602102674470311</v>
      </c>
      <c r="E160" s="95">
        <f>MAX(0,D160+$P160)</f>
        <v>0.00476525337822025</v>
      </c>
      <c r="F160" s="95">
        <f>MAX(0,E160+$P160)</f>
        <v>0.00350948001173739</v>
      </c>
      <c r="G160" s="95">
        <f>MAX(0,F160+$P160)</f>
        <v>0.00225370664525453</v>
      </c>
      <c r="H160" s="95">
        <f>MAX(0,G160+$P160)</f>
        <v>0.000997933278771675</v>
      </c>
      <c r="I160" s="95">
        <f>MAX(0,H160+$P160)</f>
        <v>0</v>
      </c>
      <c r="J160" s="95">
        <f>MAX(0,I160+$P160)</f>
        <v>0</v>
      </c>
      <c r="K160" s="95">
        <f>MAX(0,J160+$P160)</f>
        <v>0</v>
      </c>
      <c r="L160" s="95">
        <f>MAX(0,K160+$P160)</f>
        <v>0</v>
      </c>
      <c r="O160" s="97">
        <v>1</v>
      </c>
      <c r="P160" s="94">
        <f>O160*Y131</f>
        <v>-0.00125577336648286</v>
      </c>
      <c r="Q160" s="94"/>
      <c r="R160" s="16"/>
      <c r="S160" s="16"/>
      <c r="T160" s="16"/>
      <c r="U160" s="16"/>
      <c r="V160" s="16"/>
      <c r="W160" s="16"/>
      <c r="X160" s="16"/>
    </row>
    <row r="161" ht="14" outlineLevel="1" spans="1:24">
      <c r="A161" s="25" t="s">
        <v>166</v>
      </c>
      <c r="B161" s="77">
        <v>0.0136230969225769</v>
      </c>
      <c r="C161" s="77">
        <v>0.0112218770661902</v>
      </c>
      <c r="D161" s="95">
        <f>MAX(0,Q132+$P161/4)</f>
        <v>0.0113734797689621</v>
      </c>
      <c r="E161" s="95">
        <f>MAX(0,D161+$P161)</f>
        <v>0.0100254208621175</v>
      </c>
      <c r="F161" s="95">
        <f>MAX(0,E161+$P161)</f>
        <v>0.00867736195527294</v>
      </c>
      <c r="G161" s="95">
        <f>MAX(0,F161+$P161)</f>
        <v>0.00732930304842834</v>
      </c>
      <c r="H161" s="95">
        <f>MAX(0,G161+$P161)</f>
        <v>0.00598124414158374</v>
      </c>
      <c r="I161" s="95">
        <f>MAX(0,H161+$P161)</f>
        <v>0.00463318523473915</v>
      </c>
      <c r="J161" s="95">
        <f>MAX(0,I161+$P161)</f>
        <v>0.00328512632789455</v>
      </c>
      <c r="K161" s="95">
        <f>MAX(0,J161+$P161)</f>
        <v>0.00193706742104995</v>
      </c>
      <c r="L161" s="95">
        <f>MAX(0,K161+$P161)</f>
        <v>0.000589008514205347</v>
      </c>
      <c r="O161" s="97">
        <v>1</v>
      </c>
      <c r="P161" s="94">
        <f>O161*Y132</f>
        <v>-0.0013480589068446</v>
      </c>
      <c r="Q161" s="94"/>
      <c r="R161" s="16"/>
      <c r="S161" s="16"/>
      <c r="T161" s="16"/>
      <c r="U161" s="16"/>
      <c r="V161" s="16"/>
      <c r="W161" s="16"/>
      <c r="X161" s="16"/>
    </row>
    <row r="162" ht="14" outlineLevel="1" spans="1:24">
      <c r="A162" s="25" t="s">
        <v>168</v>
      </c>
      <c r="B162" s="77">
        <v>0.0418137984050399</v>
      </c>
      <c r="C162" s="77">
        <v>0.0411765379868964</v>
      </c>
      <c r="D162" s="95">
        <f>MAX(0,Q133+$P162/4)</f>
        <v>0.0176242666136762</v>
      </c>
      <c r="E162" s="95">
        <f>MAX(0,D162+$P162)</f>
        <v>0.00391091743125637</v>
      </c>
      <c r="F162" s="95">
        <f>MAX(0,E162+$P162)</f>
        <v>0</v>
      </c>
      <c r="G162" s="95">
        <f>MAX(0,F162+$P162)</f>
        <v>0</v>
      </c>
      <c r="H162" s="95">
        <f>MAX(0,G162+$P162)</f>
        <v>0</v>
      </c>
      <c r="I162" s="95">
        <f>MAX(0,H162+$P162)</f>
        <v>0</v>
      </c>
      <c r="J162" s="95">
        <f>MAX(0,I162+$P162)</f>
        <v>0</v>
      </c>
      <c r="K162" s="95">
        <f>MAX(0,J162+$P162)</f>
        <v>0</v>
      </c>
      <c r="L162" s="95">
        <f>MAX(0,K162+$P162)</f>
        <v>0</v>
      </c>
      <c r="O162" s="97">
        <v>1</v>
      </c>
      <c r="P162" s="94">
        <f>O162*Y133</f>
        <v>-0.0137133491824198</v>
      </c>
      <c r="Q162" s="94"/>
      <c r="R162" s="16"/>
      <c r="S162" s="16"/>
      <c r="T162" s="16"/>
      <c r="U162" s="16"/>
      <c r="V162" s="16"/>
      <c r="W162" s="16"/>
      <c r="X162" s="16"/>
    </row>
    <row r="163" ht="14" outlineLevel="1" spans="1:24">
      <c r="A163" s="25" t="s">
        <v>170</v>
      </c>
      <c r="B163" s="77">
        <v>0.00998725031874203</v>
      </c>
      <c r="C163" s="77">
        <v>0.00755673787784532</v>
      </c>
      <c r="D163" s="95">
        <f>MAX(0,Q134+$P163/4)</f>
        <v>0.00661734161331239</v>
      </c>
      <c r="E163" s="95">
        <f>MAX(0,D163+$P163)</f>
        <v>0.00480803246960275</v>
      </c>
      <c r="F163" s="95">
        <f>MAX(0,E163+$P163)</f>
        <v>0.00299872332589311</v>
      </c>
      <c r="G163" s="95">
        <f>MAX(0,F163+$P163)</f>
        <v>0.00118941418218347</v>
      </c>
      <c r="H163" s="95">
        <f>MAX(0,G163+$P163)</f>
        <v>0</v>
      </c>
      <c r="I163" s="95">
        <f>MAX(0,H163+$P163)</f>
        <v>0</v>
      </c>
      <c r="J163" s="95">
        <f>MAX(0,I163+$P163)</f>
        <v>0</v>
      </c>
      <c r="K163" s="95">
        <f>MAX(0,J163+$P163)</f>
        <v>0</v>
      </c>
      <c r="L163" s="95">
        <f>MAX(0,K163+$P163)</f>
        <v>0</v>
      </c>
      <c r="O163" s="97">
        <v>1</v>
      </c>
      <c r="P163" s="94">
        <f>O163*Y134</f>
        <v>-0.00180930914370964</v>
      </c>
      <c r="Q163" s="94"/>
      <c r="R163" s="16"/>
      <c r="S163" s="16"/>
      <c r="T163" s="16"/>
      <c r="U163" s="16"/>
      <c r="V163" s="16"/>
      <c r="W163" s="16"/>
      <c r="X163" s="16"/>
    </row>
    <row r="164" ht="14" outlineLevel="1" spans="1:24">
      <c r="A164" s="25" t="s">
        <v>48</v>
      </c>
      <c r="B164" s="77">
        <v>0.0551025286867828</v>
      </c>
      <c r="C164" s="77">
        <v>0.0493122303632316</v>
      </c>
      <c r="D164" s="95">
        <f>MAX(0,Q135+$P164/4)</f>
        <v>0.0417275616666124</v>
      </c>
      <c r="E164" s="95">
        <f>MAX(0,D164+$P164)</f>
        <v>0.0333720550236315</v>
      </c>
      <c r="F164" s="95">
        <f>MAX(0,E164+$P164)</f>
        <v>0.0250165483806506</v>
      </c>
      <c r="G164" s="95">
        <f>MAX(0,F164+$P164)</f>
        <v>0.0166610417376697</v>
      </c>
      <c r="H164" s="95">
        <f>MAX(0,G164+$P164)</f>
        <v>0.00830553509468877</v>
      </c>
      <c r="I164" s="95">
        <f>MAX(0,H164+$P164)</f>
        <v>0</v>
      </c>
      <c r="J164" s="95">
        <f>MAX(0,I164+$P164)</f>
        <v>0</v>
      </c>
      <c r="K164" s="95">
        <f>MAX(0,J164+$P164)</f>
        <v>0</v>
      </c>
      <c r="L164" s="95">
        <f>MAX(0,K164+$P164)</f>
        <v>0</v>
      </c>
      <c r="O164" s="97">
        <v>1</v>
      </c>
      <c r="P164" s="94">
        <f>O164*Y135</f>
        <v>-0.0083555066429809</v>
      </c>
      <c r="Q164" s="94"/>
      <c r="R164" s="16"/>
      <c r="S164" s="16"/>
      <c r="T164" s="16"/>
      <c r="U164" s="16"/>
      <c r="V164" s="16"/>
      <c r="W164" s="16"/>
      <c r="X164" s="16"/>
    </row>
    <row r="165" ht="14" outlineLevel="1" spans="1:24">
      <c r="A165" s="16" t="s">
        <v>34</v>
      </c>
      <c r="B165" s="77">
        <v>0.0482331691707707</v>
      </c>
      <c r="C165" s="77">
        <v>0.0549069932176727</v>
      </c>
      <c r="D165" s="95">
        <f>MAX(0,Q136+$P165/4)</f>
        <v>0.0412730979802365</v>
      </c>
      <c r="E165" s="95">
        <f>MAX(0,D165+$P165)</f>
        <v>0.0373716198390422</v>
      </c>
      <c r="F165" s="95">
        <f>MAX(0,E165+$P165)</f>
        <v>0.0334701416978479</v>
      </c>
      <c r="G165" s="95">
        <f>MAX(0,F165+$P165)</f>
        <v>0.0295686635566535</v>
      </c>
      <c r="H165" s="95">
        <f>MAX(0,G165+$P165)</f>
        <v>0.0256671854154592</v>
      </c>
      <c r="I165" s="95">
        <f>MAX(0,H165+$P165)</f>
        <v>0.0217657072742648</v>
      </c>
      <c r="J165" s="95">
        <f>MAX(0,I165+$P165)</f>
        <v>0.0178642291330705</v>
      </c>
      <c r="K165" s="95">
        <f>MAX(0,J165+$P165)</f>
        <v>0.0139627509918761</v>
      </c>
      <c r="L165" s="95">
        <f>MAX(0,K165+$P165)</f>
        <v>0.0100612728506818</v>
      </c>
      <c r="O165" s="97">
        <v>1</v>
      </c>
      <c r="P165" s="94">
        <f>O165*Y136</f>
        <v>-0.00390147814119434</v>
      </c>
      <c r="Q165" s="94"/>
      <c r="R165" s="16"/>
      <c r="S165" s="16"/>
      <c r="T165" s="16"/>
      <c r="U165" s="16"/>
      <c r="V165" s="16"/>
      <c r="W165" s="16"/>
      <c r="X165" s="16"/>
    </row>
    <row r="166" s="5" customFormat="1" ht="14" outlineLevel="1" spans="1:24">
      <c r="A166" s="15" t="s">
        <v>173</v>
      </c>
      <c r="B166" s="76">
        <v>0.00389365265868353</v>
      </c>
      <c r="C166" s="76">
        <v>0.0361290522602478</v>
      </c>
      <c r="D166" s="68">
        <f>MAX(0,Q137+$P166/4)</f>
        <v>0.0311984905572989</v>
      </c>
      <c r="E166" s="68">
        <f>MAX(0,D166+$P166)</f>
        <v>0.0369107868733653</v>
      </c>
      <c r="F166" s="68">
        <f>MAX(0,E166+$P166)</f>
        <v>0.0426230831894316</v>
      </c>
      <c r="G166" s="68">
        <f>MAX(0,F166+$P166)</f>
        <v>0.048335379505498</v>
      </c>
      <c r="H166" s="68">
        <f>MAX(0,G166+$P166)</f>
        <v>0.0540476758215643</v>
      </c>
      <c r="I166" s="68">
        <f>MAX(0,H166+$P166)</f>
        <v>0.0597599721376307</v>
      </c>
      <c r="J166" s="68">
        <f>MAX(0,I166+$P166)</f>
        <v>0.065472268453697</v>
      </c>
      <c r="K166" s="68">
        <f>MAX(0,J166+$P166)</f>
        <v>0.0711845647697634</v>
      </c>
      <c r="L166" s="68">
        <f>MAX(0,K166+$P166)</f>
        <v>0.0768968610858297</v>
      </c>
      <c r="O166" s="111">
        <v>0.333333333333333</v>
      </c>
      <c r="P166" s="112">
        <f>O166*Y137</f>
        <v>0.00571229631606635</v>
      </c>
      <c r="Q166" s="112"/>
      <c r="R166" s="15"/>
      <c r="S166" s="15"/>
      <c r="T166" s="15"/>
      <c r="U166" s="15"/>
      <c r="V166" s="15"/>
      <c r="W166" s="15"/>
      <c r="X166" s="15"/>
    </row>
    <row r="167" s="5" customFormat="1" ht="14" outlineLevel="1" spans="1:24">
      <c r="A167" s="99" t="s">
        <v>175</v>
      </c>
      <c r="B167" s="76">
        <v>0.00014452763680908</v>
      </c>
      <c r="C167" s="76">
        <v>0.0155380873203573</v>
      </c>
      <c r="D167" s="68">
        <f>MAX(0,Q138+$P167/4)</f>
        <v>0.0158577703487783</v>
      </c>
      <c r="E167" s="68">
        <f>MAX(0,D167+$P167)</f>
        <v>0.0185151968078719</v>
      </c>
      <c r="F167" s="68">
        <f>MAX(0,E167+$P167)</f>
        <v>0.0211726232669656</v>
      </c>
      <c r="G167" s="68">
        <f>MAX(0,F167+$P167)</f>
        <v>0.0238300497260593</v>
      </c>
      <c r="H167" s="68">
        <f>MAX(0,G167+$P167)</f>
        <v>0.026487476185153</v>
      </c>
      <c r="I167" s="68">
        <f>MAX(0,H167+$P167)</f>
        <v>0.0291449026442466</v>
      </c>
      <c r="J167" s="68">
        <f>MAX(0,I167+$P167)</f>
        <v>0.0318023291033403</v>
      </c>
      <c r="K167" s="68">
        <f>MAX(0,J167+$P167)</f>
        <v>0.034459755562434</v>
      </c>
      <c r="L167" s="68">
        <f>MAX(0,K167+$P167)</f>
        <v>0.0371171820215276</v>
      </c>
      <c r="O167" s="111">
        <v>0.333333333333333</v>
      </c>
      <c r="P167" s="112">
        <f>O167*Y138</f>
        <v>0.00265742645909367</v>
      </c>
      <c r="Q167" s="112"/>
      <c r="R167" s="15"/>
      <c r="S167" s="15"/>
      <c r="T167" s="15"/>
      <c r="U167" s="15"/>
      <c r="V167" s="15"/>
      <c r="W167" s="15"/>
      <c r="X167" s="15"/>
    </row>
    <row r="168" ht="14" outlineLevel="1" spans="1:24">
      <c r="A168" s="25" t="s">
        <v>178</v>
      </c>
      <c r="B168" s="77">
        <v>0.00152574310642234</v>
      </c>
      <c r="C168" s="77">
        <v>0.00146861682445817</v>
      </c>
      <c r="D168" s="95">
        <f>MAX(0,Q139+$P168/4)</f>
        <v>0.00146245773563715</v>
      </c>
      <c r="E168" s="95">
        <f>MAX(0,D168+$P168)</f>
        <v>0.00141366922851326</v>
      </c>
      <c r="F168" s="95">
        <f>MAX(0,E168+$P168)</f>
        <v>0.00136488072138937</v>
      </c>
      <c r="G168" s="95">
        <f>MAX(0,F168+$P168)</f>
        <v>0.00131609221426548</v>
      </c>
      <c r="H168" s="95">
        <f>MAX(0,G168+$P168)</f>
        <v>0.00126730370714159</v>
      </c>
      <c r="I168" s="95">
        <f>MAX(0,H168+$P168)</f>
        <v>0.0012185152000177</v>
      </c>
      <c r="J168" s="95">
        <f>MAX(0,I168+$P168)</f>
        <v>0.00116972669289381</v>
      </c>
      <c r="K168" s="95">
        <f>MAX(0,J168+$P168)</f>
        <v>0.00112093818576992</v>
      </c>
      <c r="L168" s="95">
        <f>MAX(0,K168+$P168)</f>
        <v>0.00107214967864603</v>
      </c>
      <c r="O168" s="97">
        <v>1</v>
      </c>
      <c r="P168" s="94">
        <f>O168*Y139</f>
        <v>-4.87885071238891e-5</v>
      </c>
      <c r="Q168" s="94"/>
      <c r="R168" s="16"/>
      <c r="S168" s="16"/>
      <c r="T168" s="16"/>
      <c r="U168" s="16"/>
      <c r="V168" s="16"/>
      <c r="W168" s="16"/>
      <c r="X168" s="16"/>
    </row>
    <row r="169" ht="14" outlineLevel="1" spans="1:24">
      <c r="A169" s="16" t="s">
        <v>180</v>
      </c>
      <c r="B169" s="77">
        <v>0.0166777080572986</v>
      </c>
      <c r="C169" s="77">
        <v>0.0106011353978442</v>
      </c>
      <c r="D169" s="95">
        <f>MAX(0,Q140+$P169/4)</f>
        <v>0.00588087610197342</v>
      </c>
      <c r="E169" s="95">
        <f>MAX(0,D169+$P169)</f>
        <v>0.000610495727464116</v>
      </c>
      <c r="F169" s="95">
        <f>MAX(0,E169+$P169)</f>
        <v>0</v>
      </c>
      <c r="G169" s="95">
        <f>MAX(0,F169+$P169)</f>
        <v>0</v>
      </c>
      <c r="H169" s="95">
        <f>MAX(0,G169+$P169)</f>
        <v>0</v>
      </c>
      <c r="I169" s="95">
        <f>MAX(0,H169+$P169)</f>
        <v>0</v>
      </c>
      <c r="J169" s="95">
        <f>MAX(0,I169+$P169)</f>
        <v>0</v>
      </c>
      <c r="K169" s="95">
        <f>MAX(0,J169+$P169)</f>
        <v>0</v>
      </c>
      <c r="L169" s="95">
        <f>MAX(0,K169+$P169)</f>
        <v>0</v>
      </c>
      <c r="O169" s="97">
        <v>1</v>
      </c>
      <c r="P169" s="94">
        <f>O169*Y140</f>
        <v>-0.0052703803745093</v>
      </c>
      <c r="Q169" s="94"/>
      <c r="R169" s="16"/>
      <c r="S169" s="16"/>
      <c r="T169" s="16"/>
      <c r="U169" s="16"/>
      <c r="V169" s="16"/>
      <c r="W169" s="16"/>
      <c r="X169" s="16"/>
    </row>
    <row r="170" ht="14" outlineLevel="1" spans="1:24">
      <c r="A170" s="81" t="s">
        <v>181</v>
      </c>
      <c r="B170" s="77">
        <v>0.0209190082747931</v>
      </c>
      <c r="C170" s="77">
        <v>0.0139056917495277</v>
      </c>
      <c r="D170" s="95">
        <f>MAX(0,Q141+$P170/4)</f>
        <v>0.0101231182923433</v>
      </c>
      <c r="E170" s="95">
        <f>MAX(0,D170+$P170)</f>
        <v>0</v>
      </c>
      <c r="F170" s="95">
        <f>MAX(0,E170+$P170)</f>
        <v>0</v>
      </c>
      <c r="G170" s="95">
        <f>MAX(0,F170+$P170)</f>
        <v>0</v>
      </c>
      <c r="H170" s="95">
        <f>MAX(0,G170+$P170)</f>
        <v>0</v>
      </c>
      <c r="I170" s="95">
        <f>MAX(0,H170+$P170)</f>
        <v>0</v>
      </c>
      <c r="J170" s="95">
        <f>MAX(0,I170+$P170)</f>
        <v>0</v>
      </c>
      <c r="K170" s="95">
        <f>MAX(0,J170+$P170)</f>
        <v>0</v>
      </c>
      <c r="L170" s="95">
        <f>MAX(0,K170+$P170)</f>
        <v>0</v>
      </c>
      <c r="O170" s="97">
        <v>1</v>
      </c>
      <c r="P170" s="94">
        <f>O170*Y141</f>
        <v>-0.0119537190141675</v>
      </c>
      <c r="Q170" s="94"/>
      <c r="R170" s="16"/>
      <c r="S170" s="16"/>
      <c r="T170" s="16"/>
      <c r="U170" s="16"/>
      <c r="V170" s="16"/>
      <c r="W170" s="16"/>
      <c r="X170" s="16"/>
    </row>
    <row r="171" ht="14" outlineLevel="1" spans="1:24">
      <c r="A171" s="81" t="s">
        <v>185</v>
      </c>
      <c r="B171" s="77">
        <v>0</v>
      </c>
      <c r="C171" s="77">
        <v>0.000111881777356611</v>
      </c>
      <c r="D171" s="95">
        <f>MAX(0,Q142+$P171/4)</f>
        <v>0.000208871953095318</v>
      </c>
      <c r="E171" s="95">
        <f>MAX(0,D171+$P171)</f>
        <v>0.00030834664341407</v>
      </c>
      <c r="F171" s="95">
        <f>MAX(0,E171+$P171)</f>
        <v>0.000407821333732822</v>
      </c>
      <c r="G171" s="95">
        <f>MAX(0,F171+$P171)</f>
        <v>0.000507296024051574</v>
      </c>
      <c r="H171" s="95">
        <f>MAX(0,G171+$P171)</f>
        <v>0.000606770714370326</v>
      </c>
      <c r="I171" s="95">
        <f>MAX(0,H171+$P171)</f>
        <v>0.000706245404689078</v>
      </c>
      <c r="J171" s="95">
        <f>MAX(0,I171+$P171)</f>
        <v>0.00080572009500783</v>
      </c>
      <c r="K171" s="95">
        <f>MAX(0,J171+$P171)</f>
        <v>0.000905194785326582</v>
      </c>
      <c r="L171" s="95">
        <f>MAX(0,K171+$P171)</f>
        <v>0.00100466947564533</v>
      </c>
      <c r="O171" s="97">
        <v>1</v>
      </c>
      <c r="P171" s="94">
        <f>O171*Y142</f>
        <v>9.9474690318752e-5</v>
      </c>
      <c r="Q171" s="94"/>
      <c r="R171" s="16"/>
      <c r="S171" s="16"/>
      <c r="T171" s="16"/>
      <c r="U171" s="16"/>
      <c r="V171" s="16"/>
      <c r="W171" s="16"/>
      <c r="X171" s="16"/>
    </row>
    <row r="172" ht="14" outlineLevel="1" spans="1:24">
      <c r="A172" s="81" t="s">
        <v>186</v>
      </c>
      <c r="B172" s="77">
        <v>0.0111520649483763</v>
      </c>
      <c r="C172" s="77">
        <v>0.00882046277268656</v>
      </c>
      <c r="D172" s="95">
        <f>MAX(0,Q143+$P172/4)</f>
        <v>0.00597545408504128</v>
      </c>
      <c r="E172" s="95">
        <f>MAX(0,D172+$P172)</f>
        <v>0.00316525133092311</v>
      </c>
      <c r="F172" s="95">
        <f>MAX(0,E172+$P172)</f>
        <v>0.000355048576804949</v>
      </c>
      <c r="G172" s="95">
        <f>MAX(0,F172+$P172)</f>
        <v>0</v>
      </c>
      <c r="H172" s="95">
        <f>MAX(0,G172+$P172)</f>
        <v>0</v>
      </c>
      <c r="I172" s="95">
        <f>MAX(0,H172+$P172)</f>
        <v>0</v>
      </c>
      <c r="J172" s="95">
        <f>MAX(0,I172+$P172)</f>
        <v>0</v>
      </c>
      <c r="K172" s="95">
        <f>MAX(0,J172+$P172)</f>
        <v>0</v>
      </c>
      <c r="L172" s="95">
        <f>MAX(0,K172+$P172)</f>
        <v>0</v>
      </c>
      <c r="O172" s="97">
        <v>1</v>
      </c>
      <c r="P172" s="94">
        <f>O172*Y143</f>
        <v>-0.00281020275411816</v>
      </c>
      <c r="Q172" s="94"/>
      <c r="R172" s="16"/>
      <c r="S172" s="16"/>
      <c r="T172" s="16"/>
      <c r="U172" s="16"/>
      <c r="V172" s="16"/>
      <c r="W172" s="16"/>
      <c r="X172" s="16"/>
    </row>
    <row r="173" ht="14" outlineLevel="1" spans="1:24">
      <c r="A173" s="16" t="s">
        <v>188</v>
      </c>
      <c r="B173" s="77">
        <v>0.0192057698557536</v>
      </c>
      <c r="C173" s="77">
        <v>0.0197740931678651</v>
      </c>
      <c r="D173" s="95">
        <f>MAX(0,Q144+$P173/4)</f>
        <v>0.017988750835534</v>
      </c>
      <c r="E173" s="95">
        <f>MAX(0,D173+$P173)</f>
        <v>0.0167893070812419</v>
      </c>
      <c r="F173" s="95">
        <f>MAX(0,E173+$P173)</f>
        <v>0.0155898633269498</v>
      </c>
      <c r="G173" s="95">
        <f>MAX(0,F173+$P173)</f>
        <v>0.0143904195726577</v>
      </c>
      <c r="H173" s="95">
        <f>MAX(0,G173+$P173)</f>
        <v>0.0131909758183656</v>
      </c>
      <c r="I173" s="95">
        <f>MAX(0,H173+$P173)</f>
        <v>0.0119915320640735</v>
      </c>
      <c r="J173" s="95">
        <f>MAX(0,I173+$P173)</f>
        <v>0.0107920883097815</v>
      </c>
      <c r="K173" s="95">
        <f>MAX(0,J173+$P173)</f>
        <v>0.00959264455548935</v>
      </c>
      <c r="L173" s="95">
        <f>MAX(0,K173+$P173)</f>
        <v>0.00839320080119726</v>
      </c>
      <c r="O173" s="97">
        <v>1</v>
      </c>
      <c r="P173" s="94">
        <f>O173*Y144</f>
        <v>-0.0011994437542921</v>
      </c>
      <c r="Q173" s="94"/>
      <c r="R173" s="16"/>
      <c r="S173" s="16"/>
      <c r="T173" s="16"/>
      <c r="U173" s="16"/>
      <c r="V173" s="16"/>
      <c r="W173" s="16"/>
      <c r="X173" s="16"/>
    </row>
    <row r="174" ht="14" outlineLevel="1" spans="1:24">
      <c r="A174" s="16" t="s">
        <v>70</v>
      </c>
      <c r="B174" s="77"/>
      <c r="C174" s="77">
        <f>SUM(C153:C173)-SUM(B153:B173)</f>
        <v>-0.0259838107114282</v>
      </c>
      <c r="D174" s="77">
        <f>SUM(D153:D173)-SUM(C153:C173)</f>
        <v>-0.0407061925510073</v>
      </c>
      <c r="E174" s="77">
        <f>SUM(E153:E173)-SUM(D153:D173)</f>
        <v>-0.0591148036923763</v>
      </c>
      <c r="F174" s="77">
        <f>SUM(F153:F173)-SUM(E153:E173)</f>
        <v>-0.0298736253993939</v>
      </c>
      <c r="G174" s="77">
        <f>SUM(G153:G173)-SUM(F153:F173)</f>
        <v>-0.00433547191300304</v>
      </c>
      <c r="H174" s="77">
        <f>SUM(H153:H173)-SUM(G153:G173)</f>
        <v>-0.00336052837467191</v>
      </c>
      <c r="I174" s="77">
        <f>SUM(I153:I173)-SUM(H153:H173)</f>
        <v>-0.000173734962233912</v>
      </c>
      <c r="J174" s="77">
        <f>SUM(J153:J173)-SUM(I153:I173)</f>
        <v>0.00946383080220037</v>
      </c>
      <c r="K174" s="77">
        <f>SUM(K153:K173)-SUM(J153:J173)</f>
        <v>0.0094638308022004</v>
      </c>
      <c r="L174" s="77">
        <f>SUM(L153:L173)-SUM(K153:K173)</f>
        <v>0.00946383080220042</v>
      </c>
      <c r="O174" s="97"/>
      <c r="P174" s="94"/>
      <c r="Q174" s="94"/>
      <c r="R174" s="16"/>
      <c r="S174" s="16"/>
      <c r="T174" s="16"/>
      <c r="U174" s="16"/>
      <c r="V174" s="16"/>
      <c r="W174" s="16"/>
      <c r="X174" s="16"/>
    </row>
    <row r="175" ht="14" outlineLevel="1" spans="1:24">
      <c r="A175" s="15" t="s">
        <v>45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ht="14" outlineLevel="1" spans="1:24">
      <c r="A176" s="16" t="s">
        <v>2</v>
      </c>
      <c r="B176" s="63">
        <f>J123</f>
        <v>0</v>
      </c>
      <c r="C176" s="63">
        <f>K123</f>
        <v>24376</v>
      </c>
      <c r="D176" s="106">
        <f>D150*D152</f>
        <v>157672.934865253</v>
      </c>
      <c r="E176" s="106">
        <f>E150*E152</f>
        <v>248181.961764566</v>
      </c>
      <c r="F176" s="106">
        <f>F150*F152</f>
        <v>285814.002950335</v>
      </c>
      <c r="G176" s="106">
        <f>G150*G152</f>
        <v>294555.924465058</v>
      </c>
      <c r="H176" s="106">
        <f>H150*H152</f>
        <v>297986.446087975</v>
      </c>
      <c r="I176" s="106">
        <f>I150*I152</f>
        <v>298903.422289606</v>
      </c>
      <c r="J176" s="106">
        <f>J150*J152</f>
        <v>285173.708634606</v>
      </c>
      <c r="K176" s="106">
        <f>K150*K152</f>
        <v>271932.461842226</v>
      </c>
      <c r="L176" s="106">
        <f>L150*L152</f>
        <v>258458.275942752</v>
      </c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ht="14" outlineLevel="1" spans="1:24">
      <c r="A177" s="16"/>
      <c r="B177" s="63"/>
      <c r="C177" s="63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="3" customFormat="1" ht="14.75" outlineLevel="1" spans="1:1">
      <c r="A178" s="3" t="s">
        <v>73</v>
      </c>
    </row>
    <row r="179" s="4" customFormat="1" ht="46.5" customHeight="1" outlineLevel="1" spans="1:25">
      <c r="A179" s="4" t="s">
        <v>3</v>
      </c>
      <c r="B179" s="4" t="s">
        <v>4</v>
      </c>
      <c r="C179" s="4" t="s">
        <v>5</v>
      </c>
      <c r="D179" s="4" t="s">
        <v>6</v>
      </c>
      <c r="E179" s="4" t="s">
        <v>7</v>
      </c>
      <c r="F179" s="4" t="s">
        <v>8</v>
      </c>
      <c r="G179" s="4" t="s">
        <v>9</v>
      </c>
      <c r="H179" s="4" t="s">
        <v>10</v>
      </c>
      <c r="I179" s="4" t="s">
        <v>11</v>
      </c>
      <c r="J179" s="4" t="s">
        <v>12</v>
      </c>
      <c r="K179" s="4" t="s">
        <v>13</v>
      </c>
      <c r="L179" s="4" t="s">
        <v>148</v>
      </c>
      <c r="M179" s="4" t="s">
        <v>76</v>
      </c>
      <c r="N179" s="4" t="s">
        <v>192</v>
      </c>
      <c r="O179" s="4" t="s">
        <v>17</v>
      </c>
      <c r="P179" s="4" t="s">
        <v>18</v>
      </c>
      <c r="Q179" s="4" t="s">
        <v>149</v>
      </c>
      <c r="R179" s="4" t="s">
        <v>20</v>
      </c>
      <c r="T179" s="4" t="s">
        <v>22</v>
      </c>
      <c r="U179" s="4" t="s">
        <v>23</v>
      </c>
      <c r="V179" s="4" t="s">
        <v>24</v>
      </c>
      <c r="W179" s="4" t="s">
        <v>25</v>
      </c>
      <c r="X179" s="4" t="s">
        <v>26</v>
      </c>
      <c r="Y179" s="4" t="s">
        <v>27</v>
      </c>
    </row>
    <row r="180" ht="14" outlineLevel="1" spans="1:27">
      <c r="A180" s="14" t="s">
        <v>0</v>
      </c>
      <c r="B180" s="15" t="s">
        <v>73</v>
      </c>
      <c r="C180" s="15">
        <v>2019.2</v>
      </c>
      <c r="D180" s="15" t="s">
        <v>98</v>
      </c>
      <c r="E180" s="79" t="s">
        <v>193</v>
      </c>
      <c r="F180" s="79" t="s">
        <v>150</v>
      </c>
      <c r="G180" s="108" t="s">
        <v>31</v>
      </c>
      <c r="H180" s="60">
        <v>40731.4814814815</v>
      </c>
      <c r="I180" s="93" t="s">
        <v>51</v>
      </c>
      <c r="J180" s="41">
        <v>87761</v>
      </c>
      <c r="K180" s="19">
        <v>142799</v>
      </c>
      <c r="L180" s="19">
        <v>40260</v>
      </c>
      <c r="M180" s="19">
        <v>55909</v>
      </c>
      <c r="N180" s="19"/>
      <c r="O180" s="76">
        <v>0.1091</v>
      </c>
      <c r="P180" s="76">
        <v>0.1896</v>
      </c>
      <c r="Q180" s="76">
        <v>0.1302</v>
      </c>
      <c r="R180" s="76">
        <v>0.1255</v>
      </c>
      <c r="S180" s="76"/>
      <c r="T180" s="68">
        <f>P180-O180</f>
        <v>0.0805</v>
      </c>
      <c r="U180" s="68">
        <f>R180-P180</f>
        <v>-0.0641</v>
      </c>
      <c r="V180" s="68">
        <f>R180-O180</f>
        <v>0.0164</v>
      </c>
      <c r="W180" s="68">
        <f>SUM(V181:V190)/1.75</f>
        <v>-0.000549217614289886</v>
      </c>
      <c r="X180" s="68">
        <f>Y180+W180</f>
        <v>0.00882221095713868</v>
      </c>
      <c r="Y180" s="68">
        <f>V180/1.75</f>
        <v>0.00937142857142857</v>
      </c>
      <c r="AA180" s="98"/>
    </row>
    <row r="181" ht="14" outlineLevel="1" spans="1:27">
      <c r="A181" s="20" t="s">
        <v>33</v>
      </c>
      <c r="B181" s="109" t="s">
        <v>194</v>
      </c>
      <c r="C181" s="16"/>
      <c r="D181" s="25" t="s">
        <v>28</v>
      </c>
      <c r="E181" s="26" t="s">
        <v>193</v>
      </c>
      <c r="F181" s="26" t="s">
        <v>150</v>
      </c>
      <c r="G181" s="26" t="s">
        <v>35</v>
      </c>
      <c r="H181" s="92">
        <f>30392*1.12</f>
        <v>34039.04</v>
      </c>
      <c r="I181" s="93" t="s">
        <v>195</v>
      </c>
      <c r="J181" s="42">
        <v>118369</v>
      </c>
      <c r="K181" s="23">
        <v>113209</v>
      </c>
      <c r="L181" s="23">
        <v>44091</v>
      </c>
      <c r="M181" s="23">
        <v>63532</v>
      </c>
      <c r="N181" s="23"/>
      <c r="O181" s="77">
        <v>0.1502</v>
      </c>
      <c r="P181" s="77">
        <v>0.1524</v>
      </c>
      <c r="Q181" s="77">
        <v>0.1426</v>
      </c>
      <c r="R181" s="77">
        <v>0.1426</v>
      </c>
      <c r="S181" s="77"/>
      <c r="T181" s="95">
        <f>P181-O181</f>
        <v>0.00220000000000001</v>
      </c>
      <c r="U181" s="95">
        <f>R181-P181</f>
        <v>-0.0098</v>
      </c>
      <c r="V181" s="95">
        <f>R181-O181</f>
        <v>-0.0076</v>
      </c>
      <c r="W181" s="77"/>
      <c r="X181" s="77"/>
      <c r="Y181" s="95">
        <f>V181/1.75</f>
        <v>-0.00434285714285714</v>
      </c>
      <c r="Z181" s="97"/>
      <c r="AA181" s="98"/>
    </row>
    <row r="182" ht="14" outlineLevel="1" spans="1:27">
      <c r="A182" s="20" t="s">
        <v>113</v>
      </c>
      <c r="B182" s="16" t="s">
        <v>196</v>
      </c>
      <c r="C182" s="16"/>
      <c r="D182" s="25" t="s">
        <v>28</v>
      </c>
      <c r="E182" s="26" t="s">
        <v>193</v>
      </c>
      <c r="F182" s="26" t="s">
        <v>150</v>
      </c>
      <c r="G182" s="26" t="s">
        <v>35</v>
      </c>
      <c r="H182" s="63">
        <f>39834*1.12</f>
        <v>44614.08</v>
      </c>
      <c r="I182" s="93" t="s">
        <v>87</v>
      </c>
      <c r="J182" s="42">
        <v>81909</v>
      </c>
      <c r="K182" s="23">
        <v>56927</v>
      </c>
      <c r="L182" s="23">
        <v>37427</v>
      </c>
      <c r="M182" s="23">
        <v>55051</v>
      </c>
      <c r="N182" s="23"/>
      <c r="O182" s="77">
        <v>0.104</v>
      </c>
      <c r="P182" s="77">
        <v>0.0766</v>
      </c>
      <c r="Q182" s="77">
        <v>0.121</v>
      </c>
      <c r="R182" s="77">
        <v>0.1235</v>
      </c>
      <c r="S182" s="77"/>
      <c r="T182" s="95">
        <f>P182-O182</f>
        <v>-0.0274</v>
      </c>
      <c r="U182" s="95">
        <f>R182-P182</f>
        <v>0.0469</v>
      </c>
      <c r="V182" s="95">
        <f>R182-O182</f>
        <v>0.0195</v>
      </c>
      <c r="W182" s="77"/>
      <c r="X182" s="77"/>
      <c r="Y182" s="95">
        <f>V182/1.75</f>
        <v>0.0111428571428571</v>
      </c>
      <c r="Z182" s="97"/>
      <c r="AA182" s="98"/>
    </row>
    <row r="183" ht="14" outlineLevel="1" spans="1:27">
      <c r="A183" s="20" t="s">
        <v>33</v>
      </c>
      <c r="B183" s="16" t="s">
        <v>197</v>
      </c>
      <c r="C183" s="16"/>
      <c r="D183" s="25" t="s">
        <v>28</v>
      </c>
      <c r="E183" s="26" t="s">
        <v>193</v>
      </c>
      <c r="F183" s="26" t="s">
        <v>150</v>
      </c>
      <c r="G183" s="26" t="s">
        <v>35</v>
      </c>
      <c r="H183" s="63">
        <f>37908*1.12</f>
        <v>42456.96</v>
      </c>
      <c r="I183" s="93" t="s">
        <v>32</v>
      </c>
      <c r="J183" s="42">
        <v>18139</v>
      </c>
      <c r="K183" s="23">
        <v>33083</v>
      </c>
      <c r="L183" s="23">
        <v>20827</v>
      </c>
      <c r="M183" s="23">
        <v>31525</v>
      </c>
      <c r="N183" s="23"/>
      <c r="O183" s="77">
        <v>0.0175404327329868</v>
      </c>
      <c r="P183" s="77">
        <v>0.034623068719722</v>
      </c>
      <c r="Q183" s="77">
        <v>0.0512117516302584</v>
      </c>
      <c r="R183" s="77">
        <v>0.0537394289727544</v>
      </c>
      <c r="S183" s="77"/>
      <c r="T183" s="95">
        <f>P183-O183</f>
        <v>0.0170826359867351</v>
      </c>
      <c r="U183" s="95">
        <f>R183-P183</f>
        <v>0.0191163602530325</v>
      </c>
      <c r="V183" s="95">
        <f>R183-O183</f>
        <v>0.0361989962397676</v>
      </c>
      <c r="W183" s="77"/>
      <c r="X183" s="77"/>
      <c r="Y183" s="95">
        <f>V183/1.75</f>
        <v>0.0206851407084386</v>
      </c>
      <c r="Z183" s="97"/>
      <c r="AA183" s="98"/>
    </row>
    <row r="184" ht="14" outlineLevel="1" spans="1:27">
      <c r="A184" s="20" t="s">
        <v>81</v>
      </c>
      <c r="B184" s="109" t="s">
        <v>82</v>
      </c>
      <c r="C184" s="109"/>
      <c r="D184" s="25" t="s">
        <v>28</v>
      </c>
      <c r="E184" s="26" t="s">
        <v>193</v>
      </c>
      <c r="F184" s="26" t="s">
        <v>150</v>
      </c>
      <c r="G184" s="26" t="s">
        <v>35</v>
      </c>
      <c r="H184" s="63">
        <f>37518*1.12</f>
        <v>42020.16</v>
      </c>
      <c r="I184" s="93" t="s">
        <v>32</v>
      </c>
      <c r="J184" s="42">
        <v>7200</v>
      </c>
      <c r="K184" s="23">
        <v>4521</v>
      </c>
      <c r="L184" s="23">
        <v>401</v>
      </c>
      <c r="M184" s="23">
        <v>471</v>
      </c>
      <c r="N184" s="23"/>
      <c r="O184" s="77">
        <v>0.00696240783270881</v>
      </c>
      <c r="P184" s="77">
        <v>0.00473146007562382</v>
      </c>
      <c r="Q184" s="77">
        <v>0.000986023546537361</v>
      </c>
      <c r="R184" s="77">
        <v>0.000802895195754713</v>
      </c>
      <c r="S184" s="77"/>
      <c r="T184" s="95">
        <f>P184-O184</f>
        <v>-0.00223094775708499</v>
      </c>
      <c r="U184" s="95">
        <f>R184-P184</f>
        <v>-0.00392856487986911</v>
      </c>
      <c r="V184" s="95">
        <f>R184-O184</f>
        <v>-0.0061595126369541</v>
      </c>
      <c r="W184" s="77"/>
      <c r="X184" s="77"/>
      <c r="Y184" s="95">
        <f>V184/1.75</f>
        <v>-0.00351972150683091</v>
      </c>
      <c r="Z184" s="97"/>
      <c r="AA184" s="98"/>
    </row>
    <row r="185" ht="14" outlineLevel="1" spans="1:27">
      <c r="A185" s="20" t="s">
        <v>81</v>
      </c>
      <c r="B185" s="109" t="s">
        <v>198</v>
      </c>
      <c r="C185" s="109"/>
      <c r="D185" s="25" t="s">
        <v>28</v>
      </c>
      <c r="E185" s="26" t="s">
        <v>193</v>
      </c>
      <c r="F185" s="26" t="s">
        <v>150</v>
      </c>
      <c r="G185" s="26" t="s">
        <v>35</v>
      </c>
      <c r="H185" s="63">
        <f>36710*1.12</f>
        <v>41115.2</v>
      </c>
      <c r="I185" s="93" t="s">
        <v>46</v>
      </c>
      <c r="J185" s="42">
        <v>50803</v>
      </c>
      <c r="K185" s="23">
        <v>42533</v>
      </c>
      <c r="L185" s="23">
        <v>13278</v>
      </c>
      <c r="M185" s="23">
        <v>17043</v>
      </c>
      <c r="N185" s="23"/>
      <c r="O185" s="77">
        <v>0.0491265562673758</v>
      </c>
      <c r="P185" s="77">
        <v>0.0445129819501234</v>
      </c>
      <c r="Q185" s="77">
        <v>0.0326494280571648</v>
      </c>
      <c r="R185" s="77">
        <v>0.0290525325291881</v>
      </c>
      <c r="S185" s="77"/>
      <c r="T185" s="95">
        <f>P185-O185</f>
        <v>-0.00461357431725237</v>
      </c>
      <c r="U185" s="95">
        <f>R185-P185</f>
        <v>-0.0154604494209354</v>
      </c>
      <c r="V185" s="95">
        <f>R185-O185</f>
        <v>-0.0200740237381878</v>
      </c>
      <c r="W185" s="77"/>
      <c r="X185" s="77"/>
      <c r="Y185" s="95">
        <f>V185/1.75</f>
        <v>-0.0114708707075359</v>
      </c>
      <c r="Z185" s="97"/>
      <c r="AA185" s="98"/>
    </row>
    <row r="186" ht="14" outlineLevel="1" spans="1:27">
      <c r="A186" s="20" t="s">
        <v>101</v>
      </c>
      <c r="B186" s="16" t="s">
        <v>199</v>
      </c>
      <c r="C186" s="16"/>
      <c r="D186" s="25" t="s">
        <v>28</v>
      </c>
      <c r="E186" s="26" t="s">
        <v>193</v>
      </c>
      <c r="F186" s="26" t="s">
        <v>150</v>
      </c>
      <c r="G186" s="26" t="s">
        <v>35</v>
      </c>
      <c r="H186" s="63">
        <f>38051*1.12</f>
        <v>42617.12</v>
      </c>
      <c r="I186" s="93" t="s">
        <v>32</v>
      </c>
      <c r="J186" s="42">
        <v>28525</v>
      </c>
      <c r="K186" s="23">
        <v>26100</v>
      </c>
      <c r="L186" s="23">
        <v>11738</v>
      </c>
      <c r="M186" s="23">
        <v>17104</v>
      </c>
      <c r="N186" s="23"/>
      <c r="O186" s="77">
        <v>0.0275837060316693</v>
      </c>
      <c r="P186" s="77">
        <v>0.0273149984458708</v>
      </c>
      <c r="Q186" s="77">
        <v>0.0288627042126073</v>
      </c>
      <c r="R186" s="77">
        <v>0.0291565168326722</v>
      </c>
      <c r="S186" s="77"/>
      <c r="T186" s="95">
        <f>P186-O186</f>
        <v>-0.000268707585798507</v>
      </c>
      <c r="U186" s="95">
        <f>R186-P186</f>
        <v>0.00184151838680143</v>
      </c>
      <c r="V186" s="95">
        <f>R186-O186</f>
        <v>0.00157281080100292</v>
      </c>
      <c r="W186" s="77"/>
      <c r="X186" s="77"/>
      <c r="Y186" s="95">
        <f>V186/1.75</f>
        <v>0.000898749029144528</v>
      </c>
      <c r="Z186" s="97"/>
      <c r="AA186" s="98"/>
    </row>
    <row r="187" ht="14" outlineLevel="1" spans="1:27">
      <c r="A187" s="20" t="s">
        <v>167</v>
      </c>
      <c r="B187" s="16" t="s">
        <v>200</v>
      </c>
      <c r="C187" s="16"/>
      <c r="D187" s="25" t="s">
        <v>28</v>
      </c>
      <c r="E187" s="26" t="s">
        <v>193</v>
      </c>
      <c r="F187" s="26" t="s">
        <v>150</v>
      </c>
      <c r="G187" s="26" t="s">
        <v>35</v>
      </c>
      <c r="H187" s="63">
        <f>33941*1.12</f>
        <v>38013.92</v>
      </c>
      <c r="I187" s="93" t="s">
        <v>201</v>
      </c>
      <c r="J187" s="42">
        <v>77515</v>
      </c>
      <c r="K187" s="23">
        <v>59251</v>
      </c>
      <c r="L187" s="23">
        <v>27935</v>
      </c>
      <c r="M187" s="23">
        <v>40441</v>
      </c>
      <c r="N187" s="23"/>
      <c r="O187" s="77">
        <v>0.0984</v>
      </c>
      <c r="P187" s="77">
        <v>0.0798</v>
      </c>
      <c r="Q187" s="77">
        <v>0.0903</v>
      </c>
      <c r="R187" s="77">
        <v>0.0908</v>
      </c>
      <c r="S187" s="77"/>
      <c r="T187" s="95">
        <f>P187-O187</f>
        <v>-0.0186</v>
      </c>
      <c r="U187" s="95">
        <f>R187-P187</f>
        <v>0.011</v>
      </c>
      <c r="V187" s="95">
        <f>R187-O187</f>
        <v>-0.0076</v>
      </c>
      <c r="W187" s="77"/>
      <c r="X187" s="77"/>
      <c r="Y187" s="95">
        <f>V187/1.75</f>
        <v>-0.00434285714285714</v>
      </c>
      <c r="Z187" s="97"/>
      <c r="AA187" s="98"/>
    </row>
    <row r="188" ht="14" outlineLevel="1" spans="1:27">
      <c r="A188" s="20" t="s">
        <v>110</v>
      </c>
      <c r="B188" s="16" t="s">
        <v>202</v>
      </c>
      <c r="C188" s="16"/>
      <c r="D188" s="25" t="s">
        <v>28</v>
      </c>
      <c r="E188" s="26" t="s">
        <v>193</v>
      </c>
      <c r="F188" s="26" t="s">
        <v>150</v>
      </c>
      <c r="G188" s="26" t="s">
        <v>35</v>
      </c>
      <c r="H188" s="63">
        <f>35750*1.12</f>
        <v>40040</v>
      </c>
      <c r="I188" s="93" t="s">
        <v>46</v>
      </c>
      <c r="J188" s="42">
        <v>1855</v>
      </c>
      <c r="K188" s="23">
        <v>551</v>
      </c>
      <c r="L188" s="23">
        <v>4</v>
      </c>
      <c r="M188" s="23">
        <v>7</v>
      </c>
      <c r="N188" s="23"/>
      <c r="O188" s="77">
        <v>0.0017937870180104</v>
      </c>
      <c r="P188" s="77">
        <v>0.000576649967190605</v>
      </c>
      <c r="Q188" s="77">
        <v>9.83564634949986e-6</v>
      </c>
      <c r="R188" s="77">
        <v>1.19326249899851e-5</v>
      </c>
      <c r="S188" s="77"/>
      <c r="T188" s="95">
        <f>P188-O188</f>
        <v>-0.00121713705081979</v>
      </c>
      <c r="U188" s="95">
        <f>R188-P188</f>
        <v>-0.00056471734220062</v>
      </c>
      <c r="V188" s="95">
        <f>R188-O188</f>
        <v>-0.00178185439302041</v>
      </c>
      <c r="W188" s="77"/>
      <c r="X188" s="77"/>
      <c r="Y188" s="95">
        <f>V188/1.75</f>
        <v>-0.00101820251029738</v>
      </c>
      <c r="Z188" s="97"/>
      <c r="AA188" s="98"/>
    </row>
    <row r="189" ht="14" outlineLevel="1" spans="1:27">
      <c r="A189" s="20" t="s">
        <v>167</v>
      </c>
      <c r="B189" s="109" t="s">
        <v>203</v>
      </c>
      <c r="C189" s="109"/>
      <c r="D189" s="25" t="s">
        <v>28</v>
      </c>
      <c r="E189" s="26" t="s">
        <v>193</v>
      </c>
      <c r="F189" s="26" t="s">
        <v>182</v>
      </c>
      <c r="G189" s="26" t="s">
        <v>35</v>
      </c>
      <c r="H189" s="63">
        <f>39163*1.12</f>
        <v>43862.56</v>
      </c>
      <c r="I189" s="93" t="s">
        <v>32</v>
      </c>
      <c r="J189" s="42">
        <v>55737</v>
      </c>
      <c r="K189" s="23">
        <v>50238</v>
      </c>
      <c r="L189" s="23">
        <v>20423</v>
      </c>
      <c r="M189" s="23">
        <v>30919</v>
      </c>
      <c r="N189" s="23"/>
      <c r="O189" s="77">
        <v>0.0538977396349571</v>
      </c>
      <c r="P189" s="77">
        <v>0.0525766625258106</v>
      </c>
      <c r="Q189" s="77">
        <v>0.0502183513489589</v>
      </c>
      <c r="R189" s="77">
        <v>0.0527064045807643</v>
      </c>
      <c r="S189" s="77"/>
      <c r="T189" s="95">
        <f>P189-O189</f>
        <v>-0.00132107710914651</v>
      </c>
      <c r="U189" s="95">
        <f>R189-P189</f>
        <v>0.00012974205495369</v>
      </c>
      <c r="V189" s="95">
        <f>R189-O189</f>
        <v>-0.00119133505419282</v>
      </c>
      <c r="W189" s="77"/>
      <c r="X189" s="77"/>
      <c r="Y189" s="95">
        <f>V189/1.75</f>
        <v>-0.000680762888110182</v>
      </c>
      <c r="Z189" s="97"/>
      <c r="AA189" s="98"/>
    </row>
    <row r="190" ht="14" outlineLevel="1" spans="1:27">
      <c r="A190" s="20" t="s">
        <v>204</v>
      </c>
      <c r="B190" s="81" t="s">
        <v>205</v>
      </c>
      <c r="C190" s="81"/>
      <c r="D190" s="25" t="s">
        <v>28</v>
      </c>
      <c r="E190" s="26" t="s">
        <v>193</v>
      </c>
      <c r="F190" s="26" t="s">
        <v>182</v>
      </c>
      <c r="G190" s="26" t="s">
        <v>35</v>
      </c>
      <c r="H190" s="63">
        <f>39214*1.12</f>
        <v>43919.68</v>
      </c>
      <c r="I190" s="93" t="s">
        <v>32</v>
      </c>
      <c r="J190" s="42">
        <v>70171</v>
      </c>
      <c r="K190" s="23">
        <v>53654</v>
      </c>
      <c r="L190" s="23">
        <v>22597</v>
      </c>
      <c r="M190" s="23">
        <v>31695</v>
      </c>
      <c r="N190" s="23"/>
      <c r="O190" s="77">
        <v>0.0678554333373625</v>
      </c>
      <c r="P190" s="77">
        <v>0.0561516830120594</v>
      </c>
      <c r="Q190" s="77">
        <v>0.0555640251399121</v>
      </c>
      <c r="R190" s="77">
        <v>0.0540292212939398</v>
      </c>
      <c r="S190" s="77"/>
      <c r="T190" s="95">
        <f>P190-O190</f>
        <v>-0.0117037503253031</v>
      </c>
      <c r="U190" s="95">
        <f>R190-P190</f>
        <v>-0.00212246171811965</v>
      </c>
      <c r="V190" s="95">
        <f>R190-O190</f>
        <v>-0.0138262120434227</v>
      </c>
      <c r="W190" s="77"/>
      <c r="X190" s="77"/>
      <c r="Y190" s="95">
        <f>V190/1.75</f>
        <v>-0.00790069259624157</v>
      </c>
      <c r="Z190" s="97"/>
      <c r="AA190" s="98"/>
    </row>
    <row r="191" ht="14" outlineLevel="1" spans="1:25">
      <c r="A191" s="16" t="s">
        <v>52</v>
      </c>
      <c r="B191" s="63"/>
      <c r="C191" s="63"/>
      <c r="D191" s="63"/>
      <c r="E191" s="107"/>
      <c r="F191" s="107"/>
      <c r="G191" s="107"/>
      <c r="H191" s="107"/>
      <c r="I191" s="107"/>
      <c r="J191" s="107">
        <f>SUM(J180:J190)</f>
        <v>597984</v>
      </c>
      <c r="K191" s="107">
        <f>SUM(K180:K190)</f>
        <v>582866</v>
      </c>
      <c r="L191" s="107">
        <f>SUM(L180:L190)</f>
        <v>238981</v>
      </c>
      <c r="M191" s="107"/>
      <c r="N191" s="107"/>
      <c r="O191" s="95">
        <f>SUM(O180:O190)</f>
        <v>0.686460062855071</v>
      </c>
      <c r="P191" s="95">
        <f>SUM(P180:P190)</f>
        <v>0.718887504696401</v>
      </c>
      <c r="Q191" s="95">
        <f>SUM(Q180:Q190)</f>
        <v>0.703602119581788</v>
      </c>
      <c r="R191" s="95">
        <f>SUM(R180:R190)</f>
        <v>0.701898932030063</v>
      </c>
      <c r="S191" s="95"/>
      <c r="T191" s="95">
        <f>SUM(T180:T190)</f>
        <v>0.0324274418413299</v>
      </c>
      <c r="U191" s="95">
        <f>SUM(U180:U190)</f>
        <v>-0.0169885726663372</v>
      </c>
      <c r="V191" s="95">
        <f>SUM(V180:V190)</f>
        <v>0.0154388691749927</v>
      </c>
      <c r="W191" s="95"/>
      <c r="X191" s="95"/>
      <c r="Y191" s="16"/>
    </row>
    <row r="192" ht="14" outlineLevel="1" spans="1:25">
      <c r="A192" s="15" t="s">
        <v>53</v>
      </c>
      <c r="B192" s="63"/>
      <c r="C192" s="63"/>
      <c r="D192" s="63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="7" customFormat="1" ht="14" outlineLevel="1" spans="1:24">
      <c r="A193" s="100" t="s">
        <v>66</v>
      </c>
      <c r="B193" s="113">
        <v>2020</v>
      </c>
      <c r="C193" s="113">
        <v>2021</v>
      </c>
      <c r="D193" s="113" t="s">
        <v>124</v>
      </c>
      <c r="E193" s="113" t="s">
        <v>55</v>
      </c>
      <c r="F193" s="113" t="s">
        <v>56</v>
      </c>
      <c r="G193" s="113" t="s">
        <v>57</v>
      </c>
      <c r="H193" s="113" t="s">
        <v>58</v>
      </c>
      <c r="I193" s="113" t="s">
        <v>59</v>
      </c>
      <c r="J193" s="113" t="s">
        <v>60</v>
      </c>
      <c r="K193" s="113" t="s">
        <v>61</v>
      </c>
      <c r="L193" s="113" t="s">
        <v>62</v>
      </c>
      <c r="O193" s="100" t="s">
        <v>64</v>
      </c>
      <c r="P193" s="100" t="s">
        <v>65</v>
      </c>
      <c r="Q193" s="100"/>
      <c r="R193" s="100"/>
      <c r="S193" s="100"/>
      <c r="T193" s="100"/>
      <c r="U193" s="100"/>
      <c r="V193" s="100"/>
      <c r="W193" s="100"/>
      <c r="X193" s="100"/>
    </row>
    <row r="194" ht="14" outlineLevel="1" spans="1:24">
      <c r="A194" s="16" t="s">
        <v>206</v>
      </c>
      <c r="B194" s="101">
        <v>787815</v>
      </c>
      <c r="C194" s="101">
        <v>742941</v>
      </c>
      <c r="D194" s="114">
        <f>AVERAGE(B194:C194)</f>
        <v>765378</v>
      </c>
      <c r="E194" s="114">
        <f>AVERAGE(C194:D194)</f>
        <v>754159.5</v>
      </c>
      <c r="F194" s="114">
        <f>AVERAGE(D194:E194)</f>
        <v>759768.75</v>
      </c>
      <c r="G194" s="114">
        <f>AVERAGE(E194:F194)</f>
        <v>756964.125</v>
      </c>
      <c r="H194" s="114">
        <f>AVERAGE(F194:G194)</f>
        <v>758366.4375</v>
      </c>
      <c r="I194" s="114">
        <f>AVERAGE(G194:H194)</f>
        <v>757665.28125</v>
      </c>
      <c r="J194" s="114">
        <f>AVERAGE(H194:I194)</f>
        <v>758015.859375</v>
      </c>
      <c r="K194" s="114">
        <f>AVERAGE(I194:J194)</f>
        <v>757840.5703125</v>
      </c>
      <c r="L194" s="114">
        <f>AVERAGE(J194:K194)</f>
        <v>757928.21484375</v>
      </c>
      <c r="O194" s="16"/>
      <c r="P194" s="16" t="s">
        <v>67</v>
      </c>
      <c r="Q194" s="16"/>
      <c r="R194" s="16"/>
      <c r="S194" s="16"/>
      <c r="T194" s="16"/>
      <c r="U194" s="16"/>
      <c r="V194" s="16"/>
      <c r="W194" s="16"/>
      <c r="X194" s="16"/>
    </row>
    <row r="195" ht="14" outlineLevel="1" spans="1:24">
      <c r="A195" s="16" t="s">
        <v>207</v>
      </c>
      <c r="B195" s="101">
        <v>246310</v>
      </c>
      <c r="C195" s="101">
        <v>212578</v>
      </c>
      <c r="D195" s="114">
        <f>AVERAGE(B195:C195)</f>
        <v>229444</v>
      </c>
      <c r="E195" s="114">
        <f>AVERAGE(C195:D195)</f>
        <v>221011</v>
      </c>
      <c r="F195" s="114">
        <f>AVERAGE(D195:E195)</f>
        <v>225227.5</v>
      </c>
      <c r="G195" s="114">
        <f>AVERAGE(E195:F195)</f>
        <v>223119.25</v>
      </c>
      <c r="H195" s="114">
        <f>AVERAGE(F195:G195)</f>
        <v>224173.375</v>
      </c>
      <c r="I195" s="114">
        <f>AVERAGE(G195:H195)</f>
        <v>223646.3125</v>
      </c>
      <c r="J195" s="114">
        <f>AVERAGE(H195:I195)</f>
        <v>223909.84375</v>
      </c>
      <c r="K195" s="114">
        <f>AVERAGE(I195:J195)</f>
        <v>223778.078125</v>
      </c>
      <c r="L195" s="114">
        <f>AVERAGE(J195:K195)</f>
        <v>223843.9609375</v>
      </c>
      <c r="O195" s="16"/>
      <c r="P195" s="16" t="s">
        <v>67</v>
      </c>
      <c r="Q195" s="16"/>
      <c r="R195" s="16"/>
      <c r="S195" s="16"/>
      <c r="T195" s="16"/>
      <c r="U195" s="16"/>
      <c r="V195" s="16"/>
      <c r="W195" s="16"/>
      <c r="X195" s="16"/>
    </row>
    <row r="196" ht="14" outlineLevel="1" spans="1:24">
      <c r="A196" s="16" t="s">
        <v>191</v>
      </c>
      <c r="B196" s="107">
        <f>SUM(B194:B195)</f>
        <v>1034125</v>
      </c>
      <c r="C196" s="107">
        <f>SUM(C194:C195)</f>
        <v>955519</v>
      </c>
      <c r="D196" s="114">
        <f>AVERAGE(B196:C196)</f>
        <v>994822</v>
      </c>
      <c r="E196" s="114">
        <f>AVERAGE(C196:D196)</f>
        <v>975170.5</v>
      </c>
      <c r="F196" s="114">
        <f>AVERAGE(D196:E196)</f>
        <v>984996.25</v>
      </c>
      <c r="G196" s="114">
        <f>AVERAGE(E196:F196)</f>
        <v>980083.375</v>
      </c>
      <c r="H196" s="114">
        <f>AVERAGE(F196:G196)</f>
        <v>982539.8125</v>
      </c>
      <c r="I196" s="114">
        <f>AVERAGE(G196:H196)</f>
        <v>981311.59375</v>
      </c>
      <c r="J196" s="114">
        <f>AVERAGE(H196:I196)</f>
        <v>981925.703125</v>
      </c>
      <c r="K196" s="114">
        <f>AVERAGE(I196:J196)</f>
        <v>981618.6484375</v>
      </c>
      <c r="L196" s="114">
        <f>AVERAGE(J196:K196)</f>
        <v>981772.17578125</v>
      </c>
      <c r="O196" s="16"/>
      <c r="P196" s="16" t="s">
        <v>67</v>
      </c>
      <c r="Q196" s="16"/>
      <c r="R196" s="16"/>
      <c r="S196" s="16"/>
      <c r="T196" s="16"/>
      <c r="U196" s="16"/>
      <c r="V196" s="16"/>
      <c r="W196" s="16"/>
      <c r="X196" s="16"/>
    </row>
    <row r="197" ht="14" outlineLevel="1" spans="1:24">
      <c r="A197" s="15" t="s">
        <v>68</v>
      </c>
      <c r="B197" s="63"/>
      <c r="C197" s="63"/>
      <c r="D197" s="95"/>
      <c r="E197" s="107"/>
      <c r="F197" s="107"/>
      <c r="G197" s="107"/>
      <c r="H197" s="107"/>
      <c r="I197" s="107"/>
      <c r="J197" s="107"/>
      <c r="K197" s="107"/>
      <c r="L197" s="107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ht="14" outlineLevel="1" spans="1:24">
      <c r="A198" s="15" t="s">
        <v>73</v>
      </c>
      <c r="B198" s="76">
        <v>0.0831417865345098</v>
      </c>
      <c r="C198" s="76">
        <v>0.147425639887852</v>
      </c>
      <c r="D198" s="95">
        <f>R180+Y180/4</f>
        <v>0.127842857142857</v>
      </c>
      <c r="E198" s="95">
        <f>D198-E209</f>
        <v>0.139768149665667</v>
      </c>
      <c r="F198" s="95">
        <f>E198-F209</f>
        <v>0.151693442188476</v>
      </c>
      <c r="G198" s="95">
        <f>F198-G209</f>
        <v>0.155390937440982</v>
      </c>
      <c r="H198" s="95">
        <f>G198-H209</f>
        <v>0.155845359256256</v>
      </c>
      <c r="I198" s="95">
        <f>H198-I209</f>
        <v>0.156299781071529</v>
      </c>
      <c r="J198" s="95">
        <f>I198-J209</f>
        <v>0.156754202886803</v>
      </c>
      <c r="K198" s="95">
        <f>J198-K209</f>
        <v>0.153957824673265</v>
      </c>
      <c r="L198" s="95">
        <f>K198-L209*O199</f>
        <v>0.146511553892297</v>
      </c>
      <c r="O198" s="16"/>
      <c r="P198" s="95">
        <f>-SUM(P199:P208)+X180</f>
        <v>0.0252854274970765</v>
      </c>
      <c r="Q198" s="95"/>
      <c r="R198" s="16"/>
      <c r="S198" s="16"/>
      <c r="T198" s="16"/>
      <c r="U198" s="16"/>
      <c r="V198" s="16"/>
      <c r="W198" s="16"/>
      <c r="X198" s="16"/>
    </row>
    <row r="199" ht="14" outlineLevel="1" spans="1:24">
      <c r="A199" s="16" t="s">
        <v>208</v>
      </c>
      <c r="B199" s="77">
        <f>O181</f>
        <v>0.1502</v>
      </c>
      <c r="C199" s="77">
        <f>P181</f>
        <v>0.1524</v>
      </c>
      <c r="D199" s="95">
        <f>MAX(0,R181+$P199/4)</f>
        <v>0.141514285714286</v>
      </c>
      <c r="E199" s="95">
        <f>MAX(0,D199+$P199)</f>
        <v>0.137171428571429</v>
      </c>
      <c r="F199" s="95">
        <f>MAX(0,E199+$P199)</f>
        <v>0.132828571428571</v>
      </c>
      <c r="G199" s="95">
        <f>MAX(0,F199+$P199)</f>
        <v>0.128485714285714</v>
      </c>
      <c r="H199" s="95">
        <f>MAX(0,G199+$P199)</f>
        <v>0.124142857142857</v>
      </c>
      <c r="I199" s="95">
        <f>MAX(0,H199+$P199)</f>
        <v>0.1198</v>
      </c>
      <c r="J199" s="95">
        <f>MAX(0,I199+$P199)</f>
        <v>0.115457142857143</v>
      </c>
      <c r="K199" s="95">
        <f>MAX(0,J199+$P199)</f>
        <v>0.111114285714286</v>
      </c>
      <c r="L199" s="95">
        <f>MAX(0,K199+$P199)</f>
        <v>0.106771428571429</v>
      </c>
      <c r="O199" s="116">
        <v>1</v>
      </c>
      <c r="P199" s="94">
        <f>O199*Y181</f>
        <v>-0.00434285714285714</v>
      </c>
      <c r="Q199" s="94"/>
      <c r="R199" s="16"/>
      <c r="S199" s="16"/>
      <c r="T199" s="16"/>
      <c r="U199" s="16"/>
      <c r="V199" s="16"/>
      <c r="W199" s="16"/>
      <c r="X199" s="16"/>
    </row>
    <row r="200" ht="14" outlineLevel="1" spans="1:24">
      <c r="A200" s="16" t="s">
        <v>196</v>
      </c>
      <c r="B200" s="77">
        <f>O182</f>
        <v>0.104</v>
      </c>
      <c r="C200" s="77">
        <f>P182</f>
        <v>0.0766</v>
      </c>
      <c r="D200" s="95">
        <f>MAX(0,R182+$P200/4)</f>
        <v>0.124892857142857</v>
      </c>
      <c r="E200" s="95">
        <f>MAX(0,D200+$P200)</f>
        <v>0.130464285714286</v>
      </c>
      <c r="F200" s="95">
        <f>MAX(0,E200+$P200)</f>
        <v>0.136035714285714</v>
      </c>
      <c r="G200" s="95">
        <f>MAX(0,F200+$P200)</f>
        <v>0.141607142857143</v>
      </c>
      <c r="H200" s="95">
        <f>MAX(0,G200+$P200)</f>
        <v>0.147178571428571</v>
      </c>
      <c r="I200" s="95">
        <f>MAX(0,H200+$P200)</f>
        <v>0.15275</v>
      </c>
      <c r="J200" s="95">
        <f>MAX(0,I200+$P200)</f>
        <v>0.158321428571429</v>
      </c>
      <c r="K200" s="95">
        <f>MAX(0,J200+$P200)</f>
        <v>0.163892857142857</v>
      </c>
      <c r="L200" s="95">
        <f>MAX(0,K200+$P200)</f>
        <v>0.169464285714286</v>
      </c>
      <c r="O200" s="116">
        <v>0.5</v>
      </c>
      <c r="P200" s="94">
        <f>O200*Y182</f>
        <v>0.00557142857142857</v>
      </c>
      <c r="Q200" s="94"/>
      <c r="R200" s="16"/>
      <c r="S200" s="16"/>
      <c r="T200" s="16"/>
      <c r="U200" s="16"/>
      <c r="V200" s="16"/>
      <c r="W200" s="16"/>
      <c r="X200" s="16"/>
    </row>
    <row r="201" ht="14" outlineLevel="1" spans="1:24">
      <c r="A201" s="16" t="s">
        <v>209</v>
      </c>
      <c r="B201" s="77">
        <f>O183</f>
        <v>0.0175404327329868</v>
      </c>
      <c r="C201" s="77">
        <f>P183</f>
        <v>0.034623068719722</v>
      </c>
      <c r="D201" s="95">
        <f>MAX(0,R183+$P201/4)</f>
        <v>0.0563250715613092</v>
      </c>
      <c r="E201" s="95">
        <f>MAX(0,D201+$P201)</f>
        <v>0.0666676419155286</v>
      </c>
      <c r="F201" s="95">
        <f>MAX(0,E201+$P201)</f>
        <v>0.0770102122697479</v>
      </c>
      <c r="G201" s="95">
        <f>MAX(0,F201+$P201)</f>
        <v>0.0873527826239672</v>
      </c>
      <c r="H201" s="95">
        <f>MAX(0,G201+$P201)</f>
        <v>0.0976953529781865</v>
      </c>
      <c r="I201" s="95">
        <f>MAX(0,H201+$P201)</f>
        <v>0.108037923332406</v>
      </c>
      <c r="J201" s="95">
        <f>MAX(0,I201+$P201)</f>
        <v>0.118380493686625</v>
      </c>
      <c r="K201" s="95">
        <f>MAX(0,J201+$P201)</f>
        <v>0.128723064040844</v>
      </c>
      <c r="L201" s="95">
        <f>MAX(0,K201+$P201)</f>
        <v>0.139065634395064</v>
      </c>
      <c r="O201" s="116">
        <v>0.5</v>
      </c>
      <c r="P201" s="94">
        <f>O201*Y183</f>
        <v>0.0103425703542193</v>
      </c>
      <c r="Q201" s="94"/>
      <c r="R201" s="16"/>
      <c r="S201" s="16"/>
      <c r="T201" s="16"/>
      <c r="U201" s="16"/>
      <c r="V201" s="16"/>
      <c r="W201" s="16"/>
      <c r="X201" s="16"/>
    </row>
    <row r="202" ht="14" outlineLevel="1" spans="1:24">
      <c r="A202" s="109" t="s">
        <v>82</v>
      </c>
      <c r="B202" s="77">
        <f>O184</f>
        <v>0.00696240783270881</v>
      </c>
      <c r="C202" s="77">
        <f>P184</f>
        <v>0.00473146007562382</v>
      </c>
      <c r="D202" s="95">
        <f>MAX(0,R184+$P202/4)</f>
        <v>0</v>
      </c>
      <c r="E202" s="95">
        <f>MAX(0,D202+$P202)</f>
        <v>0</v>
      </c>
      <c r="F202" s="95">
        <f>MAX(0,E202+$P202)</f>
        <v>0</v>
      </c>
      <c r="G202" s="95">
        <f>MAX(0,F202+$P202)</f>
        <v>0</v>
      </c>
      <c r="H202" s="95">
        <f>MAX(0,G202+$P202)</f>
        <v>0</v>
      </c>
      <c r="I202" s="95">
        <f>MAX(0,H202+$P202)</f>
        <v>0</v>
      </c>
      <c r="J202" s="95">
        <f>MAX(0,I202+$P202)</f>
        <v>0</v>
      </c>
      <c r="K202" s="95">
        <f>MAX(0,J202+$P202)</f>
        <v>0</v>
      </c>
      <c r="L202" s="95">
        <f>MAX(0,K202+$P202)</f>
        <v>0</v>
      </c>
      <c r="O202" s="116">
        <v>1</v>
      </c>
      <c r="P202" s="94">
        <f>O202*Y184</f>
        <v>-0.00351972150683091</v>
      </c>
      <c r="Q202" s="94"/>
      <c r="R202" s="16"/>
      <c r="S202" s="16"/>
      <c r="T202" s="16"/>
      <c r="U202" s="16"/>
      <c r="V202" s="16"/>
      <c r="W202" s="16"/>
      <c r="X202" s="16"/>
    </row>
    <row r="203" ht="14" outlineLevel="1" spans="1:24">
      <c r="A203" s="109" t="s">
        <v>198</v>
      </c>
      <c r="B203" s="77">
        <f>O185</f>
        <v>0.0491265562673758</v>
      </c>
      <c r="C203" s="77">
        <f>P185</f>
        <v>0.0445129819501234</v>
      </c>
      <c r="D203" s="95">
        <f>MAX(0,R185+$P203/4)</f>
        <v>0.0261848148523041</v>
      </c>
      <c r="E203" s="95">
        <f>MAX(0,D203+$P203)</f>
        <v>0.0147139441447682</v>
      </c>
      <c r="F203" s="95">
        <f>MAX(0,E203+$P203)</f>
        <v>0.00324307343723237</v>
      </c>
      <c r="G203" s="95">
        <f>MAX(0,F203+$P203)</f>
        <v>0</v>
      </c>
      <c r="H203" s="95">
        <f>MAX(0,G203+$P203)</f>
        <v>0</v>
      </c>
      <c r="I203" s="95">
        <f>MAX(0,H203+$P203)</f>
        <v>0</v>
      </c>
      <c r="J203" s="95">
        <f>MAX(0,I203+$P203)</f>
        <v>0</v>
      </c>
      <c r="K203" s="95">
        <f>MAX(0,J203+$P203)</f>
        <v>0</v>
      </c>
      <c r="L203" s="95">
        <f>MAX(0,K203+$P203)</f>
        <v>0</v>
      </c>
      <c r="O203" s="116">
        <v>1</v>
      </c>
      <c r="P203" s="94">
        <f>O203*Y185</f>
        <v>-0.0114708707075359</v>
      </c>
      <c r="Q203" s="94"/>
      <c r="R203" s="16"/>
      <c r="S203" s="16"/>
      <c r="T203" s="16"/>
      <c r="U203" s="16"/>
      <c r="V203" s="16"/>
      <c r="W203" s="16"/>
      <c r="X203" s="16"/>
    </row>
    <row r="204" ht="14" outlineLevel="1" spans="1:24">
      <c r="A204" s="16" t="s">
        <v>199</v>
      </c>
      <c r="B204" s="77">
        <f>O186</f>
        <v>0.0275837060316693</v>
      </c>
      <c r="C204" s="77">
        <f>P186</f>
        <v>0.0273149984458708</v>
      </c>
      <c r="D204" s="95">
        <f>MAX(0,R186+$P204/4)</f>
        <v>0.0293812040899583</v>
      </c>
      <c r="E204" s="95">
        <f>MAX(0,D204+$P204)</f>
        <v>0.0302799531191029</v>
      </c>
      <c r="F204" s="95">
        <f>MAX(0,E204+$P204)</f>
        <v>0.0311787021482474</v>
      </c>
      <c r="G204" s="95">
        <f>MAX(0,F204+$P204)</f>
        <v>0.0320774511773919</v>
      </c>
      <c r="H204" s="95">
        <f>MAX(0,G204+$P204)</f>
        <v>0.0329762002065365</v>
      </c>
      <c r="I204" s="95">
        <f>MAX(0,H204+$P204)</f>
        <v>0.033874949235681</v>
      </c>
      <c r="J204" s="95">
        <f>MAX(0,I204+$P204)</f>
        <v>0.0347736982648255</v>
      </c>
      <c r="K204" s="95">
        <f>MAX(0,J204+$P204)</f>
        <v>0.0356724472939701</v>
      </c>
      <c r="L204" s="95">
        <f>MAX(0,K204+$P204)</f>
        <v>0.0365711963231146</v>
      </c>
      <c r="O204" s="116">
        <v>1</v>
      </c>
      <c r="P204" s="94">
        <f>O204*Y186</f>
        <v>0.000898749029144528</v>
      </c>
      <c r="Q204" s="94"/>
      <c r="R204" s="16"/>
      <c r="S204" s="16"/>
      <c r="T204" s="16"/>
      <c r="U204" s="16"/>
      <c r="V204" s="16"/>
      <c r="W204" s="16"/>
      <c r="X204" s="16"/>
    </row>
    <row r="205" ht="14" outlineLevel="1" spans="1:24">
      <c r="A205" s="16" t="s">
        <v>200</v>
      </c>
      <c r="B205" s="77">
        <f>O187</f>
        <v>0.0984</v>
      </c>
      <c r="C205" s="77">
        <f>P187</f>
        <v>0.0798</v>
      </c>
      <c r="D205" s="95">
        <f>MAX(0,R187+$P205/4)</f>
        <v>0.0897142857142857</v>
      </c>
      <c r="E205" s="95">
        <f>MAX(0,D205+$P205)</f>
        <v>0.0853714285714286</v>
      </c>
      <c r="F205" s="95">
        <f>MAX(0,E205+$P205)</f>
        <v>0.0810285714285714</v>
      </c>
      <c r="G205" s="95">
        <f>MAX(0,F205+$P205)</f>
        <v>0.0766857142857143</v>
      </c>
      <c r="H205" s="95">
        <f>MAX(0,G205+$P205)</f>
        <v>0.0723428571428572</v>
      </c>
      <c r="I205" s="95">
        <f>MAX(0,H205+$P205)</f>
        <v>0.068</v>
      </c>
      <c r="J205" s="95">
        <f>MAX(0,I205+$P205)</f>
        <v>0.0636571428571429</v>
      </c>
      <c r="K205" s="95">
        <f>MAX(0,J205+$P205)</f>
        <v>0.0593142857142858</v>
      </c>
      <c r="L205" s="95">
        <f>MAX(0,K205+$P205)</f>
        <v>0.0549714285714286</v>
      </c>
      <c r="O205" s="116">
        <v>1</v>
      </c>
      <c r="P205" s="94">
        <f>O205*Y187</f>
        <v>-0.00434285714285714</v>
      </c>
      <c r="Q205" s="94"/>
      <c r="R205" s="16"/>
      <c r="S205" s="16"/>
      <c r="T205" s="16"/>
      <c r="U205" s="16"/>
      <c r="V205" s="16"/>
      <c r="W205" s="16"/>
      <c r="X205" s="16"/>
    </row>
    <row r="206" ht="14" outlineLevel="1" spans="1:24">
      <c r="A206" s="16" t="s">
        <v>202</v>
      </c>
      <c r="B206" s="77">
        <f>O188</f>
        <v>0.0017937870180104</v>
      </c>
      <c r="C206" s="77">
        <f>P188</f>
        <v>0.000576649967190605</v>
      </c>
      <c r="D206" s="95">
        <f>MAX(0,R188+$P206/4)</f>
        <v>0</v>
      </c>
      <c r="E206" s="95">
        <f>MAX(0,D206+$P206)</f>
        <v>0</v>
      </c>
      <c r="F206" s="95">
        <f>MAX(0,E206+$P206)</f>
        <v>0</v>
      </c>
      <c r="G206" s="95">
        <f>MAX(0,F206+$P206)</f>
        <v>0</v>
      </c>
      <c r="H206" s="95">
        <f>MAX(0,G206+$P206)</f>
        <v>0</v>
      </c>
      <c r="I206" s="95">
        <f>MAX(0,H206+$P206)</f>
        <v>0</v>
      </c>
      <c r="J206" s="95">
        <f>MAX(0,I206+$P206)</f>
        <v>0</v>
      </c>
      <c r="K206" s="95">
        <f>MAX(0,J206+$P206)</f>
        <v>0</v>
      </c>
      <c r="L206" s="95">
        <f>MAX(0,K206+$P206)</f>
        <v>0</v>
      </c>
      <c r="O206" s="116">
        <v>1</v>
      </c>
      <c r="P206" s="94">
        <f>O206*Y188</f>
        <v>-0.00101820251029738</v>
      </c>
      <c r="Q206" s="94"/>
      <c r="R206" s="16"/>
      <c r="S206" s="16"/>
      <c r="T206" s="16"/>
      <c r="U206" s="16"/>
      <c r="V206" s="16"/>
      <c r="W206" s="16"/>
      <c r="X206" s="16"/>
    </row>
    <row r="207" ht="14" outlineLevel="1" spans="1:24">
      <c r="A207" s="109" t="s">
        <v>203</v>
      </c>
      <c r="B207" s="77">
        <f>O189</f>
        <v>0.0538977396349571</v>
      </c>
      <c r="C207" s="77">
        <f>P189</f>
        <v>0.0525766625258106</v>
      </c>
      <c r="D207" s="95">
        <f>MAX(0,R189+$P207/4)</f>
        <v>0.0525362138587367</v>
      </c>
      <c r="E207" s="95">
        <f>MAX(0,D207+$P207)</f>
        <v>0.0518554509706265</v>
      </c>
      <c r="F207" s="95">
        <f>MAX(0,E207+$P207)</f>
        <v>0.0511746880825164</v>
      </c>
      <c r="G207" s="95">
        <f>MAX(0,F207+$P207)</f>
        <v>0.0504939251944062</v>
      </c>
      <c r="H207" s="95">
        <f>MAX(0,G207+$P207)</f>
        <v>0.049813162306296</v>
      </c>
      <c r="I207" s="95">
        <f>MAX(0,H207+$P207)</f>
        <v>0.0491323994181858</v>
      </c>
      <c r="J207" s="95">
        <f>MAX(0,I207+$P207)</f>
        <v>0.0484516365300756</v>
      </c>
      <c r="K207" s="95">
        <f>MAX(0,J207+$P207)</f>
        <v>0.0477708736419654</v>
      </c>
      <c r="L207" s="95">
        <f>MAX(0,K207+$P207)</f>
        <v>0.0470901107538553</v>
      </c>
      <c r="O207" s="116">
        <v>1</v>
      </c>
      <c r="P207" s="94">
        <f>O207*Y189</f>
        <v>-0.000680762888110182</v>
      </c>
      <c r="Q207" s="94"/>
      <c r="R207" s="16"/>
      <c r="S207" s="16"/>
      <c r="T207" s="16"/>
      <c r="U207" s="16"/>
      <c r="V207" s="16"/>
      <c r="W207" s="16"/>
      <c r="X207" s="16"/>
    </row>
    <row r="208" ht="14" outlineLevel="1" spans="1:24">
      <c r="A208" s="81" t="s">
        <v>205</v>
      </c>
      <c r="B208" s="77">
        <f>O190</f>
        <v>0.0678554333373625</v>
      </c>
      <c r="C208" s="77">
        <f>P190</f>
        <v>0.0561516830120594</v>
      </c>
      <c r="D208" s="95">
        <f>MAX(0,R190+$P208/4)</f>
        <v>0.0520540481448794</v>
      </c>
      <c r="E208" s="95">
        <f>MAX(0,D208+$P208)</f>
        <v>0.0441533555486378</v>
      </c>
      <c r="F208" s="95">
        <f>MAX(0,E208+$P208)</f>
        <v>0.0362526629523962</v>
      </c>
      <c r="G208" s="95">
        <f>MAX(0,F208+$P208)</f>
        <v>0.0283519703561547</v>
      </c>
      <c r="H208" s="95">
        <f>MAX(0,G208+$P208)</f>
        <v>0.0204512777599131</v>
      </c>
      <c r="I208" s="95">
        <f>MAX(0,H208+$P208)</f>
        <v>0.0125505851636715</v>
      </c>
      <c r="J208" s="95">
        <f>MAX(0,I208+$P208)</f>
        <v>0.00464989256742997</v>
      </c>
      <c r="K208" s="95">
        <f>MAX(0,J208+$P208)</f>
        <v>0</v>
      </c>
      <c r="L208" s="95">
        <f>MAX(0,K208+$P208)</f>
        <v>0</v>
      </c>
      <c r="O208" s="116">
        <v>1</v>
      </c>
      <c r="P208" s="94">
        <f>O208*Y190</f>
        <v>-0.00790069259624157</v>
      </c>
      <c r="Q208" s="94"/>
      <c r="R208" s="16"/>
      <c r="S208" s="16"/>
      <c r="T208" s="16"/>
      <c r="U208" s="16"/>
      <c r="V208" s="16"/>
      <c r="W208" s="16"/>
      <c r="X208" s="16"/>
    </row>
    <row r="209" s="5" customFormat="1" ht="14" outlineLevel="1" spans="1:24">
      <c r="A209" s="15" t="s">
        <v>70</v>
      </c>
      <c r="B209" s="76"/>
      <c r="C209" s="76">
        <f>SUM(C199:C208)-SUM(B199:B208)</f>
        <v>-0.0480725581586702</v>
      </c>
      <c r="D209" s="76">
        <f>SUM(D199:D208)-SUM(C199:C208)</f>
        <v>0.0433152763822159</v>
      </c>
      <c r="E209" s="76">
        <f>SUM(E199:E208)-SUM(D199:D208)</f>
        <v>-0.0119252925228096</v>
      </c>
      <c r="F209" s="76">
        <f>SUM(F199:F208)-SUM(E199:E208)</f>
        <v>-0.0119252925228094</v>
      </c>
      <c r="G209" s="76">
        <f>SUM(G199:G208)-SUM(F199:F208)</f>
        <v>-0.00369749525250607</v>
      </c>
      <c r="H209" s="76">
        <f>SUM(H199:H208)-SUM(G199:G208)</f>
        <v>-0.000454421815273665</v>
      </c>
      <c r="I209" s="76">
        <f>SUM(I199:I208)-SUM(H199:H208)</f>
        <v>-0.000454421815273442</v>
      </c>
      <c r="J209" s="76">
        <f>SUM(J199:J208)-SUM(I199:I208)</f>
        <v>-0.000454421815273665</v>
      </c>
      <c r="K209" s="76">
        <f>SUM(K199:K208)-SUM(J199:J208)</f>
        <v>0.00279637821353795</v>
      </c>
      <c r="L209" s="76">
        <f>SUM(L199:L208)-SUM(K199:K208)</f>
        <v>0.00744627078096793</v>
      </c>
      <c r="O209" s="111"/>
      <c r="P209" s="112"/>
      <c r="Q209" s="112"/>
      <c r="R209" s="15"/>
      <c r="S209" s="15"/>
      <c r="T209" s="15"/>
      <c r="U209" s="15"/>
      <c r="V209" s="15"/>
      <c r="W209" s="15"/>
      <c r="X209" s="15"/>
    </row>
    <row r="210" ht="14" outlineLevel="1" spans="1:24">
      <c r="A210" s="15" t="s">
        <v>45</v>
      </c>
      <c r="B210" s="63"/>
      <c r="C210" s="63"/>
      <c r="D210" s="107"/>
      <c r="E210" s="107"/>
      <c r="F210" s="107"/>
      <c r="G210" s="107"/>
      <c r="H210" s="107"/>
      <c r="I210" s="107"/>
      <c r="J210" s="107"/>
      <c r="K210" s="107"/>
      <c r="L210" s="107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ht="14" outlineLevel="1" spans="1:24">
      <c r="A211" s="16" t="s">
        <v>73</v>
      </c>
      <c r="B211" s="42">
        <v>85979</v>
      </c>
      <c r="C211" s="42">
        <v>140868</v>
      </c>
      <c r="D211" s="106">
        <f>D198*D194</f>
        <v>97848.1103142857</v>
      </c>
      <c r="E211" s="106">
        <f>E198*E194</f>
        <v>105407.477867784</v>
      </c>
      <c r="F211" s="106">
        <f>F198*F194</f>
        <v>115251.936954736</v>
      </c>
      <c r="G211" s="106">
        <f>G198*G194</f>
        <v>117625.364992943</v>
      </c>
      <c r="H211" s="106">
        <f>H198*H194</f>
        <v>118187.889900074</v>
      </c>
      <c r="I211" s="106">
        <f>I198*I194</f>
        <v>118422.917584874</v>
      </c>
      <c r="J211" s="106">
        <f>J198*J194</f>
        <v>118822.171811883</v>
      </c>
      <c r="K211" s="106">
        <f>K198*K194</f>
        <v>116675.485654459</v>
      </c>
      <c r="L211" s="106">
        <f>L198*L194</f>
        <v>111045.240495573</v>
      </c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ht="14" outlineLevel="1" spans="1:24">
      <c r="A212" s="16"/>
      <c r="B212" s="63"/>
      <c r="C212" s="63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s="3" customFormat="1" ht="14.75" outlineLevel="1" spans="1:1">
      <c r="A213" s="3" t="s">
        <v>97</v>
      </c>
    </row>
    <row r="214" s="4" customFormat="1" ht="46.5" customHeight="1" outlineLevel="1" spans="1:25">
      <c r="A214" s="4" t="s">
        <v>3</v>
      </c>
      <c r="B214" s="4" t="s">
        <v>4</v>
      </c>
      <c r="C214" s="4" t="s">
        <v>5</v>
      </c>
      <c r="D214" s="4" t="s">
        <v>6</v>
      </c>
      <c r="E214" s="4" t="s">
        <v>7</v>
      </c>
      <c r="F214" s="4" t="s">
        <v>8</v>
      </c>
      <c r="G214" s="4" t="s">
        <v>9</v>
      </c>
      <c r="H214" s="4" t="s">
        <v>10</v>
      </c>
      <c r="I214" s="4" t="s">
        <v>11</v>
      </c>
      <c r="J214" s="4" t="s">
        <v>12</v>
      </c>
      <c r="K214" s="4" t="s">
        <v>13</v>
      </c>
      <c r="L214" s="4" t="s">
        <v>148</v>
      </c>
      <c r="M214" s="4" t="s">
        <v>76</v>
      </c>
      <c r="N214" s="4" t="s">
        <v>16</v>
      </c>
      <c r="O214" s="4" t="s">
        <v>17</v>
      </c>
      <c r="P214" s="4" t="s">
        <v>18</v>
      </c>
      <c r="Q214" s="4" t="s">
        <v>149</v>
      </c>
      <c r="R214" s="4" t="s">
        <v>20</v>
      </c>
      <c r="T214" s="4" t="s">
        <v>22</v>
      </c>
      <c r="U214" s="4" t="s">
        <v>23</v>
      </c>
      <c r="V214" s="4" t="s">
        <v>24</v>
      </c>
      <c r="W214" s="4" t="s">
        <v>25</v>
      </c>
      <c r="X214" s="4" t="s">
        <v>26</v>
      </c>
      <c r="Y214" s="4" t="s">
        <v>27</v>
      </c>
    </row>
    <row r="215" ht="14" outlineLevel="1" spans="1:25">
      <c r="A215" s="14" t="s">
        <v>0</v>
      </c>
      <c r="B215" s="15" t="s">
        <v>97</v>
      </c>
      <c r="C215" s="15">
        <v>2013.8</v>
      </c>
      <c r="D215" s="15" t="s">
        <v>98</v>
      </c>
      <c r="E215" s="79" t="s">
        <v>193</v>
      </c>
      <c r="F215" s="79" t="s">
        <v>182</v>
      </c>
      <c r="G215" s="108" t="s">
        <v>31</v>
      </c>
      <c r="H215" s="60">
        <f>91980/0.727099</f>
        <v>126502.718336843</v>
      </c>
      <c r="I215" s="15" t="s">
        <v>210</v>
      </c>
      <c r="J215" s="19">
        <v>5562</v>
      </c>
      <c r="K215" s="19">
        <v>456</v>
      </c>
      <c r="L215" s="19">
        <v>18</v>
      </c>
      <c r="M215" s="19">
        <v>23</v>
      </c>
      <c r="N215" s="19"/>
      <c r="O215" s="76">
        <v>0.0225812999878202</v>
      </c>
      <c r="P215" s="76">
        <v>0.0021450949769026</v>
      </c>
      <c r="Q215" s="76">
        <v>0.000184736647645634</v>
      </c>
      <c r="R215" s="76">
        <v>0.000163092806898117</v>
      </c>
      <c r="S215" s="76"/>
      <c r="T215" s="68">
        <f>P215-O215</f>
        <v>-0.0204362050109176</v>
      </c>
      <c r="U215" s="68">
        <f>R215-P215</f>
        <v>-0.00198200217000448</v>
      </c>
      <c r="V215" s="68">
        <f>R215-O215</f>
        <v>-0.0224182071809221</v>
      </c>
      <c r="W215" s="68">
        <f>SUM(V216:V223)/1.75</f>
        <v>0.0762022273220299</v>
      </c>
      <c r="X215" s="68">
        <f>W215+Y215</f>
        <v>0.0633918232186459</v>
      </c>
      <c r="Y215" s="68">
        <f>V215/1.75</f>
        <v>-0.0128104041033841</v>
      </c>
    </row>
    <row r="216" ht="14" outlineLevel="1" spans="1:26">
      <c r="A216" s="20" t="s">
        <v>113</v>
      </c>
      <c r="B216" s="16" t="s">
        <v>114</v>
      </c>
      <c r="C216" s="16"/>
      <c r="D216" s="16" t="s">
        <v>28</v>
      </c>
      <c r="E216" s="82" t="s">
        <v>193</v>
      </c>
      <c r="F216" s="82" t="s">
        <v>182</v>
      </c>
      <c r="G216" s="26" t="s">
        <v>35</v>
      </c>
      <c r="H216" s="63">
        <f>88175/0.727099</f>
        <v>121269.593274093</v>
      </c>
      <c r="I216" s="16" t="s">
        <v>211</v>
      </c>
      <c r="J216" s="23">
        <v>6239</v>
      </c>
      <c r="K216" s="23">
        <v>11069</v>
      </c>
      <c r="L216" s="23">
        <v>5305</v>
      </c>
      <c r="M216" s="23">
        <v>8221</v>
      </c>
      <c r="N216" s="23"/>
      <c r="O216" s="77">
        <v>0.0253298688644391</v>
      </c>
      <c r="P216" s="77">
        <v>0.0520702989020501</v>
      </c>
      <c r="Q216" s="77">
        <v>0.0544459953200049</v>
      </c>
      <c r="R216" s="77">
        <v>0.0582950419786703</v>
      </c>
      <c r="S216" s="77"/>
      <c r="T216" s="95">
        <f>P216-O216</f>
        <v>0.026740430037611</v>
      </c>
      <c r="U216" s="95">
        <f>R216-P216</f>
        <v>0.00622474307662022</v>
      </c>
      <c r="V216" s="95">
        <f>R216-O216</f>
        <v>0.0329651731142312</v>
      </c>
      <c r="W216" s="68"/>
      <c r="X216" s="68"/>
      <c r="Y216" s="95">
        <f>V216/1.75</f>
        <v>0.0188372417795607</v>
      </c>
      <c r="Z216" s="97"/>
    </row>
    <row r="217" ht="14" outlineLevel="1" spans="1:26">
      <c r="A217" s="20" t="s">
        <v>113</v>
      </c>
      <c r="B217" s="16" t="s">
        <v>212</v>
      </c>
      <c r="C217" s="16"/>
      <c r="D217" s="16" t="s">
        <v>28</v>
      </c>
      <c r="E217" s="82" t="s">
        <v>193</v>
      </c>
      <c r="F217" s="82" t="s">
        <v>182</v>
      </c>
      <c r="G217" s="115" t="s">
        <v>31</v>
      </c>
      <c r="H217" s="63">
        <f>99995/0.727099</f>
        <v>137525.976517641</v>
      </c>
      <c r="I217" s="16" t="s">
        <v>122</v>
      </c>
      <c r="J217" s="23">
        <v>0</v>
      </c>
      <c r="K217" s="23">
        <v>1027</v>
      </c>
      <c r="L217" s="23">
        <v>3434</v>
      </c>
      <c r="M217" s="23">
        <v>5511</v>
      </c>
      <c r="N217" s="23"/>
      <c r="O217" s="77">
        <v>0</v>
      </c>
      <c r="P217" s="77">
        <v>0.00483116785368194</v>
      </c>
      <c r="Q217" s="77">
        <v>0.0352436471119504</v>
      </c>
      <c r="R217" s="77">
        <v>0.0390784547311096</v>
      </c>
      <c r="S217" s="77"/>
      <c r="T217" s="95">
        <f>P217-O217</f>
        <v>0.00483116785368194</v>
      </c>
      <c r="U217" s="95">
        <f>R217-P217</f>
        <v>0.0342472868774277</v>
      </c>
      <c r="V217" s="95">
        <f>R217-O217</f>
        <v>0.0390784547311096</v>
      </c>
      <c r="W217" s="77"/>
      <c r="X217" s="77"/>
      <c r="Y217" s="95">
        <f>V217/1.75</f>
        <v>0.0223305455606341</v>
      </c>
      <c r="Z217" s="97"/>
    </row>
    <row r="218" ht="14" outlineLevel="1" spans="1:26">
      <c r="A218" s="16" t="s">
        <v>167</v>
      </c>
      <c r="B218" s="16" t="s">
        <v>213</v>
      </c>
      <c r="C218" s="16"/>
      <c r="D218" s="16" t="s">
        <v>28</v>
      </c>
      <c r="E218" s="82" t="s">
        <v>193</v>
      </c>
      <c r="F218" s="82" t="s">
        <v>182</v>
      </c>
      <c r="G218" s="26" t="s">
        <v>35</v>
      </c>
      <c r="H218" s="63">
        <f>68191/0.727099</f>
        <v>93785.0278985393</v>
      </c>
      <c r="I218" s="16" t="s">
        <v>214</v>
      </c>
      <c r="J218" s="23">
        <v>3648</v>
      </c>
      <c r="K218" s="23">
        <v>2865</v>
      </c>
      <c r="L218" s="23">
        <v>1641</v>
      </c>
      <c r="M218" s="23">
        <v>2382</v>
      </c>
      <c r="N218" s="23"/>
      <c r="O218" s="77">
        <v>0.0148106045227559</v>
      </c>
      <c r="P218" s="77">
        <v>0.0134774059404078</v>
      </c>
      <c r="Q218" s="77">
        <v>0.016841824377027</v>
      </c>
      <c r="R218" s="77">
        <v>0.0168907420013615</v>
      </c>
      <c r="S218" s="77"/>
      <c r="T218" s="95">
        <f>P218-O218</f>
        <v>-0.00133319858234812</v>
      </c>
      <c r="U218" s="95">
        <f>R218-P218</f>
        <v>0.00341333606095371</v>
      </c>
      <c r="V218" s="95">
        <f>R218-O218</f>
        <v>0.00208013747860559</v>
      </c>
      <c r="W218" s="77"/>
      <c r="X218" s="77"/>
      <c r="Y218" s="95">
        <f>V218/1.75</f>
        <v>0.00118864998777462</v>
      </c>
      <c r="Z218" s="97"/>
    </row>
    <row r="219" ht="14" outlineLevel="1" spans="1:26">
      <c r="A219" s="16" t="s">
        <v>167</v>
      </c>
      <c r="B219" s="16" t="s">
        <v>215</v>
      </c>
      <c r="C219" s="16"/>
      <c r="D219" s="16" t="s">
        <v>28</v>
      </c>
      <c r="E219" s="82" t="s">
        <v>193</v>
      </c>
      <c r="F219" s="82" t="s">
        <v>182</v>
      </c>
      <c r="G219" s="115" t="s">
        <v>31</v>
      </c>
      <c r="H219" s="63">
        <f>81915/0.727099</f>
        <v>112660.036666259</v>
      </c>
      <c r="I219" s="16" t="s">
        <v>140</v>
      </c>
      <c r="J219" s="23">
        <v>0</v>
      </c>
      <c r="K219" s="23">
        <v>2764</v>
      </c>
      <c r="L219" s="23">
        <v>3515</v>
      </c>
      <c r="M219" s="23">
        <v>4375</v>
      </c>
      <c r="N219" s="23"/>
      <c r="O219" s="77">
        <v>0</v>
      </c>
      <c r="P219" s="77">
        <v>0.0130022862196464</v>
      </c>
      <c r="Q219" s="77">
        <v>0.0360749620263558</v>
      </c>
      <c r="R219" s="77">
        <v>0.0310230882686635</v>
      </c>
      <c r="S219" s="77"/>
      <c r="T219" s="95">
        <f>P219-O219</f>
        <v>0.0130022862196464</v>
      </c>
      <c r="U219" s="95">
        <f>R219-P219</f>
        <v>0.0180208020490171</v>
      </c>
      <c r="V219" s="95">
        <f>R219-O219</f>
        <v>0.0310230882686635</v>
      </c>
      <c r="W219" s="77"/>
      <c r="X219" s="77"/>
      <c r="Y219" s="95">
        <f>V219/1.75</f>
        <v>0.0177274790106649</v>
      </c>
      <c r="Z219" s="97"/>
    </row>
    <row r="220" ht="14" outlineLevel="1" spans="1:26">
      <c r="A220" s="16" t="s">
        <v>216</v>
      </c>
      <c r="B220" s="16" t="s">
        <v>217</v>
      </c>
      <c r="C220" s="16"/>
      <c r="D220" s="16" t="s">
        <v>121</v>
      </c>
      <c r="E220" s="82" t="s">
        <v>193</v>
      </c>
      <c r="F220" s="82" t="s">
        <v>182</v>
      </c>
      <c r="G220" s="26" t="s">
        <v>35</v>
      </c>
      <c r="H220" s="63">
        <f>87565/0.727099</f>
        <v>120430.642869816</v>
      </c>
      <c r="I220" s="16" t="s">
        <v>211</v>
      </c>
      <c r="J220" s="23">
        <v>116</v>
      </c>
      <c r="K220" s="23">
        <v>115</v>
      </c>
      <c r="L220" s="23">
        <v>63</v>
      </c>
      <c r="M220" s="23">
        <v>92</v>
      </c>
      <c r="N220" s="23"/>
      <c r="O220" s="77">
        <v>0.00047095124030693</v>
      </c>
      <c r="P220" s="77">
        <v>0.000540977899876751</v>
      </c>
      <c r="Q220" s="77">
        <v>0.000646578266759719</v>
      </c>
      <c r="R220" s="77">
        <v>0.000652371227592467</v>
      </c>
      <c r="S220" s="77"/>
      <c r="T220" s="95">
        <f>P220-O220</f>
        <v>7.00266595698208e-5</v>
      </c>
      <c r="U220" s="95">
        <f>R220-P220</f>
        <v>0.000111393327715715</v>
      </c>
      <c r="V220" s="95">
        <f>R220-O220</f>
        <v>0.000181419987285536</v>
      </c>
      <c r="W220" s="77"/>
      <c r="X220" s="77"/>
      <c r="Y220" s="95">
        <f>V220/1.75</f>
        <v>0.000103668564163164</v>
      </c>
      <c r="Z220" s="97"/>
    </row>
    <row r="221" ht="14" outlineLevel="1" spans="1:26">
      <c r="A221" s="16" t="s">
        <v>216</v>
      </c>
      <c r="B221" s="16" t="s">
        <v>218</v>
      </c>
      <c r="C221" s="16"/>
      <c r="D221" s="16" t="s">
        <v>121</v>
      </c>
      <c r="E221" s="82" t="s">
        <v>193</v>
      </c>
      <c r="F221" s="82" t="s">
        <v>182</v>
      </c>
      <c r="G221" s="26" t="s">
        <v>35</v>
      </c>
      <c r="H221" s="63">
        <f>64065/0.727099</f>
        <v>88110.4223771453</v>
      </c>
      <c r="I221" s="16" t="s">
        <v>219</v>
      </c>
      <c r="J221" s="23">
        <v>1006</v>
      </c>
      <c r="K221" s="23">
        <v>1434</v>
      </c>
      <c r="L221" s="23">
        <v>553</v>
      </c>
      <c r="M221" s="23">
        <v>753</v>
      </c>
      <c r="N221" s="23"/>
      <c r="O221" s="77">
        <v>0.004084284032317</v>
      </c>
      <c r="P221" s="77">
        <v>0.00674575920368053</v>
      </c>
      <c r="Q221" s="77">
        <v>0.00567552034155754</v>
      </c>
      <c r="R221" s="77">
        <v>0.00533951667801225</v>
      </c>
      <c r="S221" s="77"/>
      <c r="T221" s="95">
        <f>P221-O221</f>
        <v>0.00266147517136353</v>
      </c>
      <c r="U221" s="95">
        <f>R221-P221</f>
        <v>-0.00140624252566828</v>
      </c>
      <c r="V221" s="95">
        <f>R221-O221</f>
        <v>0.00125523264569525</v>
      </c>
      <c r="W221" s="77"/>
      <c r="X221" s="77"/>
      <c r="Y221" s="95">
        <f>V221/1.75</f>
        <v>0.000717275797540145</v>
      </c>
      <c r="Z221" s="97"/>
    </row>
    <row r="222" ht="14" outlineLevel="1" spans="1:26">
      <c r="A222" s="16" t="s">
        <v>119</v>
      </c>
      <c r="B222" s="16" t="s">
        <v>120</v>
      </c>
      <c r="C222" s="16"/>
      <c r="D222" s="16" t="s">
        <v>121</v>
      </c>
      <c r="E222" s="82" t="s">
        <v>193</v>
      </c>
      <c r="F222" s="82" t="s">
        <v>182</v>
      </c>
      <c r="G222" s="115" t="s">
        <v>31</v>
      </c>
      <c r="H222" s="63">
        <f>72905/0.727099</f>
        <v>100268.326596516</v>
      </c>
      <c r="I222" s="16" t="s">
        <v>220</v>
      </c>
      <c r="J222" s="23">
        <v>12332</v>
      </c>
      <c r="K222" s="23">
        <v>16250</v>
      </c>
      <c r="L222" s="23">
        <v>8991</v>
      </c>
      <c r="M222" s="23">
        <v>11458</v>
      </c>
      <c r="N222" s="23"/>
      <c r="O222" s="77">
        <v>0.0500669887540092</v>
      </c>
      <c r="P222" s="77">
        <v>0.0764425293304105</v>
      </c>
      <c r="Q222" s="77">
        <v>0.0922759554989942</v>
      </c>
      <c r="R222" s="77">
        <v>0.0812485818016791</v>
      </c>
      <c r="S222" s="77"/>
      <c r="T222" s="95">
        <f>P222-O222</f>
        <v>0.0263755405764013</v>
      </c>
      <c r="U222" s="95">
        <f>R222-P222</f>
        <v>0.00480605247126865</v>
      </c>
      <c r="V222" s="95">
        <f>R222-O222</f>
        <v>0.03118159304767</v>
      </c>
      <c r="W222" s="77"/>
      <c r="X222" s="77"/>
      <c r="Y222" s="95">
        <f>V222/1.75</f>
        <v>0.0178180531700971</v>
      </c>
      <c r="Z222" s="97"/>
    </row>
    <row r="223" ht="14" outlineLevel="1" spans="1:26">
      <c r="A223" s="16" t="s">
        <v>107</v>
      </c>
      <c r="B223" s="16" t="s">
        <v>108</v>
      </c>
      <c r="C223" s="16"/>
      <c r="D223" s="16" t="s">
        <v>28</v>
      </c>
      <c r="E223" s="82" t="s">
        <v>193</v>
      </c>
      <c r="F223" s="82" t="s">
        <v>182</v>
      </c>
      <c r="G223" s="26" t="s">
        <v>35</v>
      </c>
      <c r="H223" s="63">
        <f>88002/0.727099</f>
        <v>121031.661438126</v>
      </c>
      <c r="I223" s="16" t="s">
        <v>211</v>
      </c>
      <c r="J223" s="23">
        <v>7486</v>
      </c>
      <c r="K223" s="23">
        <v>5873</v>
      </c>
      <c r="L223" s="23">
        <v>2275</v>
      </c>
      <c r="M223" s="23">
        <v>3664</v>
      </c>
      <c r="N223" s="23"/>
      <c r="O223" s="77">
        <v>0.0303925946977386</v>
      </c>
      <c r="P223" s="77">
        <v>0.0276275061389231</v>
      </c>
      <c r="Q223" s="77">
        <v>0.0233486596329899</v>
      </c>
      <c r="R223" s="77">
        <v>0.0259813932380304</v>
      </c>
      <c r="S223" s="77"/>
      <c r="T223" s="95">
        <f>P223-O223</f>
        <v>-0.0027650885588155</v>
      </c>
      <c r="U223" s="95">
        <f>R223-P223</f>
        <v>-0.00164611290089272</v>
      </c>
      <c r="V223" s="95">
        <f>R223-O223</f>
        <v>-0.00441120145970822</v>
      </c>
      <c r="W223" s="77"/>
      <c r="X223" s="77"/>
      <c r="Y223" s="95">
        <f>V223/1.75</f>
        <v>-0.00252068654840469</v>
      </c>
      <c r="Z223" s="97"/>
    </row>
    <row r="224" ht="14" outlineLevel="1" spans="1:25">
      <c r="A224" s="16" t="s">
        <v>52</v>
      </c>
      <c r="B224" s="63"/>
      <c r="C224" s="63"/>
      <c r="D224" s="63"/>
      <c r="E224" s="107"/>
      <c r="F224" s="107"/>
      <c r="G224" s="107"/>
      <c r="H224" s="107"/>
      <c r="I224" s="107"/>
      <c r="J224" s="107">
        <f>SUM(J215:J223)</f>
        <v>36389</v>
      </c>
      <c r="K224" s="107">
        <f>SUM(K215:K223)</f>
        <v>41853</v>
      </c>
      <c r="L224" s="107">
        <f>SUM(L215:L223)</f>
        <v>25795</v>
      </c>
      <c r="M224" s="107"/>
      <c r="N224" s="107"/>
      <c r="O224" s="95">
        <f>SUM(O215:O223)</f>
        <v>0.147736592099387</v>
      </c>
      <c r="P224" s="95">
        <f>SUM(P215:P223)</f>
        <v>0.19688302646558</v>
      </c>
      <c r="Q224" s="95">
        <f>SUM(Q215:Q223)</f>
        <v>0.264737879223285</v>
      </c>
      <c r="R224" s="95">
        <f>SUM(R215:R223)</f>
        <v>0.258672282732017</v>
      </c>
      <c r="S224" s="95"/>
      <c r="T224" s="95">
        <f>SUM(T215:T223)</f>
        <v>0.0491464343661927</v>
      </c>
      <c r="U224" s="95">
        <f>SUM(U215:U223)</f>
        <v>0.0617892562664375</v>
      </c>
      <c r="V224" s="95">
        <f>SUM(V215:V223)</f>
        <v>0.11093569063263</v>
      </c>
      <c r="W224" s="95"/>
      <c r="X224" s="95"/>
      <c r="Y224" s="16"/>
    </row>
    <row r="225" ht="14" outlineLevel="1" spans="1:25">
      <c r="A225" s="15" t="s">
        <v>53</v>
      </c>
      <c r="B225" s="63"/>
      <c r="C225" s="63"/>
      <c r="D225" s="63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s="7" customFormat="1" ht="14" outlineLevel="1" spans="1:24">
      <c r="A226" s="100" t="s">
        <v>207</v>
      </c>
      <c r="B226" s="113">
        <v>2020</v>
      </c>
      <c r="C226" s="113">
        <v>2021</v>
      </c>
      <c r="D226" s="113" t="s">
        <v>124</v>
      </c>
      <c r="E226" s="113" t="s">
        <v>55</v>
      </c>
      <c r="F226" s="113" t="s">
        <v>56</v>
      </c>
      <c r="G226" s="113" t="s">
        <v>57</v>
      </c>
      <c r="H226" s="113" t="s">
        <v>58</v>
      </c>
      <c r="I226" s="113" t="s">
        <v>59</v>
      </c>
      <c r="J226" s="113" t="s">
        <v>60</v>
      </c>
      <c r="K226" s="113" t="s">
        <v>61</v>
      </c>
      <c r="L226" s="113" t="s">
        <v>62</v>
      </c>
      <c r="O226" s="100" t="s">
        <v>64</v>
      </c>
      <c r="P226" s="100" t="s">
        <v>65</v>
      </c>
      <c r="Q226" s="100"/>
      <c r="R226" s="100"/>
      <c r="S226" s="100"/>
      <c r="T226" s="100"/>
      <c r="U226" s="100"/>
      <c r="V226" s="100"/>
      <c r="W226" s="100"/>
      <c r="X226" s="100"/>
    </row>
    <row r="227" ht="14" outlineLevel="1" spans="1:24">
      <c r="A227" s="16" t="s">
        <v>66</v>
      </c>
      <c r="B227" s="101">
        <v>246310</v>
      </c>
      <c r="C227" s="101">
        <v>212578</v>
      </c>
      <c r="D227" s="114">
        <f>AVERAGE(B227:C227)</f>
        <v>229444</v>
      </c>
      <c r="E227" s="114">
        <f>AVERAGE(C227:D227)</f>
        <v>221011</v>
      </c>
      <c r="F227" s="114">
        <f>AVERAGE(D227:E227)</f>
        <v>225227.5</v>
      </c>
      <c r="G227" s="114">
        <f>AVERAGE(E227:F227)</f>
        <v>223119.25</v>
      </c>
      <c r="H227" s="114">
        <f>AVERAGE(F227:G227)</f>
        <v>224173.375</v>
      </c>
      <c r="I227" s="114">
        <f>AVERAGE(G227:H227)</f>
        <v>223646.3125</v>
      </c>
      <c r="J227" s="114">
        <f>AVERAGE(H227:I227)</f>
        <v>223909.84375</v>
      </c>
      <c r="K227" s="114">
        <f>AVERAGE(I227:J227)</f>
        <v>223778.078125</v>
      </c>
      <c r="L227" s="114">
        <f>AVERAGE(J227:K227)</f>
        <v>223843.9609375</v>
      </c>
      <c r="O227" s="16"/>
      <c r="P227" s="16" t="s">
        <v>67</v>
      </c>
      <c r="Q227" s="16"/>
      <c r="R227" s="16"/>
      <c r="S227" s="16"/>
      <c r="T227" s="16"/>
      <c r="U227" s="16"/>
      <c r="V227" s="16"/>
      <c r="W227" s="16"/>
      <c r="X227" s="16"/>
    </row>
    <row r="228" ht="14" outlineLevel="1" spans="1:24">
      <c r="A228" s="15" t="s">
        <v>68</v>
      </c>
      <c r="B228" s="63"/>
      <c r="C228" s="63"/>
      <c r="D228" s="107"/>
      <c r="E228" s="107"/>
      <c r="F228" s="107"/>
      <c r="G228" s="107"/>
      <c r="H228" s="107"/>
      <c r="I228" s="107"/>
      <c r="J228" s="107"/>
      <c r="K228" s="107"/>
      <c r="L228" s="107"/>
      <c r="O228" s="16"/>
      <c r="P228" s="16"/>
      <c r="Q228" s="16"/>
      <c r="R228" s="16"/>
      <c r="S228" s="16"/>
      <c r="T228" s="16"/>
      <c r="U228" s="16"/>
      <c r="V228" s="16"/>
      <c r="W228" s="16"/>
      <c r="X228" s="16"/>
    </row>
    <row r="229" s="9" customFormat="1" ht="14" outlineLevel="1" spans="1:25">
      <c r="A229" s="15" t="s">
        <v>97</v>
      </c>
      <c r="B229" s="76">
        <v>0.0225812999878202</v>
      </c>
      <c r="C229" s="76">
        <v>0.0021450949769026</v>
      </c>
      <c r="D229" s="95">
        <f>MAX(0,R215+Y215/4)</f>
        <v>0</v>
      </c>
      <c r="E229" s="95">
        <f>MAX(0,T215+Z215/4)</f>
        <v>0</v>
      </c>
      <c r="F229" s="95">
        <f>MAX(0,U215+AA215/4)</f>
        <v>0</v>
      </c>
      <c r="G229" s="95">
        <f>MAX(0,V215+AB215/4)</f>
        <v>0</v>
      </c>
      <c r="H229" s="95">
        <f>MAX(0,W215+AC215/4)</f>
        <v>0.0762022273220299</v>
      </c>
      <c r="I229" s="95">
        <f>MAX(0,X215+AD215/4)</f>
        <v>0.0633918232186459</v>
      </c>
      <c r="J229" s="95">
        <f>MAX(0,Y215+AE215/4)</f>
        <v>0</v>
      </c>
      <c r="K229" s="95">
        <f>MAX(0,Z215+AF215/4)</f>
        <v>0</v>
      </c>
      <c r="L229" s="95">
        <f>MAX(0,AA215+AG215/4)</f>
        <v>0</v>
      </c>
      <c r="M229" s="13"/>
      <c r="N229" s="13"/>
      <c r="O229" s="16"/>
      <c r="P229" s="95">
        <f>-SUM(P230:P237)+X215</f>
        <v>0.00185051556112306</v>
      </c>
      <c r="Q229" s="95"/>
      <c r="R229" s="16"/>
      <c r="S229" s="16"/>
      <c r="T229" s="16"/>
      <c r="U229" s="16"/>
      <c r="V229" s="16"/>
      <c r="W229" s="16"/>
      <c r="X229" s="16"/>
      <c r="Y229" s="13"/>
    </row>
    <row r="230" ht="14" outlineLevel="1" spans="1:24">
      <c r="A230" s="16" t="s">
        <v>114</v>
      </c>
      <c r="B230" s="77">
        <v>0.0253298688644391</v>
      </c>
      <c r="C230" s="77">
        <v>0.0520702989020501</v>
      </c>
      <c r="D230" s="95">
        <f>MAX(0,R216+$P230/4)</f>
        <v>0.0592369040676483</v>
      </c>
      <c r="E230" s="95">
        <f>MAX(0,D230+$P230)</f>
        <v>0.0630043524235605</v>
      </c>
      <c r="F230" s="95">
        <f>MAX(0,E230+$P230)</f>
        <v>0.0667718007794726</v>
      </c>
      <c r="G230" s="95">
        <f>MAX(0,F230+$P230)</f>
        <v>0.0705392491353847</v>
      </c>
      <c r="H230" s="95">
        <f>MAX(0,G230+$P230)</f>
        <v>0.0743066974912969</v>
      </c>
      <c r="I230" s="95">
        <f>MAX(0,H230+$P230)</f>
        <v>0.078074145847209</v>
      </c>
      <c r="J230" s="95">
        <f>MAX(0,I230+$P230)</f>
        <v>0.0818415942031212</v>
      </c>
      <c r="K230" s="95">
        <f>MAX(0,J230+$P230)</f>
        <v>0.0856090425590333</v>
      </c>
      <c r="L230" s="95">
        <f>MAX(0,K230+$P230)</f>
        <v>0.0893764909149454</v>
      </c>
      <c r="O230" s="97">
        <v>0.2</v>
      </c>
      <c r="P230" s="94">
        <f>O230*Y216</f>
        <v>0.00376744835591213</v>
      </c>
      <c r="Q230" s="94"/>
      <c r="R230" s="16"/>
      <c r="S230" s="16"/>
      <c r="T230" s="16"/>
      <c r="U230" s="16"/>
      <c r="V230" s="16"/>
      <c r="W230" s="16"/>
      <c r="X230" s="16"/>
    </row>
    <row r="231" ht="14" outlineLevel="1" spans="1:24">
      <c r="A231" s="16" t="s">
        <v>212</v>
      </c>
      <c r="B231" s="77">
        <v>0</v>
      </c>
      <c r="C231" s="77">
        <v>0.00483116785368194</v>
      </c>
      <c r="D231" s="95">
        <f>MAX(0,R217+$P231/4)</f>
        <v>0.0446610911212681</v>
      </c>
      <c r="E231" s="95">
        <f>MAX(0,D231+$P231)</f>
        <v>0.0669916366819022</v>
      </c>
      <c r="F231" s="95">
        <f>MAX(0,E231+$P231)</f>
        <v>0.0893221822425362</v>
      </c>
      <c r="G231" s="95">
        <f>MAX(0,F231+$P231)</f>
        <v>0.11165272780317</v>
      </c>
      <c r="H231" s="95">
        <f>MAX(0,G231+$P231)</f>
        <v>0.133983273363804</v>
      </c>
      <c r="I231" s="95">
        <f>MAX(0,H231+$P231)</f>
        <v>0.156313818924438</v>
      </c>
      <c r="J231" s="95">
        <f>MAX(0,I231+$P231)</f>
        <v>0.178644364485072</v>
      </c>
      <c r="K231" s="95">
        <f>MAX(0,J231+$P231)</f>
        <v>0.200974910045706</v>
      </c>
      <c r="L231" s="95">
        <f>MAX(0,K231+$P231)</f>
        <v>0.22330545560634</v>
      </c>
      <c r="O231" s="97">
        <v>1</v>
      </c>
      <c r="P231" s="94">
        <f>O231*Y217</f>
        <v>0.0223305455606341</v>
      </c>
      <c r="Q231" s="94"/>
      <c r="R231" s="16"/>
      <c r="S231" s="16"/>
      <c r="T231" s="16"/>
      <c r="U231" s="16"/>
      <c r="V231" s="16"/>
      <c r="W231" s="16"/>
      <c r="X231" s="16"/>
    </row>
    <row r="232" ht="14" outlineLevel="1" spans="1:24">
      <c r="A232" s="16" t="s">
        <v>213</v>
      </c>
      <c r="B232" s="77">
        <v>0.0148106045227559</v>
      </c>
      <c r="C232" s="77">
        <v>0.0134774059404078</v>
      </c>
      <c r="D232" s="95">
        <f>MAX(0,R218+$P232/4)</f>
        <v>0.0169501745007502</v>
      </c>
      <c r="E232" s="95">
        <f>MAX(0,D232+$P232)</f>
        <v>0.0171879044983051</v>
      </c>
      <c r="F232" s="95">
        <f>MAX(0,E232+$P232)</f>
        <v>0.0174256344958601</v>
      </c>
      <c r="G232" s="95">
        <f>MAX(0,F232+$P232)</f>
        <v>0.017663364493415</v>
      </c>
      <c r="H232" s="95">
        <f>MAX(0,G232+$P232)</f>
        <v>0.0179010944909699</v>
      </c>
      <c r="I232" s="95">
        <f>MAX(0,H232+$P232)</f>
        <v>0.0181388244885248</v>
      </c>
      <c r="J232" s="95">
        <f>MAX(0,I232+$P232)</f>
        <v>0.0183765544860798</v>
      </c>
      <c r="K232" s="95">
        <f>MAX(0,J232+$P232)</f>
        <v>0.0186142844836347</v>
      </c>
      <c r="L232" s="95">
        <f>MAX(0,K232+$P232)</f>
        <v>0.0188520144811896</v>
      </c>
      <c r="O232" s="97">
        <v>0.2</v>
      </c>
      <c r="P232" s="94">
        <f>O232*Y218</f>
        <v>0.000237729997554925</v>
      </c>
      <c r="Q232" s="94"/>
      <c r="R232" s="16"/>
      <c r="S232" s="16"/>
      <c r="T232" s="16"/>
      <c r="U232" s="16"/>
      <c r="V232" s="16"/>
      <c r="W232" s="16"/>
      <c r="X232" s="16"/>
    </row>
    <row r="233" ht="14" outlineLevel="1" spans="1:24">
      <c r="A233" s="16" t="s">
        <v>215</v>
      </c>
      <c r="B233" s="77">
        <v>0</v>
      </c>
      <c r="C233" s="77">
        <v>0.0130022862196464</v>
      </c>
      <c r="D233" s="95">
        <f>MAX(0,R219+$P233/4)</f>
        <v>0.0354549580213297</v>
      </c>
      <c r="E233" s="95">
        <f>MAX(0,D233+$P233)</f>
        <v>0.0531824370319946</v>
      </c>
      <c r="F233" s="95">
        <f>MAX(0,E233+$P233)</f>
        <v>0.0709099160426594</v>
      </c>
      <c r="G233" s="95">
        <f>MAX(0,F233+$P233)</f>
        <v>0.0886373950533243</v>
      </c>
      <c r="H233" s="95">
        <f>MAX(0,G233+$P233)</f>
        <v>0.106364874063989</v>
      </c>
      <c r="I233" s="95">
        <f>MAX(0,H233+$P233)</f>
        <v>0.124092353074654</v>
      </c>
      <c r="J233" s="95">
        <f>MAX(0,I233+$P233)</f>
        <v>0.141819832085319</v>
      </c>
      <c r="K233" s="95">
        <f>MAX(0,J233+$P233)</f>
        <v>0.159547311095984</v>
      </c>
      <c r="L233" s="95">
        <f>MAX(0,K233+$P233)</f>
        <v>0.177274790106649</v>
      </c>
      <c r="O233" s="97">
        <v>1</v>
      </c>
      <c r="P233" s="94">
        <f>O233*Y219</f>
        <v>0.0177274790106649</v>
      </c>
      <c r="Q233" s="94"/>
      <c r="R233" s="16"/>
      <c r="S233" s="16"/>
      <c r="T233" s="16"/>
      <c r="U233" s="16"/>
      <c r="V233" s="16"/>
      <c r="W233" s="16"/>
      <c r="X233" s="16"/>
    </row>
    <row r="234" ht="14" outlineLevel="1" spans="1:24">
      <c r="A234" s="16" t="s">
        <v>217</v>
      </c>
      <c r="B234" s="77">
        <v>0.00047095124030693</v>
      </c>
      <c r="C234" s="77">
        <v>0.000540977899876751</v>
      </c>
      <c r="D234" s="95">
        <f>MAX(0,R220+$P234/4)</f>
        <v>0.000657554655800625</v>
      </c>
      <c r="E234" s="95">
        <f>MAX(0,D234+$P234)</f>
        <v>0.000678288368633257</v>
      </c>
      <c r="F234" s="95">
        <f>MAX(0,E234+$P234)</f>
        <v>0.00069902208146589</v>
      </c>
      <c r="G234" s="95">
        <f>MAX(0,F234+$P234)</f>
        <v>0.000719755794298523</v>
      </c>
      <c r="H234" s="95">
        <f>MAX(0,G234+$P234)</f>
        <v>0.000740489507131156</v>
      </c>
      <c r="I234" s="95">
        <f>MAX(0,H234+$P234)</f>
        <v>0.000761223219963788</v>
      </c>
      <c r="J234" s="95">
        <f>MAX(0,I234+$P234)</f>
        <v>0.000781956932796421</v>
      </c>
      <c r="K234" s="95">
        <f>MAX(0,J234+$P234)</f>
        <v>0.000802690645629054</v>
      </c>
      <c r="L234" s="95">
        <f>MAX(0,K234+$P234)</f>
        <v>0.000823424358461687</v>
      </c>
      <c r="O234" s="97">
        <v>0.2</v>
      </c>
      <c r="P234" s="94">
        <f>O234*Y220</f>
        <v>2.07337128326327e-5</v>
      </c>
      <c r="Q234" s="94"/>
      <c r="R234" s="16"/>
      <c r="S234" s="16"/>
      <c r="T234" s="16"/>
      <c r="U234" s="16"/>
      <c r="V234" s="16"/>
      <c r="W234" s="16"/>
      <c r="X234" s="16"/>
    </row>
    <row r="235" ht="14" outlineLevel="1" spans="1:24">
      <c r="A235" s="16" t="s">
        <v>218</v>
      </c>
      <c r="B235" s="77">
        <v>0.004084284032317</v>
      </c>
      <c r="C235" s="77">
        <v>0.00674575920368053</v>
      </c>
      <c r="D235" s="95">
        <f>MAX(0,R221+$P235/4)</f>
        <v>0.00537538046788926</v>
      </c>
      <c r="E235" s="95">
        <f>MAX(0,D235+$P235)</f>
        <v>0.00551883562739729</v>
      </c>
      <c r="F235" s="95">
        <f>MAX(0,E235+$P235)</f>
        <v>0.00566229078690532</v>
      </c>
      <c r="G235" s="95">
        <f>MAX(0,F235+$P235)</f>
        <v>0.00580574594641335</v>
      </c>
      <c r="H235" s="95">
        <f>MAX(0,G235+$P235)</f>
        <v>0.00594920110592138</v>
      </c>
      <c r="I235" s="95">
        <f>MAX(0,H235+$P235)</f>
        <v>0.00609265626542941</v>
      </c>
      <c r="J235" s="95">
        <f>MAX(0,I235+$P235)</f>
        <v>0.00623611142493743</v>
      </c>
      <c r="K235" s="95">
        <f>MAX(0,J235+$P235)</f>
        <v>0.00637956658444546</v>
      </c>
      <c r="L235" s="95">
        <f>MAX(0,K235+$P235)</f>
        <v>0.00652302174395349</v>
      </c>
      <c r="O235" s="97">
        <v>0.2</v>
      </c>
      <c r="P235" s="94">
        <f>O235*Y221</f>
        <v>0.000143455159508029</v>
      </c>
      <c r="Q235" s="94"/>
      <c r="R235" s="16"/>
      <c r="S235" s="16"/>
      <c r="T235" s="16"/>
      <c r="U235" s="16"/>
      <c r="V235" s="16"/>
      <c r="W235" s="16"/>
      <c r="X235" s="16"/>
    </row>
    <row r="236" ht="14" outlineLevel="1" spans="1:24">
      <c r="A236" s="16" t="s">
        <v>120</v>
      </c>
      <c r="B236" s="77">
        <v>0.0500669887540092</v>
      </c>
      <c r="C236" s="77">
        <v>0.0764425293304105</v>
      </c>
      <c r="D236" s="95">
        <f>MAX(0,R222+$P236/4)</f>
        <v>0.0857030950942034</v>
      </c>
      <c r="E236" s="95">
        <f>MAX(0,D236+$P236)</f>
        <v>0.103521148264301</v>
      </c>
      <c r="F236" s="95">
        <f>MAX(0,E236+$P236)</f>
        <v>0.121339201434398</v>
      </c>
      <c r="G236" s="95">
        <f>MAX(0,F236+$P236)</f>
        <v>0.139157254604495</v>
      </c>
      <c r="H236" s="95">
        <f>MAX(0,G236+$P236)</f>
        <v>0.156975307774592</v>
      </c>
      <c r="I236" s="95">
        <f>MAX(0,H236+$P236)</f>
        <v>0.174793360944689</v>
      </c>
      <c r="J236" s="95">
        <f>MAX(0,I236+$P236)</f>
        <v>0.192611414114786</v>
      </c>
      <c r="K236" s="95">
        <f>MAX(0,J236+$P236)</f>
        <v>0.210429467284883</v>
      </c>
      <c r="L236" s="95">
        <f>MAX(0,K236+$P236)</f>
        <v>0.22824752045498</v>
      </c>
      <c r="O236" s="97">
        <v>1</v>
      </c>
      <c r="P236" s="94">
        <f>O236*Y222</f>
        <v>0.0178180531700971</v>
      </c>
      <c r="Q236" s="94"/>
      <c r="R236" s="16"/>
      <c r="S236" s="16"/>
      <c r="T236" s="16"/>
      <c r="U236" s="16"/>
      <c r="V236" s="16"/>
      <c r="W236" s="16"/>
      <c r="X236" s="16"/>
    </row>
    <row r="237" ht="14" outlineLevel="1" spans="1:24">
      <c r="A237" s="16" t="s">
        <v>108</v>
      </c>
      <c r="B237" s="77">
        <v>0.0303925946977386</v>
      </c>
      <c r="C237" s="77">
        <v>0.0276275061389231</v>
      </c>
      <c r="D237" s="95">
        <f>MAX(0,R223+$P237/4)</f>
        <v>0.0258553589106102</v>
      </c>
      <c r="E237" s="95">
        <f>MAX(0,D237+$P237)</f>
        <v>0.0253512216009292</v>
      </c>
      <c r="F237" s="95">
        <f>MAX(0,E237+$P237)</f>
        <v>0.0248470842912483</v>
      </c>
      <c r="G237" s="95">
        <f>MAX(0,F237+$P237)</f>
        <v>0.0243429469815674</v>
      </c>
      <c r="H237" s="95">
        <f>MAX(0,G237+$P237)</f>
        <v>0.0238388096718864</v>
      </c>
      <c r="I237" s="95">
        <f>MAX(0,H237+$P237)</f>
        <v>0.0233346723622055</v>
      </c>
      <c r="J237" s="95">
        <f>MAX(0,I237+$P237)</f>
        <v>0.0228305350525245</v>
      </c>
      <c r="K237" s="95">
        <f>MAX(0,J237+$P237)</f>
        <v>0.0223263977428436</v>
      </c>
      <c r="L237" s="95">
        <f>MAX(0,K237+$P237)</f>
        <v>0.0218222604331627</v>
      </c>
      <c r="O237" s="97">
        <v>0.2</v>
      </c>
      <c r="P237" s="94">
        <f>O237*Y223</f>
        <v>-0.000504137309680939</v>
      </c>
      <c r="Q237" s="94"/>
      <c r="R237" s="16"/>
      <c r="S237" s="16"/>
      <c r="T237" s="16"/>
      <c r="U237" s="16"/>
      <c r="V237" s="16"/>
      <c r="W237" s="16"/>
      <c r="X237" s="16"/>
    </row>
    <row r="238" ht="14" outlineLevel="1" spans="1:24">
      <c r="A238" s="16" t="s">
        <v>70</v>
      </c>
      <c r="B238" s="77"/>
      <c r="C238" s="77">
        <f>SUM(C230:C237)-SUM(B230:B237)</f>
        <v>0.0695826393771104</v>
      </c>
      <c r="D238" s="77">
        <f>SUM(D230:D237)-SUM(C230:C237)</f>
        <v>0.0791565853508227</v>
      </c>
      <c r="E238" s="77">
        <f>SUM(E230:E237)-SUM(D230:D237)</f>
        <v>0.0615413076575228</v>
      </c>
      <c r="F238" s="77">
        <f>SUM(F230:F237)-SUM(E230:E237)</f>
        <v>0.0615413076575228</v>
      </c>
      <c r="G238" s="77">
        <f>SUM(G230:G237)-SUM(F230:F237)</f>
        <v>0.0615413076575228</v>
      </c>
      <c r="H238" s="77">
        <f>SUM(H230:H237)-SUM(G230:G237)</f>
        <v>0.0615413076575229</v>
      </c>
      <c r="I238" s="77">
        <f>SUM(I230:I237)-SUM(H230:H237)</f>
        <v>0.0615413076575226</v>
      </c>
      <c r="J238" s="77">
        <f>SUM(J230:J237)-SUM(I230:I237)</f>
        <v>0.0615413076575229</v>
      </c>
      <c r="K238" s="77">
        <f>SUM(K230:K237)-SUM(J230:J237)</f>
        <v>0.0615413076575229</v>
      </c>
      <c r="L238" s="77">
        <f>SUM(L230:L237)-SUM(K230:K237)</f>
        <v>0.0615413076575229</v>
      </c>
      <c r="O238" s="97"/>
      <c r="P238" s="94"/>
      <c r="Q238" s="94"/>
      <c r="R238" s="16"/>
      <c r="S238" s="16"/>
      <c r="T238" s="16"/>
      <c r="U238" s="16"/>
      <c r="V238" s="16"/>
      <c r="W238" s="16"/>
      <c r="X238" s="16"/>
    </row>
    <row r="239" ht="14" outlineLevel="1" spans="1:24">
      <c r="A239" s="15" t="s">
        <v>45</v>
      </c>
      <c r="B239" s="63"/>
      <c r="C239" s="63"/>
      <c r="D239" s="107"/>
      <c r="E239" s="107"/>
      <c r="F239" s="107"/>
      <c r="G239" s="107"/>
      <c r="H239" s="107"/>
      <c r="I239" s="107"/>
      <c r="J239" s="107"/>
      <c r="K239" s="107"/>
      <c r="L239" s="107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 ht="14" outlineLevel="1" spans="1:24">
      <c r="A240" s="16" t="s">
        <v>97</v>
      </c>
      <c r="B240" s="42">
        <v>5562</v>
      </c>
      <c r="C240" s="42">
        <v>456</v>
      </c>
      <c r="D240" s="106">
        <f>D227*D229</f>
        <v>0</v>
      </c>
      <c r="E240" s="106">
        <f>E227*E229</f>
        <v>0</v>
      </c>
      <c r="F240" s="106">
        <f>F227*F229</f>
        <v>0</v>
      </c>
      <c r="G240" s="106">
        <f>G227*G229</f>
        <v>0</v>
      </c>
      <c r="H240" s="106">
        <f>H227*H229</f>
        <v>17082.5104812967</v>
      </c>
      <c r="I240" s="106">
        <f>I227*I229</f>
        <v>14177.347505502</v>
      </c>
      <c r="J240" s="106">
        <f>J227*J229</f>
        <v>0</v>
      </c>
      <c r="K240" s="106">
        <f>K227*K229</f>
        <v>0</v>
      </c>
      <c r="L240" s="106">
        <f>L227*L229</f>
        <v>0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</row>
    <row r="241" ht="14" outlineLevel="1" spans="1:24">
      <c r="A241" s="16"/>
      <c r="B241" s="63"/>
      <c r="C241" s="63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6"/>
      <c r="P241" s="16"/>
      <c r="Q241" s="16"/>
      <c r="R241" s="16"/>
      <c r="S241" s="16"/>
      <c r="T241" s="16"/>
      <c r="U241" s="16"/>
      <c r="V241" s="16"/>
      <c r="W241" s="16"/>
      <c r="X241" s="16"/>
    </row>
    <row r="242" s="3" customFormat="1" ht="14.75" outlineLevel="1" spans="1:1">
      <c r="A242" s="3" t="s">
        <v>128</v>
      </c>
    </row>
    <row r="243" s="4" customFormat="1" ht="46.5" customHeight="1" outlineLevel="1" spans="1:25">
      <c r="A243" s="4" t="s">
        <v>3</v>
      </c>
      <c r="B243" s="4" t="s">
        <v>4</v>
      </c>
      <c r="C243" s="4" t="s">
        <v>5</v>
      </c>
      <c r="D243" s="4" t="s">
        <v>6</v>
      </c>
      <c r="E243" s="4" t="s">
        <v>7</v>
      </c>
      <c r="F243" s="4" t="s">
        <v>8</v>
      </c>
      <c r="G243" s="4" t="s">
        <v>9</v>
      </c>
      <c r="H243" s="4" t="s">
        <v>10</v>
      </c>
      <c r="I243" s="4" t="s">
        <v>11</v>
      </c>
      <c r="J243" s="4" t="s">
        <v>12</v>
      </c>
      <c r="K243" s="4" t="s">
        <v>13</v>
      </c>
      <c r="L243" s="4" t="s">
        <v>148</v>
      </c>
      <c r="M243" s="4" t="s">
        <v>76</v>
      </c>
      <c r="N243" s="4" t="s">
        <v>16</v>
      </c>
      <c r="O243" s="4" t="s">
        <v>17</v>
      </c>
      <c r="P243" s="4" t="s">
        <v>18</v>
      </c>
      <c r="Q243" s="4" t="s">
        <v>149</v>
      </c>
      <c r="R243" s="4" t="s">
        <v>20</v>
      </c>
      <c r="T243" s="4" t="s">
        <v>22</v>
      </c>
      <c r="U243" s="4" t="s">
        <v>23</v>
      </c>
      <c r="V243" s="4" t="s">
        <v>24</v>
      </c>
      <c r="W243" s="4" t="s">
        <v>25</v>
      </c>
      <c r="X243" s="4" t="s">
        <v>26</v>
      </c>
      <c r="Y243" s="4" t="s">
        <v>27</v>
      </c>
    </row>
    <row r="244" ht="14" outlineLevel="1" spans="1:25">
      <c r="A244" s="14" t="s">
        <v>0</v>
      </c>
      <c r="B244" s="15" t="s">
        <v>128</v>
      </c>
      <c r="C244" s="15">
        <v>2016.6</v>
      </c>
      <c r="D244" s="15" t="s">
        <v>98</v>
      </c>
      <c r="E244" s="79" t="s">
        <v>29</v>
      </c>
      <c r="F244" s="79" t="s">
        <v>182</v>
      </c>
      <c r="G244" s="108" t="s">
        <v>31</v>
      </c>
      <c r="H244" s="60">
        <f>98980/0.727099</f>
        <v>136130.018058064</v>
      </c>
      <c r="I244" s="15" t="s">
        <v>122</v>
      </c>
      <c r="J244" s="19">
        <v>6007</v>
      </c>
      <c r="K244" s="19">
        <v>496</v>
      </c>
      <c r="L244" s="19">
        <v>13</v>
      </c>
      <c r="M244" s="19">
        <v>16</v>
      </c>
      <c r="N244" s="19"/>
      <c r="O244" s="76">
        <v>0.0187115886004778</v>
      </c>
      <c r="P244" s="76">
        <v>0.00145808162317409</v>
      </c>
      <c r="Q244" s="76">
        <v>7.65868199974078e-5</v>
      </c>
      <c r="R244" s="77">
        <v>6.6233115729951e-5</v>
      </c>
      <c r="S244" s="77"/>
      <c r="T244" s="68">
        <f>P244-O244</f>
        <v>-0.0172535069773037</v>
      </c>
      <c r="U244" s="68">
        <f>R244-P244</f>
        <v>-0.00139184850744414</v>
      </c>
      <c r="V244" s="68">
        <f>R244-O244</f>
        <v>-0.0186453554847479</v>
      </c>
      <c r="W244" s="68">
        <f>SUM(V245:V250)/1.75</f>
        <v>0.0290542502511788</v>
      </c>
      <c r="X244" s="68">
        <f>W244+Y244</f>
        <v>0.0183997614027514</v>
      </c>
      <c r="Y244" s="68">
        <f>V244/1.75</f>
        <v>-0.0106544888484274</v>
      </c>
    </row>
    <row r="245" ht="14" outlineLevel="1" spans="1:26">
      <c r="A245" s="20" t="s">
        <v>113</v>
      </c>
      <c r="B245" s="81" t="s">
        <v>221</v>
      </c>
      <c r="C245" s="81"/>
      <c r="D245" s="16" t="s">
        <v>28</v>
      </c>
      <c r="E245" s="82" t="s">
        <v>29</v>
      </c>
      <c r="F245" s="82" t="s">
        <v>182</v>
      </c>
      <c r="G245" s="26" t="s">
        <v>35</v>
      </c>
      <c r="H245" s="63">
        <f>101565/0.727099</f>
        <v>139685.242312257</v>
      </c>
      <c r="I245" s="16" t="s">
        <v>133</v>
      </c>
      <c r="J245" s="23">
        <v>6342</v>
      </c>
      <c r="K245" s="23">
        <v>7116</v>
      </c>
      <c r="L245" s="23">
        <v>4403</v>
      </c>
      <c r="M245" s="23">
        <v>6218</v>
      </c>
      <c r="N245" s="23"/>
      <c r="O245" s="77">
        <v>0.0197551015322508</v>
      </c>
      <c r="P245" s="77">
        <v>0.0209187678034412</v>
      </c>
      <c r="Q245" s="77">
        <v>0.0259393668037374</v>
      </c>
      <c r="R245" s="77">
        <v>0.0257398446005522</v>
      </c>
      <c r="S245" s="77"/>
      <c r="T245" s="95">
        <f>P245-O245</f>
        <v>0.00116366627119041</v>
      </c>
      <c r="U245" s="95">
        <f>R245-P245</f>
        <v>0.00482107679711103</v>
      </c>
      <c r="V245" s="95">
        <f>R245-O245</f>
        <v>0.00598474306830144</v>
      </c>
      <c r="W245" s="77"/>
      <c r="X245" s="77"/>
      <c r="Y245" s="95">
        <f>V245/1.75</f>
        <v>0.00341985318188654</v>
      </c>
      <c r="Z245" s="97"/>
    </row>
    <row r="246" ht="14" outlineLevel="1" spans="1:26">
      <c r="A246" s="20" t="s">
        <v>107</v>
      </c>
      <c r="B246" s="81" t="s">
        <v>222</v>
      </c>
      <c r="C246" s="81"/>
      <c r="D246" s="16" t="s">
        <v>28</v>
      </c>
      <c r="E246" s="82" t="s">
        <v>29</v>
      </c>
      <c r="F246" s="82" t="s">
        <v>182</v>
      </c>
      <c r="G246" s="26" t="s">
        <v>35</v>
      </c>
      <c r="H246" s="63">
        <f>72616/0.727099</f>
        <v>99870.8566508825</v>
      </c>
      <c r="I246" s="16" t="s">
        <v>223</v>
      </c>
      <c r="J246" s="23">
        <v>5582</v>
      </c>
      <c r="K246" s="23">
        <v>4940</v>
      </c>
      <c r="L246" s="23">
        <v>2426</v>
      </c>
      <c r="M246" s="23">
        <v>3559</v>
      </c>
      <c r="N246" s="23"/>
      <c r="O246" s="77">
        <v>0.0173877289109151</v>
      </c>
      <c r="P246" s="77">
        <v>0.0145220226179032</v>
      </c>
      <c r="Q246" s="77">
        <v>0.0142922788702855</v>
      </c>
      <c r="R246" s="77">
        <v>0.014732728680181</v>
      </c>
      <c r="S246" s="77"/>
      <c r="T246" s="95">
        <f>P246-O246</f>
        <v>-0.0028657062930119</v>
      </c>
      <c r="U246" s="95">
        <f>R246-P246</f>
        <v>0.000210706062277738</v>
      </c>
      <c r="V246" s="95">
        <f>R246-O246</f>
        <v>-0.00265500023073417</v>
      </c>
      <c r="W246" s="77"/>
      <c r="X246" s="77"/>
      <c r="Y246" s="95">
        <f>V246/1.75</f>
        <v>-0.00151714298899095</v>
      </c>
      <c r="Z246" s="97"/>
    </row>
    <row r="247" ht="14" outlineLevel="1" spans="1:26">
      <c r="A247" s="20" t="s">
        <v>169</v>
      </c>
      <c r="B247" s="16" t="s">
        <v>224</v>
      </c>
      <c r="C247" s="16"/>
      <c r="D247" s="16" t="s">
        <v>98</v>
      </c>
      <c r="E247" s="82" t="s">
        <v>29</v>
      </c>
      <c r="F247" s="82" t="s">
        <v>182</v>
      </c>
      <c r="G247" s="26" t="s">
        <v>35</v>
      </c>
      <c r="H247" s="63">
        <f>80467/0.727099</f>
        <v>110668.560952498</v>
      </c>
      <c r="I247" s="16" t="s">
        <v>225</v>
      </c>
      <c r="J247" s="23">
        <v>7844</v>
      </c>
      <c r="K247" s="23">
        <v>7380</v>
      </c>
      <c r="L247" s="23">
        <v>2512</v>
      </c>
      <c r="M247" s="23">
        <v>5670</v>
      </c>
      <c r="N247" s="23"/>
      <c r="O247" s="77">
        <v>0.0244337774233641</v>
      </c>
      <c r="P247" s="77">
        <v>0.0216948435060984</v>
      </c>
      <c r="Q247" s="77">
        <v>0.0147989301410376</v>
      </c>
      <c r="R247" s="77">
        <v>0.0234713603868014</v>
      </c>
      <c r="S247" s="77"/>
      <c r="T247" s="95">
        <f>P247-O247</f>
        <v>-0.00273893391726573</v>
      </c>
      <c r="U247" s="95">
        <f>R247-P247</f>
        <v>0.00177651688070303</v>
      </c>
      <c r="V247" s="95">
        <f>R247-O247</f>
        <v>-0.000962417036562701</v>
      </c>
      <c r="W247" s="77"/>
      <c r="X247" s="77"/>
      <c r="Y247" s="95">
        <f>V247/1.75</f>
        <v>-0.000549952592321543</v>
      </c>
      <c r="Z247" s="97"/>
    </row>
    <row r="248" ht="14" outlineLevel="1" spans="1:26">
      <c r="A248" s="20" t="s">
        <v>113</v>
      </c>
      <c r="B248" s="81" t="s">
        <v>141</v>
      </c>
      <c r="C248" s="81"/>
      <c r="D248" s="16" t="s">
        <v>28</v>
      </c>
      <c r="E248" s="82" t="s">
        <v>29</v>
      </c>
      <c r="F248" s="82" t="s">
        <v>182</v>
      </c>
      <c r="G248" s="26" t="s">
        <v>35</v>
      </c>
      <c r="H248" s="63">
        <f>81978/0.727099</f>
        <v>112746.68236375</v>
      </c>
      <c r="I248" s="16" t="s">
        <v>140</v>
      </c>
      <c r="J248" s="23">
        <v>4795</v>
      </c>
      <c r="K248" s="23">
        <v>4110</v>
      </c>
      <c r="L248" s="23">
        <v>1922</v>
      </c>
      <c r="M248" s="23">
        <v>3009</v>
      </c>
      <c r="N248" s="23"/>
      <c r="O248" s="77">
        <v>0.0149362522622426</v>
      </c>
      <c r="P248" s="77">
        <v>0.0120820876436401</v>
      </c>
      <c r="Q248" s="77">
        <v>0.0113230667719244</v>
      </c>
      <c r="R248" s="77">
        <v>0.0124559653269639</v>
      </c>
      <c r="S248" s="77"/>
      <c r="T248" s="95">
        <f>P248-O248</f>
        <v>-0.00285416461860244</v>
      </c>
      <c r="U248" s="95">
        <f>R248-P248</f>
        <v>0.000373877683323767</v>
      </c>
      <c r="V248" s="95">
        <f>R248-O248</f>
        <v>-0.00248028693527867</v>
      </c>
      <c r="W248" s="77"/>
      <c r="X248" s="77"/>
      <c r="Y248" s="95">
        <f>V248/1.75</f>
        <v>-0.00141730682015924</v>
      </c>
      <c r="Z248" s="97"/>
    </row>
    <row r="249" ht="14" outlineLevel="1" spans="1:26">
      <c r="A249" s="20" t="s">
        <v>107</v>
      </c>
      <c r="B249" s="81" t="s">
        <v>226</v>
      </c>
      <c r="C249" s="81"/>
      <c r="D249" s="16" t="s">
        <v>28</v>
      </c>
      <c r="E249" s="82" t="s">
        <v>29</v>
      </c>
      <c r="F249" s="82" t="s">
        <v>182</v>
      </c>
      <c r="G249" s="115" t="s">
        <v>31</v>
      </c>
      <c r="H249" s="63">
        <f>69905/0.727099</f>
        <v>96142.3410017068</v>
      </c>
      <c r="I249" s="16" t="s">
        <v>227</v>
      </c>
      <c r="J249" s="23">
        <v>0</v>
      </c>
      <c r="K249" s="23">
        <v>4131</v>
      </c>
      <c r="L249" s="23">
        <v>9612</v>
      </c>
      <c r="M249" s="23">
        <v>14094</v>
      </c>
      <c r="N249" s="23"/>
      <c r="O249" s="77">
        <v>0</v>
      </c>
      <c r="P249" s="77">
        <v>0.0121438209381697</v>
      </c>
      <c r="Q249" s="77">
        <v>0.0566271164473142</v>
      </c>
      <c r="R249" s="77">
        <v>0.0583430958186206</v>
      </c>
      <c r="S249" s="77"/>
      <c r="T249" s="95">
        <f>P249-O249</f>
        <v>0.0121438209381697</v>
      </c>
      <c r="U249" s="95">
        <f>R249-P249</f>
        <v>0.0461992748804509</v>
      </c>
      <c r="V249" s="95">
        <f>R249-O249</f>
        <v>0.0583430958186206</v>
      </c>
      <c r="W249" s="77"/>
      <c r="X249" s="77"/>
      <c r="Y249" s="95">
        <f>V249/1.75</f>
        <v>0.0333389118963546</v>
      </c>
      <c r="Z249" s="97"/>
    </row>
    <row r="250" ht="14" outlineLevel="1" spans="1:26">
      <c r="A250" s="20" t="s">
        <v>119</v>
      </c>
      <c r="B250" s="81" t="s">
        <v>143</v>
      </c>
      <c r="C250" s="81"/>
      <c r="D250" s="16" t="s">
        <v>98</v>
      </c>
      <c r="E250" s="82" t="s">
        <v>29</v>
      </c>
      <c r="F250" s="82" t="s">
        <v>182</v>
      </c>
      <c r="G250" s="26" t="s">
        <v>35</v>
      </c>
      <c r="H250" s="63">
        <f>76250/0.727099</f>
        <v>104868.800534728</v>
      </c>
      <c r="I250" s="16" t="s">
        <v>228</v>
      </c>
      <c r="J250" s="23">
        <v>18330</v>
      </c>
      <c r="K250" s="23">
        <v>16310</v>
      </c>
      <c r="L250" s="23">
        <v>7855</v>
      </c>
      <c r="M250" s="23">
        <v>12009</v>
      </c>
      <c r="N250" s="23"/>
      <c r="O250" s="77">
        <v>0.057097289669845</v>
      </c>
      <c r="P250" s="77">
        <v>0.0479461920846158</v>
      </c>
      <c r="Q250" s="77">
        <v>0.0462761131599722</v>
      </c>
      <c r="R250" s="77">
        <v>0.0497120929250614</v>
      </c>
      <c r="S250" s="77"/>
      <c r="T250" s="95">
        <f>P250-O250</f>
        <v>-0.0091510975852292</v>
      </c>
      <c r="U250" s="95">
        <f>R250-P250</f>
        <v>0.0017659008404456</v>
      </c>
      <c r="V250" s="95">
        <f>R250-O250</f>
        <v>-0.0073851967447836</v>
      </c>
      <c r="W250" s="77"/>
      <c r="X250" s="77"/>
      <c r="Y250" s="95">
        <f>V250/1.75</f>
        <v>-0.00422011242559063</v>
      </c>
      <c r="Z250" s="97"/>
    </row>
    <row r="251" ht="14" outlineLevel="1" spans="1:25">
      <c r="A251" s="16" t="s">
        <v>52</v>
      </c>
      <c r="B251" s="63"/>
      <c r="C251" s="63"/>
      <c r="D251" s="63"/>
      <c r="E251" s="107"/>
      <c r="F251" s="107"/>
      <c r="G251" s="107"/>
      <c r="H251" s="107"/>
      <c r="I251" s="107"/>
      <c r="J251" s="107">
        <f>SUM(J244:J250)</f>
        <v>48900</v>
      </c>
      <c r="K251" s="107">
        <f>SUM(K244:K250)</f>
        <v>44483</v>
      </c>
      <c r="L251" s="107">
        <f>SUM(L244:L250)</f>
        <v>28743</v>
      </c>
      <c r="M251" s="107"/>
      <c r="N251" s="107"/>
      <c r="O251" s="95">
        <f>SUM(O244:O250)</f>
        <v>0.152321738399095</v>
      </c>
      <c r="P251" s="95">
        <f>SUM(P244:P250)</f>
        <v>0.130765816217043</v>
      </c>
      <c r="Q251" s="95">
        <f>SUM(Q244:Q250)</f>
        <v>0.169333459014269</v>
      </c>
      <c r="R251" s="95">
        <f>SUM(R244:R250)</f>
        <v>0.18452132085391</v>
      </c>
      <c r="S251" s="95"/>
      <c r="T251" s="95">
        <f>SUM(T244:T250)</f>
        <v>-0.0215559221820529</v>
      </c>
      <c r="U251" s="95">
        <f>SUM(U244:U250)</f>
        <v>0.0537555046368679</v>
      </c>
      <c r="V251" s="95">
        <f>SUM(V244:V250)</f>
        <v>0.032199582454815</v>
      </c>
      <c r="W251" s="95"/>
      <c r="X251" s="95"/>
      <c r="Y251" s="16"/>
    </row>
    <row r="252" ht="14" outlineLevel="1" spans="1:25">
      <c r="A252" s="15" t="s">
        <v>53</v>
      </c>
      <c r="B252" s="63"/>
      <c r="C252" s="63"/>
      <c r="D252" s="63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s="7" customFormat="1" ht="14" outlineLevel="1" spans="1:24">
      <c r="A253" s="100" t="s">
        <v>190</v>
      </c>
      <c r="B253" s="113">
        <v>2020</v>
      </c>
      <c r="C253" s="113">
        <v>2021</v>
      </c>
      <c r="D253" s="113" t="s">
        <v>124</v>
      </c>
      <c r="E253" s="113" t="s">
        <v>55</v>
      </c>
      <c r="F253" s="113" t="s">
        <v>56</v>
      </c>
      <c r="G253" s="113" t="s">
        <v>57</v>
      </c>
      <c r="H253" s="113" t="s">
        <v>58</v>
      </c>
      <c r="I253" s="113" t="s">
        <v>59</v>
      </c>
      <c r="J253" s="113" t="s">
        <v>60</v>
      </c>
      <c r="K253" s="113" t="s">
        <v>61</v>
      </c>
      <c r="L253" s="113" t="s">
        <v>62</v>
      </c>
      <c r="O253" s="100" t="s">
        <v>64</v>
      </c>
      <c r="P253" s="100" t="s">
        <v>65</v>
      </c>
      <c r="Q253" s="100"/>
      <c r="R253" s="100"/>
      <c r="S253" s="100"/>
      <c r="T253" s="100"/>
      <c r="U253" s="100"/>
      <c r="V253" s="100"/>
      <c r="W253" s="100"/>
      <c r="X253" s="100"/>
    </row>
    <row r="254" ht="14" outlineLevel="1" spans="1:24">
      <c r="A254" s="16" t="s">
        <v>66</v>
      </c>
      <c r="B254" s="101">
        <v>321031</v>
      </c>
      <c r="C254" s="101">
        <v>340173</v>
      </c>
      <c r="D254" s="114">
        <f>AVERAGE(B254:C254)</f>
        <v>330602</v>
      </c>
      <c r="E254" s="114">
        <f>AVERAGE(C254:D254)</f>
        <v>335387.5</v>
      </c>
      <c r="F254" s="114">
        <f>AVERAGE(D254:E254)</f>
        <v>332994.75</v>
      </c>
      <c r="G254" s="114">
        <f>AVERAGE(E254:F254)</f>
        <v>334191.125</v>
      </c>
      <c r="H254" s="114">
        <f>AVERAGE(F254:G254)</f>
        <v>333592.9375</v>
      </c>
      <c r="I254" s="114">
        <f>AVERAGE(G254:H254)</f>
        <v>333892.03125</v>
      </c>
      <c r="J254" s="114">
        <f>AVERAGE(H254:I254)</f>
        <v>333742.484375</v>
      </c>
      <c r="K254" s="114">
        <f>AVERAGE(I254:J254)</f>
        <v>333817.2578125</v>
      </c>
      <c r="L254" s="114">
        <f>AVERAGE(J254:K254)</f>
        <v>333779.87109375</v>
      </c>
      <c r="O254" s="16"/>
      <c r="P254" s="16" t="s">
        <v>67</v>
      </c>
      <c r="Q254" s="16"/>
      <c r="R254" s="16"/>
      <c r="S254" s="16"/>
      <c r="T254" s="16"/>
      <c r="U254" s="16"/>
      <c r="V254" s="16"/>
      <c r="W254" s="16"/>
      <c r="X254" s="16"/>
    </row>
    <row r="255" ht="14" outlineLevel="1" spans="1:24">
      <c r="A255" s="15" t="s">
        <v>68</v>
      </c>
      <c r="B255" s="63"/>
      <c r="C255" s="63"/>
      <c r="D255" s="107"/>
      <c r="E255" s="107"/>
      <c r="F255" s="107"/>
      <c r="G255" s="107"/>
      <c r="H255" s="107"/>
      <c r="I255" s="107"/>
      <c r="J255" s="107"/>
      <c r="K255" s="107"/>
      <c r="L255" s="107"/>
      <c r="O255" s="16"/>
      <c r="P255" s="16"/>
      <c r="Q255" s="16"/>
      <c r="R255" s="16"/>
      <c r="S255" s="16"/>
      <c r="T255" s="16"/>
      <c r="U255" s="16"/>
      <c r="V255" s="16"/>
      <c r="W255" s="16"/>
      <c r="X255" s="16"/>
    </row>
    <row r="256" ht="14" outlineLevel="1" spans="1:24">
      <c r="A256" s="15" t="s">
        <v>128</v>
      </c>
      <c r="B256" s="76">
        <v>0.0187115886004778</v>
      </c>
      <c r="C256" s="76">
        <v>0.00145808162317409</v>
      </c>
      <c r="D256" s="95">
        <f>MAX(0,R244+Y244/4)</f>
        <v>0</v>
      </c>
      <c r="E256" s="95">
        <f>MAX(0,T244+Z244/4)</f>
        <v>0</v>
      </c>
      <c r="F256" s="95">
        <f>MAX(0,U244+AA244/4)</f>
        <v>0</v>
      </c>
      <c r="G256" s="95">
        <f>MAX(0,V244+AB244/4)</f>
        <v>0</v>
      </c>
      <c r="H256" s="95">
        <f>MAX(0,W244+AC244/4)</f>
        <v>0.0290542502511788</v>
      </c>
      <c r="I256" s="95">
        <f>MAX(0,X244+AD244/4)</f>
        <v>0.0183997614027514</v>
      </c>
      <c r="J256" s="95">
        <f>MAX(0,Y244+AE244/4)</f>
        <v>0</v>
      </c>
      <c r="K256" s="95">
        <f>MAX(0,Z244+AF244/4)</f>
        <v>0</v>
      </c>
      <c r="L256" s="95">
        <f>MAX(0,AA244+AG244/4)</f>
        <v>0</v>
      </c>
      <c r="O256" s="16"/>
      <c r="P256" s="95">
        <f>-SUM(P257:P262)+X244</f>
        <v>0.00258723778360929</v>
      </c>
      <c r="Q256" s="95"/>
      <c r="R256" s="16"/>
      <c r="S256" s="16"/>
      <c r="T256" s="16"/>
      <c r="U256" s="16"/>
      <c r="V256" s="16"/>
      <c r="W256" s="16"/>
      <c r="X256" s="16"/>
    </row>
    <row r="257" ht="14" outlineLevel="1" spans="1:24">
      <c r="A257" s="81" t="s">
        <v>221</v>
      </c>
      <c r="B257" s="77">
        <v>0.0197551015322508</v>
      </c>
      <c r="C257" s="77">
        <v>0.0209187678034412</v>
      </c>
      <c r="D257" s="95">
        <f>MAX(0,R245+$P257/4)</f>
        <v>0.0259108372596465</v>
      </c>
      <c r="E257" s="95">
        <f>MAX(0,D257+$P257)</f>
        <v>0.0265948078960239</v>
      </c>
      <c r="F257" s="95">
        <f>MAX(0,E257+$P257)</f>
        <v>0.0272787785324012</v>
      </c>
      <c r="G257" s="95">
        <f>MAX(0,F257+$P257)</f>
        <v>0.0279627491687785</v>
      </c>
      <c r="H257" s="95">
        <f>MAX(0,G257+$P257)</f>
        <v>0.0286467198051558</v>
      </c>
      <c r="I257" s="95">
        <f>MAX(0,H257+$P257)</f>
        <v>0.0293306904415331</v>
      </c>
      <c r="J257" s="95">
        <f>MAX(0,I257+$P257)</f>
        <v>0.0300146610779104</v>
      </c>
      <c r="K257" s="95">
        <f>MAX(0,J257+$P257)</f>
        <v>0.0306986317142877</v>
      </c>
      <c r="L257" s="95">
        <f>MAX(0,K257+$P257)</f>
        <v>0.031382602350665</v>
      </c>
      <c r="O257" s="97">
        <v>0.2</v>
      </c>
      <c r="P257" s="94">
        <f>O257*Y245</f>
        <v>0.000683970636377307</v>
      </c>
      <c r="Q257" s="94"/>
      <c r="R257" s="16"/>
      <c r="S257" s="16"/>
      <c r="T257" s="16"/>
      <c r="U257" s="16"/>
      <c r="V257" s="16"/>
      <c r="W257" s="16"/>
      <c r="X257" s="16"/>
    </row>
    <row r="258" ht="14" outlineLevel="1" spans="1:24">
      <c r="A258" s="81" t="s">
        <v>222</v>
      </c>
      <c r="B258" s="77">
        <v>0.0173877289109151</v>
      </c>
      <c r="C258" s="77">
        <v>0.0145220226179032</v>
      </c>
      <c r="D258" s="95">
        <f>MAX(0,R246+$P258/4)</f>
        <v>0.0146568715307314</v>
      </c>
      <c r="E258" s="95">
        <f>MAX(0,D258+$P258)</f>
        <v>0.0143534429329332</v>
      </c>
      <c r="F258" s="95">
        <f>MAX(0,E258+$P258)</f>
        <v>0.0140500143351351</v>
      </c>
      <c r="G258" s="95">
        <f>MAX(0,F258+$P258)</f>
        <v>0.0137465857373369</v>
      </c>
      <c r="H258" s="95">
        <f>MAX(0,G258+$P258)</f>
        <v>0.0134431571395387</v>
      </c>
      <c r="I258" s="95">
        <f>MAX(0,H258+$P258)</f>
        <v>0.0131397285417405</v>
      </c>
      <c r="J258" s="95">
        <f>MAX(0,I258+$P258)</f>
        <v>0.0128362999439423</v>
      </c>
      <c r="K258" s="95">
        <f>MAX(0,J258+$P258)</f>
        <v>0.0125328713461441</v>
      </c>
      <c r="L258" s="95">
        <f>MAX(0,K258+$P258)</f>
        <v>0.0122294427483459</v>
      </c>
      <c r="O258" s="97">
        <v>0.2</v>
      </c>
      <c r="P258" s="94">
        <f>O258*Y246</f>
        <v>-0.00030342859779819</v>
      </c>
      <c r="Q258" s="94"/>
      <c r="R258" s="16"/>
      <c r="S258" s="16"/>
      <c r="T258" s="16"/>
      <c r="U258" s="16"/>
      <c r="V258" s="16"/>
      <c r="W258" s="16"/>
      <c r="X258" s="16"/>
    </row>
    <row r="259" ht="14" outlineLevel="1" spans="1:24">
      <c r="A259" s="16" t="s">
        <v>224</v>
      </c>
      <c r="B259" s="77">
        <v>0.0244337774233641</v>
      </c>
      <c r="C259" s="77">
        <v>0.0216948435060984</v>
      </c>
      <c r="D259" s="95">
        <f>MAX(0,R247+$P259/4)</f>
        <v>0.0234438627571853</v>
      </c>
      <c r="E259" s="95">
        <f>MAX(0,D259+$P259)</f>
        <v>0.023333872238721</v>
      </c>
      <c r="F259" s="95">
        <f>MAX(0,E259+$P259)</f>
        <v>0.0232238817202567</v>
      </c>
      <c r="G259" s="95">
        <f>MAX(0,F259+$P259)</f>
        <v>0.0231138912017924</v>
      </c>
      <c r="H259" s="95">
        <f>MAX(0,G259+$P259)</f>
        <v>0.0230039006833281</v>
      </c>
      <c r="I259" s="95">
        <f>MAX(0,H259+$P259)</f>
        <v>0.0228939101648638</v>
      </c>
      <c r="J259" s="95">
        <f>MAX(0,I259+$P259)</f>
        <v>0.0227839196463995</v>
      </c>
      <c r="K259" s="95">
        <f>MAX(0,J259+$P259)</f>
        <v>0.0226739291279352</v>
      </c>
      <c r="L259" s="95">
        <f>MAX(0,K259+$P259)</f>
        <v>0.0225639386094709</v>
      </c>
      <c r="O259" s="97">
        <v>0.2</v>
      </c>
      <c r="P259" s="94">
        <f>O259*Y247</f>
        <v>-0.000109990518464309</v>
      </c>
      <c r="Q259" s="94"/>
      <c r="R259" s="16"/>
      <c r="S259" s="16"/>
      <c r="T259" s="16"/>
      <c r="U259" s="16"/>
      <c r="V259" s="16"/>
      <c r="W259" s="16"/>
      <c r="X259" s="16"/>
    </row>
    <row r="260" ht="14" outlineLevel="1" spans="1:24">
      <c r="A260" s="81" t="s">
        <v>141</v>
      </c>
      <c r="B260" s="77">
        <v>0.0149362522622426</v>
      </c>
      <c r="C260" s="77">
        <v>0.0120820876436401</v>
      </c>
      <c r="D260" s="95">
        <f>MAX(0,R248+$P260/4)</f>
        <v>0.012385099985956</v>
      </c>
      <c r="E260" s="95">
        <f>MAX(0,D260+$P260)</f>
        <v>0.0121016386219241</v>
      </c>
      <c r="F260" s="95">
        <f>MAX(0,E260+$P260)</f>
        <v>0.0118181772578923</v>
      </c>
      <c r="G260" s="95">
        <f>MAX(0,F260+$P260)</f>
        <v>0.0115347158938604</v>
      </c>
      <c r="H260" s="95">
        <f>MAX(0,G260+$P260)</f>
        <v>0.0112512545298286</v>
      </c>
      <c r="I260" s="95">
        <f>MAX(0,H260+$P260)</f>
        <v>0.0109677931657967</v>
      </c>
      <c r="J260" s="95">
        <f>MAX(0,I260+$P260)</f>
        <v>0.0106843318017649</v>
      </c>
      <c r="K260" s="95">
        <f>MAX(0,J260+$P260)</f>
        <v>0.010400870437733</v>
      </c>
      <c r="L260" s="95">
        <f>MAX(0,K260+$P260)</f>
        <v>0.0101174090737012</v>
      </c>
      <c r="O260" s="97">
        <v>0.2</v>
      </c>
      <c r="P260" s="94">
        <f>O260*Y248</f>
        <v>-0.000283461364031848</v>
      </c>
      <c r="Q260" s="94"/>
      <c r="R260" s="16"/>
      <c r="S260" s="16"/>
      <c r="T260" s="16"/>
      <c r="U260" s="16"/>
      <c r="V260" s="16"/>
      <c r="W260" s="16"/>
      <c r="X260" s="16"/>
    </row>
    <row r="261" ht="14" outlineLevel="1" spans="1:24">
      <c r="A261" s="81" t="s">
        <v>226</v>
      </c>
      <c r="B261" s="77">
        <v>0</v>
      </c>
      <c r="C261" s="77">
        <v>0.0121438209381697</v>
      </c>
      <c r="D261" s="95">
        <f>MAX(0,R249+$P261/4)</f>
        <v>0.0625104598056649</v>
      </c>
      <c r="E261" s="95">
        <f>MAX(0,D261+$P261)</f>
        <v>0.0791799157538423</v>
      </c>
      <c r="F261" s="95">
        <f>MAX(0,E261+$P261)</f>
        <v>0.0958493717020196</v>
      </c>
      <c r="G261" s="95">
        <f>MAX(0,F261+$P261)</f>
        <v>0.112518827650197</v>
      </c>
      <c r="H261" s="95">
        <f>MAX(0,G261+$P261)</f>
        <v>0.129188283598374</v>
      </c>
      <c r="I261" s="95">
        <f>MAX(0,H261+$P261)</f>
        <v>0.145857739546552</v>
      </c>
      <c r="J261" s="95">
        <f>MAX(0,I261+$P261)</f>
        <v>0.162527195494729</v>
      </c>
      <c r="K261" s="95">
        <f>MAX(0,J261+$P261)</f>
        <v>0.179196651442906</v>
      </c>
      <c r="L261" s="95">
        <f>MAX(0,K261+$P261)</f>
        <v>0.195866107391083</v>
      </c>
      <c r="O261" s="97">
        <v>0.5</v>
      </c>
      <c r="P261" s="94">
        <f>O261*Y249</f>
        <v>0.0166694559481773</v>
      </c>
      <c r="Q261" s="94"/>
      <c r="R261" s="16"/>
      <c r="S261" s="16"/>
      <c r="T261" s="16"/>
      <c r="U261" s="16"/>
      <c r="V261" s="16"/>
      <c r="W261" s="16"/>
      <c r="X261" s="16"/>
    </row>
    <row r="262" ht="14" outlineLevel="1" spans="1:24">
      <c r="A262" s="81" t="s">
        <v>143</v>
      </c>
      <c r="B262" s="77">
        <v>0.057097289669845</v>
      </c>
      <c r="C262" s="77">
        <v>0.0479461920846158</v>
      </c>
      <c r="D262" s="95">
        <f>MAX(0,R250+$P262/4)</f>
        <v>0.0495010873037818</v>
      </c>
      <c r="E262" s="95">
        <f>MAX(0,D262+$P262)</f>
        <v>0.0486570648186637</v>
      </c>
      <c r="F262" s="95">
        <f>MAX(0,E262+$P262)</f>
        <v>0.0478130423335456</v>
      </c>
      <c r="G262" s="95">
        <f>MAX(0,F262+$P262)</f>
        <v>0.0469690198484275</v>
      </c>
      <c r="H262" s="95">
        <f>MAX(0,G262+$P262)</f>
        <v>0.0461249973633093</v>
      </c>
      <c r="I262" s="95">
        <f>MAX(0,H262+$P262)</f>
        <v>0.0452809748781912</v>
      </c>
      <c r="J262" s="95">
        <f>MAX(0,I262+$P262)</f>
        <v>0.0444369523930731</v>
      </c>
      <c r="K262" s="95">
        <f>MAX(0,J262+$P262)</f>
        <v>0.043592929907955</v>
      </c>
      <c r="L262" s="95">
        <f>MAX(0,K262+$P262)</f>
        <v>0.0427489074228368</v>
      </c>
      <c r="O262" s="97">
        <v>0.2</v>
      </c>
      <c r="P262" s="94">
        <f>O262*Y250</f>
        <v>-0.000844022485118126</v>
      </c>
      <c r="Q262" s="94"/>
      <c r="R262" s="16"/>
      <c r="S262" s="16"/>
      <c r="T262" s="16"/>
      <c r="U262" s="16"/>
      <c r="V262" s="16"/>
      <c r="W262" s="16"/>
      <c r="X262" s="16"/>
    </row>
    <row r="263" s="5" customFormat="1" ht="14" outlineLevel="1" spans="1:24">
      <c r="A263" s="15" t="s">
        <v>70</v>
      </c>
      <c r="B263" s="76"/>
      <c r="C263" s="76">
        <f>SUM(C257:C262)-SUM(B257:B262)</f>
        <v>-0.00430241520474917</v>
      </c>
      <c r="D263" s="76">
        <f>SUM(D257:D262)-SUM(C257:C262)</f>
        <v>0.0591004840490976</v>
      </c>
      <c r="E263" s="76">
        <f>SUM(E257:E262)-SUM(D257:D262)</f>
        <v>0.0158125236191421</v>
      </c>
      <c r="F263" s="76">
        <f>SUM(F257:F262)-SUM(E257:E262)</f>
        <v>0.0158125236191421</v>
      </c>
      <c r="G263" s="76">
        <f>SUM(G257:G262)-SUM(F257:F262)</f>
        <v>0.0158125236191421</v>
      </c>
      <c r="H263" s="76">
        <f>SUM(H257:H262)-SUM(G257:G262)</f>
        <v>0.0158125236191421</v>
      </c>
      <c r="I263" s="76">
        <f>SUM(I257:I262)-SUM(H257:H262)</f>
        <v>0.0158125236191421</v>
      </c>
      <c r="J263" s="76">
        <f>SUM(J257:J262)-SUM(I257:I262)</f>
        <v>0.0158125236191421</v>
      </c>
      <c r="K263" s="76">
        <f>SUM(K257:K262)-SUM(J257:J262)</f>
        <v>0.0158125236191421</v>
      </c>
      <c r="L263" s="76">
        <f>SUM(L257:L262)-SUM(K257:K262)</f>
        <v>0.0158125236191421</v>
      </c>
      <c r="O263" s="111"/>
      <c r="P263" s="112"/>
      <c r="Q263" s="112"/>
      <c r="R263" s="15"/>
      <c r="S263" s="15"/>
      <c r="T263" s="15"/>
      <c r="U263" s="15"/>
      <c r="V263" s="15"/>
      <c r="W263" s="15"/>
      <c r="X263" s="15"/>
    </row>
    <row r="264" ht="14" outlineLevel="1" spans="1:24">
      <c r="A264" s="15" t="s">
        <v>45</v>
      </c>
      <c r="B264" s="63"/>
      <c r="C264" s="63"/>
      <c r="D264" s="107"/>
      <c r="E264" s="107"/>
      <c r="F264" s="107"/>
      <c r="G264" s="107"/>
      <c r="H264" s="107"/>
      <c r="I264" s="107"/>
      <c r="J264" s="107"/>
      <c r="K264" s="107"/>
      <c r="L264" s="107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 ht="14" outlineLevel="1" spans="1:24">
      <c r="A265" s="16" t="s">
        <v>97</v>
      </c>
      <c r="B265" s="42">
        <v>6007</v>
      </c>
      <c r="C265" s="42">
        <v>496</v>
      </c>
      <c r="D265" s="106">
        <f>D254*D256</f>
        <v>0</v>
      </c>
      <c r="E265" s="106">
        <f>E254*E256</f>
        <v>0</v>
      </c>
      <c r="F265" s="106">
        <f>F254*F256</f>
        <v>0</v>
      </c>
      <c r="G265" s="106">
        <f>G254*G256</f>
        <v>0</v>
      </c>
      <c r="H265" s="106">
        <f>H254*H256</f>
        <v>9692.29268815085</v>
      </c>
      <c r="I265" s="106">
        <f>I254*I256</f>
        <v>6143.53370928003</v>
      </c>
      <c r="J265" s="106">
        <f>J254*J256</f>
        <v>0</v>
      </c>
      <c r="K265" s="106">
        <f>K254*K256</f>
        <v>0</v>
      </c>
      <c r="L265" s="106">
        <f>L254*L256</f>
        <v>0</v>
      </c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7" s="10" customFormat="1" ht="19.75" spans="1:1">
      <c r="A267" s="10" t="s">
        <v>229</v>
      </c>
    </row>
    <row r="268" s="11" customFormat="1" ht="15.5" spans="1:1">
      <c r="A268" s="11" t="s">
        <v>2</v>
      </c>
    </row>
    <row r="269" s="4" customFormat="1" ht="46.5" customHeight="1" spans="1:25">
      <c r="A269" s="4" t="s">
        <v>3</v>
      </c>
      <c r="B269" s="4" t="s">
        <v>4</v>
      </c>
      <c r="C269" s="4" t="s">
        <v>5</v>
      </c>
      <c r="D269" s="4" t="s">
        <v>6</v>
      </c>
      <c r="E269" s="4" t="s">
        <v>7</v>
      </c>
      <c r="F269" s="4" t="s">
        <v>8</v>
      </c>
      <c r="G269" s="4" t="s">
        <v>9</v>
      </c>
      <c r="H269" s="4" t="s">
        <v>10</v>
      </c>
      <c r="I269" s="4" t="s">
        <v>11</v>
      </c>
      <c r="J269" s="4" t="s">
        <v>12</v>
      </c>
      <c r="K269" s="4" t="s">
        <v>13</v>
      </c>
      <c r="L269" s="4" t="s">
        <v>75</v>
      </c>
      <c r="M269" s="4" t="s">
        <v>76</v>
      </c>
      <c r="N269" s="4" t="s">
        <v>192</v>
      </c>
      <c r="O269" s="4" t="s">
        <v>17</v>
      </c>
      <c r="P269" s="4" t="s">
        <v>18</v>
      </c>
      <c r="Q269" s="4" t="s">
        <v>19</v>
      </c>
      <c r="R269" s="4" t="s">
        <v>230</v>
      </c>
      <c r="S269" s="4" t="s">
        <v>231</v>
      </c>
      <c r="T269" s="4" t="s">
        <v>22</v>
      </c>
      <c r="U269" s="4" t="s">
        <v>23</v>
      </c>
      <c r="V269" s="4" t="s">
        <v>24</v>
      </c>
      <c r="W269" s="4" t="s">
        <v>25</v>
      </c>
      <c r="X269" s="4" t="s">
        <v>26</v>
      </c>
      <c r="Y269" s="4" t="s">
        <v>27</v>
      </c>
    </row>
    <row r="270" ht="14" spans="1:25">
      <c r="A270" s="117" t="s">
        <v>0</v>
      </c>
      <c r="B270" s="99" t="s">
        <v>2</v>
      </c>
      <c r="C270" s="118">
        <v>2020.3</v>
      </c>
      <c r="D270" s="119" t="s">
        <v>28</v>
      </c>
      <c r="E270" s="119" t="s">
        <v>29</v>
      </c>
      <c r="F270" s="99" t="s">
        <v>232</v>
      </c>
      <c r="G270" s="120" t="s">
        <v>31</v>
      </c>
      <c r="H270" s="63">
        <v>52990</v>
      </c>
      <c r="I270" s="119" t="s">
        <v>233</v>
      </c>
      <c r="J270" s="63">
        <v>81067</v>
      </c>
      <c r="K270" s="63">
        <v>185093</v>
      </c>
      <c r="L270" s="63">
        <v>109000</v>
      </c>
      <c r="M270" s="63">
        <v>163000</v>
      </c>
      <c r="N270" s="63">
        <v>225799</v>
      </c>
      <c r="O270" s="76">
        <v>0.0249</v>
      </c>
      <c r="P270" s="76">
        <v>0.0539</v>
      </c>
      <c r="Q270" s="76">
        <v>0.0675</v>
      </c>
      <c r="R270" s="76">
        <v>0.0673</v>
      </c>
      <c r="S270" s="76"/>
      <c r="T270" s="68">
        <f>P270-O270</f>
        <v>0.029</v>
      </c>
      <c r="U270" s="68">
        <f>R270-P270</f>
        <v>0.0134</v>
      </c>
      <c r="V270" s="68">
        <f>R270-O270</f>
        <v>0.0424</v>
      </c>
      <c r="W270" s="68">
        <f>SUM(Y271:Y285)</f>
        <v>-0.0243600964867657</v>
      </c>
      <c r="X270" s="68">
        <f>Y270+W270</f>
        <v>-0.000131525058194241</v>
      </c>
      <c r="Y270" s="54">
        <f>V270/1.75</f>
        <v>0.0242285714285714</v>
      </c>
    </row>
    <row r="271" ht="14" spans="1:25">
      <c r="A271" s="24" t="s">
        <v>33</v>
      </c>
      <c r="B271" s="25" t="s">
        <v>163</v>
      </c>
      <c r="C271" s="25"/>
      <c r="D271" s="121" t="s">
        <v>28</v>
      </c>
      <c r="E271" s="25" t="s">
        <v>29</v>
      </c>
      <c r="F271" s="25" t="s">
        <v>232</v>
      </c>
      <c r="G271" s="25" t="s">
        <v>35</v>
      </c>
      <c r="H271" s="63">
        <v>51600</v>
      </c>
      <c r="I271" s="21" t="s">
        <v>233</v>
      </c>
      <c r="J271" s="63">
        <v>7677</v>
      </c>
      <c r="K271" s="63">
        <v>10620</v>
      </c>
      <c r="L271" s="63">
        <v>4972</v>
      </c>
      <c r="M271" s="63">
        <v>6630</v>
      </c>
      <c r="N271" s="63">
        <v>9799</v>
      </c>
      <c r="O271" s="77">
        <v>0.00200393687324766</v>
      </c>
      <c r="P271" s="77">
        <v>0.00268515428259353</v>
      </c>
      <c r="Q271" s="77">
        <v>0.00279558284416256</v>
      </c>
      <c r="R271" s="77">
        <v>0.00273556268626479</v>
      </c>
      <c r="S271" s="77"/>
      <c r="T271" s="95">
        <f>P271-O271</f>
        <v>0.000681217409345861</v>
      </c>
      <c r="U271" s="68">
        <f>R271-P271</f>
        <v>5.04084036712679e-5</v>
      </c>
      <c r="V271" s="68">
        <f>R271-O271</f>
        <v>0.000731625813017129</v>
      </c>
      <c r="W271" s="77"/>
      <c r="X271" s="77"/>
      <c r="Y271" s="54">
        <f>V271/1.75</f>
        <v>0.000418071893152645</v>
      </c>
    </row>
    <row r="272" ht="14" spans="1:25">
      <c r="A272" s="25" t="s">
        <v>234</v>
      </c>
      <c r="B272" s="25" t="s">
        <v>164</v>
      </c>
      <c r="C272" s="25"/>
      <c r="D272" s="121" t="s">
        <v>28</v>
      </c>
      <c r="E272" s="25" t="s">
        <v>29</v>
      </c>
      <c r="F272" s="25" t="s">
        <v>232</v>
      </c>
      <c r="G272" s="25" t="s">
        <v>35</v>
      </c>
      <c r="H272" s="63">
        <v>51345</v>
      </c>
      <c r="I272" s="21" t="s">
        <v>233</v>
      </c>
      <c r="J272" s="63">
        <v>10892</v>
      </c>
      <c r="K272" s="63">
        <v>9512</v>
      </c>
      <c r="L272" s="63">
        <v>1194</v>
      </c>
      <c r="M272" s="63">
        <v>3780</v>
      </c>
      <c r="N272" s="63">
        <v>3792</v>
      </c>
      <c r="O272" s="77">
        <v>0.00284315232817683</v>
      </c>
      <c r="P272" s="77">
        <v>0.00240500824256399</v>
      </c>
      <c r="Q272" s="77">
        <v>0.00067134471358208</v>
      </c>
      <c r="R272" s="77">
        <v>0.00155964207452201</v>
      </c>
      <c r="S272" s="77"/>
      <c r="T272" s="95">
        <f>P272-O272</f>
        <v>-0.000438144085612841</v>
      </c>
      <c r="U272" s="68">
        <f>R272-P272</f>
        <v>-0.000845366168041985</v>
      </c>
      <c r="V272" s="68">
        <f>R272-O272</f>
        <v>-0.00128351025365483</v>
      </c>
      <c r="W272" s="77"/>
      <c r="X272" s="77"/>
      <c r="Y272" s="54">
        <f>V272/1.75</f>
        <v>-0.000733434430659901</v>
      </c>
    </row>
    <row r="273" ht="14" spans="1:25">
      <c r="A273" s="25" t="s">
        <v>119</v>
      </c>
      <c r="B273" s="25" t="s">
        <v>154</v>
      </c>
      <c r="C273" s="25"/>
      <c r="D273" s="16" t="s">
        <v>98</v>
      </c>
      <c r="E273" s="25" t="s">
        <v>29</v>
      </c>
      <c r="F273" s="25" t="s">
        <v>232</v>
      </c>
      <c r="G273" s="25" t="s">
        <v>35</v>
      </c>
      <c r="H273" s="63">
        <v>52100</v>
      </c>
      <c r="I273" s="21" t="s">
        <v>235</v>
      </c>
      <c r="J273" s="63">
        <v>18631</v>
      </c>
      <c r="K273" s="63">
        <v>24716</v>
      </c>
      <c r="L273" s="63">
        <v>10682</v>
      </c>
      <c r="M273" s="63">
        <v>15953</v>
      </c>
      <c r="N273" s="63">
        <v>23687</v>
      </c>
      <c r="O273" s="77">
        <v>0.00486327313865797</v>
      </c>
      <c r="P273" s="77">
        <v>0.0062491782719945</v>
      </c>
      <c r="Q273" s="77">
        <v>0.00600611744596631</v>
      </c>
      <c r="R273" s="77">
        <v>0.00658226719969566</v>
      </c>
      <c r="S273" s="77"/>
      <c r="T273" s="95">
        <f>P273-O273</f>
        <v>0.00138590513333653</v>
      </c>
      <c r="U273" s="68">
        <f>R273-P273</f>
        <v>0.000333088927701166</v>
      </c>
      <c r="V273" s="68">
        <f>R273-O273</f>
        <v>0.00171899406103769</v>
      </c>
      <c r="W273" s="77"/>
      <c r="X273" s="77"/>
      <c r="Y273" s="54">
        <f>V273/1.75</f>
        <v>0.000982282320592968</v>
      </c>
    </row>
    <row r="274" ht="14" spans="1:25">
      <c r="A274" s="25" t="s">
        <v>33</v>
      </c>
      <c r="B274" s="25" t="s">
        <v>34</v>
      </c>
      <c r="C274" s="25"/>
      <c r="D274" s="16" t="s">
        <v>28</v>
      </c>
      <c r="E274" s="25" t="s">
        <v>29</v>
      </c>
      <c r="F274" s="25" t="s">
        <v>232</v>
      </c>
      <c r="G274" s="13" t="s">
        <v>236</v>
      </c>
      <c r="H274" s="63">
        <v>57109</v>
      </c>
      <c r="I274" s="128" t="s">
        <v>176</v>
      </c>
      <c r="J274" s="63">
        <v>59941</v>
      </c>
      <c r="K274" s="63">
        <v>75858</v>
      </c>
      <c r="L274" s="63">
        <v>32651</v>
      </c>
      <c r="M274" s="63">
        <v>51104</v>
      </c>
      <c r="N274" s="63">
        <v>65800</v>
      </c>
      <c r="O274" s="77">
        <v>0.0183828231116749</v>
      </c>
      <c r="P274" s="77">
        <v>0.0220801402734214</v>
      </c>
      <c r="Q274" s="77">
        <v>0.0115828084131676</v>
      </c>
      <c r="R274" s="77">
        <v>0.0134719241733381</v>
      </c>
      <c r="S274" s="77"/>
      <c r="T274" s="95">
        <f>P274-O274</f>
        <v>0.00369731716174654</v>
      </c>
      <c r="U274" s="68">
        <f>R274-P274</f>
        <v>-0.00860821610008328</v>
      </c>
      <c r="V274" s="68">
        <f>R274-O274</f>
        <v>-0.00491089893833674</v>
      </c>
      <c r="W274" s="77"/>
      <c r="X274" s="77"/>
      <c r="Y274" s="54">
        <f>V274/1.75</f>
        <v>-0.00280622796476385</v>
      </c>
    </row>
    <row r="275" ht="14" spans="1:25">
      <c r="A275" s="25" t="s">
        <v>37</v>
      </c>
      <c r="B275" s="25" t="s">
        <v>38</v>
      </c>
      <c r="C275" s="25"/>
      <c r="D275" s="16" t="s">
        <v>28</v>
      </c>
      <c r="E275" s="25" t="s">
        <v>29</v>
      </c>
      <c r="F275" s="25" t="s">
        <v>232</v>
      </c>
      <c r="G275" s="25" t="s">
        <v>35</v>
      </c>
      <c r="H275" s="63">
        <v>45190</v>
      </c>
      <c r="I275" s="21" t="s">
        <v>87</v>
      </c>
      <c r="J275" s="63">
        <v>35223</v>
      </c>
      <c r="K275" s="63">
        <v>28380</v>
      </c>
      <c r="L275" s="63">
        <v>11634</v>
      </c>
      <c r="M275" s="63">
        <v>18894</v>
      </c>
      <c r="N275" s="63">
        <v>27340</v>
      </c>
      <c r="O275" s="77">
        <v>0.0108022585285952</v>
      </c>
      <c r="P275" s="77">
        <v>0.00826062354609533</v>
      </c>
      <c r="Q275" s="77">
        <v>0.00624082094356013</v>
      </c>
      <c r="R275" s="77">
        <v>0.00411124696268553</v>
      </c>
      <c r="S275" s="77"/>
      <c r="T275" s="95">
        <f>P275-O275</f>
        <v>-0.00254163498249985</v>
      </c>
      <c r="U275" s="68">
        <f>R275-P275</f>
        <v>-0.0041493765834098</v>
      </c>
      <c r="V275" s="68">
        <f>R275-O275</f>
        <v>-0.00669101156590965</v>
      </c>
      <c r="W275" s="77"/>
      <c r="X275" s="77"/>
      <c r="Y275" s="54">
        <f>V275/1.75</f>
        <v>-0.0038234351805198</v>
      </c>
    </row>
    <row r="276" ht="14" spans="1:25">
      <c r="A276" s="25" t="s">
        <v>81</v>
      </c>
      <c r="B276" s="25" t="s">
        <v>48</v>
      </c>
      <c r="C276" s="25"/>
      <c r="D276" s="16" t="s">
        <v>28</v>
      </c>
      <c r="E276" s="25" t="s">
        <v>29</v>
      </c>
      <c r="F276" s="25" t="s">
        <v>232</v>
      </c>
      <c r="G276" s="25" t="s">
        <v>236</v>
      </c>
      <c r="H276" s="63">
        <v>43745</v>
      </c>
      <c r="I276" s="21" t="s">
        <v>32</v>
      </c>
      <c r="J276" s="63">
        <v>32078</v>
      </c>
      <c r="K276" s="63">
        <v>41582</v>
      </c>
      <c r="L276" s="63">
        <v>17332</v>
      </c>
      <c r="M276" s="63">
        <v>25753</v>
      </c>
      <c r="N276" s="63">
        <v>36181</v>
      </c>
      <c r="O276" s="77">
        <v>0.00983774377765313</v>
      </c>
      <c r="P276" s="77">
        <v>0.0121033561766644</v>
      </c>
      <c r="Q276" s="77">
        <v>0.0107297293114389</v>
      </c>
      <c r="R276" s="77">
        <v>0.0106257836891972</v>
      </c>
      <c r="S276" s="77">
        <v>0.0111963114877541</v>
      </c>
      <c r="T276" s="95">
        <f>P276-O276</f>
        <v>0.00226561239901128</v>
      </c>
      <c r="U276" s="68">
        <f>R276-P276</f>
        <v>-0.00147757248746724</v>
      </c>
      <c r="V276" s="68">
        <f>R276-O276</f>
        <v>0.000788039911544039</v>
      </c>
      <c r="W276" s="77"/>
      <c r="X276" s="77"/>
      <c r="Y276" s="54">
        <f>V276/1.75</f>
        <v>0.000450308520882308</v>
      </c>
    </row>
    <row r="277" ht="14" spans="1:25">
      <c r="A277" s="25" t="s">
        <v>165</v>
      </c>
      <c r="B277" s="25" t="s">
        <v>166</v>
      </c>
      <c r="C277" s="25"/>
      <c r="D277" s="121" t="s">
        <v>28</v>
      </c>
      <c r="E277" s="25" t="s">
        <v>29</v>
      </c>
      <c r="F277" s="25" t="s">
        <v>232</v>
      </c>
      <c r="G277" s="25" t="s">
        <v>35</v>
      </c>
      <c r="H277" s="63">
        <v>43845</v>
      </c>
      <c r="I277" s="21" t="s">
        <v>32</v>
      </c>
      <c r="J277" s="63">
        <v>10284</v>
      </c>
      <c r="K277" s="63">
        <v>10539</v>
      </c>
      <c r="L277" s="63">
        <v>4049</v>
      </c>
      <c r="M277" s="63">
        <v>6151</v>
      </c>
      <c r="N277" s="63">
        <v>7752</v>
      </c>
      <c r="O277" s="77">
        <v>0.00268444533079054</v>
      </c>
      <c r="P277" s="77">
        <v>0.00266467429230256</v>
      </c>
      <c r="Q277" s="77">
        <v>0.00227661201448395</v>
      </c>
      <c r="R277" s="77">
        <v>0.00253792550274732</v>
      </c>
      <c r="S277" s="77"/>
      <c r="T277" s="95">
        <f>P277-O277</f>
        <v>-1.97710384879832e-5</v>
      </c>
      <c r="U277" s="68">
        <f>R277-P277</f>
        <v>-0.000126748789555236</v>
      </c>
      <c r="V277" s="68">
        <f>R277-O277</f>
        <v>-0.000146519828043219</v>
      </c>
      <c r="W277" s="77"/>
      <c r="X277" s="77"/>
      <c r="Y277" s="54">
        <f>V277/1.75</f>
        <v>-8.37256160246965e-5</v>
      </c>
    </row>
    <row r="278" ht="14" spans="1:25">
      <c r="A278" s="25" t="s">
        <v>167</v>
      </c>
      <c r="B278" s="25" t="s">
        <v>168</v>
      </c>
      <c r="C278" s="25"/>
      <c r="D278" s="121" t="s">
        <v>28</v>
      </c>
      <c r="E278" s="25" t="s">
        <v>29</v>
      </c>
      <c r="F278" s="25" t="s">
        <v>232</v>
      </c>
      <c r="G278" s="25" t="s">
        <v>35</v>
      </c>
      <c r="H278" s="63">
        <v>44395</v>
      </c>
      <c r="I278" s="21" t="s">
        <v>87</v>
      </c>
      <c r="J278" s="63">
        <v>50435</v>
      </c>
      <c r="K278" s="63">
        <v>60301</v>
      </c>
      <c r="L278" s="63">
        <v>25989</v>
      </c>
      <c r="M278" s="63">
        <v>43132</v>
      </c>
      <c r="N278" s="63">
        <v>57053</v>
      </c>
      <c r="O278" s="77">
        <v>0.0131651108769371</v>
      </c>
      <c r="P278" s="77">
        <v>0.0152464678337733</v>
      </c>
      <c r="Q278" s="77">
        <v>0.0146127116928682</v>
      </c>
      <c r="R278" s="77">
        <v>0.0177964237984876</v>
      </c>
      <c r="S278" s="77"/>
      <c r="T278" s="95">
        <f>P278-O278</f>
        <v>0.00208135695683619</v>
      </c>
      <c r="U278" s="68">
        <f>R278-P278</f>
        <v>0.00254995596471437</v>
      </c>
      <c r="V278" s="68">
        <f>R278-O278</f>
        <v>0.00463131292155056</v>
      </c>
      <c r="W278" s="77"/>
      <c r="X278" s="77"/>
      <c r="Y278" s="54">
        <f>V278/1.75</f>
        <v>0.00264646452660032</v>
      </c>
    </row>
    <row r="279" ht="14" spans="1:25">
      <c r="A279" s="25" t="s">
        <v>169</v>
      </c>
      <c r="B279" s="25" t="s">
        <v>170</v>
      </c>
      <c r="C279" s="25"/>
      <c r="D279" s="121" t="s">
        <v>28</v>
      </c>
      <c r="E279" s="25" t="s">
        <v>29</v>
      </c>
      <c r="F279" s="25" t="s">
        <v>232</v>
      </c>
      <c r="G279" s="25" t="s">
        <v>35</v>
      </c>
      <c r="H279" s="63">
        <v>58050</v>
      </c>
      <c r="I279" s="21" t="s">
        <v>155</v>
      </c>
      <c r="J279" s="63">
        <v>12817</v>
      </c>
      <c r="K279" s="63">
        <v>13268</v>
      </c>
      <c r="L279" s="63">
        <v>2695</v>
      </c>
      <c r="M279" s="63">
        <v>4775</v>
      </c>
      <c r="N279" s="63">
        <v>4776</v>
      </c>
      <c r="O279" s="77">
        <v>0.00334563747615153</v>
      </c>
      <c r="P279" s="77">
        <v>0.00335467297753775</v>
      </c>
      <c r="Q279" s="77">
        <v>0.00151530486022086</v>
      </c>
      <c r="R279" s="77">
        <v>0.00197018277932344</v>
      </c>
      <c r="S279" s="77"/>
      <c r="T279" s="95">
        <f>P279-O279</f>
        <v>9.03550138621608e-6</v>
      </c>
      <c r="U279" s="68">
        <f>R279-P279</f>
        <v>-0.00138449019821431</v>
      </c>
      <c r="V279" s="68">
        <f>R279-O279</f>
        <v>-0.0013754546968281</v>
      </c>
      <c r="W279" s="77"/>
      <c r="X279" s="77"/>
      <c r="Y279" s="54">
        <f>V279/1.75</f>
        <v>-0.000785974112473198</v>
      </c>
    </row>
    <row r="280" ht="14" spans="1:25">
      <c r="A280" s="25" t="s">
        <v>113</v>
      </c>
      <c r="B280" s="25" t="s">
        <v>40</v>
      </c>
      <c r="C280" s="25"/>
      <c r="D280" s="121" t="s">
        <v>28</v>
      </c>
      <c r="E280" s="25" t="s">
        <v>29</v>
      </c>
      <c r="F280" s="25" t="s">
        <v>232</v>
      </c>
      <c r="G280" s="25" t="s">
        <v>35</v>
      </c>
      <c r="H280" s="63">
        <v>44250</v>
      </c>
      <c r="I280" s="21" t="s">
        <v>87</v>
      </c>
      <c r="J280" s="63">
        <v>52626</v>
      </c>
      <c r="K280" s="63">
        <v>51805</v>
      </c>
      <c r="L280" s="63">
        <v>36059</v>
      </c>
      <c r="M280" s="63">
        <v>55515</v>
      </c>
      <c r="N280" s="63">
        <v>65531</v>
      </c>
      <c r="O280" s="77">
        <v>0.0161394446051117</v>
      </c>
      <c r="P280" s="77">
        <v>0.0150789852996994</v>
      </c>
      <c r="Q280" s="77">
        <v>0.0118545803476081</v>
      </c>
      <c r="R280" s="77">
        <v>0.0148780776627484</v>
      </c>
      <c r="S280" s="77"/>
      <c r="T280" s="95">
        <f>P280-O280</f>
        <v>-0.00106045930541233</v>
      </c>
      <c r="U280" s="68">
        <f>R280-P280</f>
        <v>-0.000200907636950937</v>
      </c>
      <c r="V280" s="68">
        <f>R280-O280</f>
        <v>-0.00126136694236327</v>
      </c>
      <c r="W280" s="77"/>
      <c r="X280" s="77"/>
      <c r="Y280" s="54">
        <f>V280/1.75</f>
        <v>-0.000720781109921868</v>
      </c>
    </row>
    <row r="281" ht="14" spans="1:25">
      <c r="A281" s="25" t="s">
        <v>237</v>
      </c>
      <c r="B281" s="25" t="s">
        <v>238</v>
      </c>
      <c r="C281" s="25"/>
      <c r="D281" s="121" t="s">
        <v>28</v>
      </c>
      <c r="E281" s="25" t="s">
        <v>29</v>
      </c>
      <c r="F281" s="25" t="s">
        <v>232</v>
      </c>
      <c r="G281" s="25" t="s">
        <v>35</v>
      </c>
      <c r="H281" s="63">
        <v>46500</v>
      </c>
      <c r="I281" s="21" t="s">
        <v>36</v>
      </c>
      <c r="J281" s="63">
        <v>0</v>
      </c>
      <c r="K281" s="63">
        <v>4332</v>
      </c>
      <c r="L281" s="63">
        <v>2474</v>
      </c>
      <c r="M281" s="63">
        <v>3643</v>
      </c>
      <c r="N281" s="63">
        <v>5107</v>
      </c>
      <c r="O281" s="77">
        <v>0</v>
      </c>
      <c r="P281" s="77">
        <v>0.0010953002214873</v>
      </c>
      <c r="Q281" s="77">
        <v>0.0013910442390302</v>
      </c>
      <c r="R281" s="77">
        <v>0.00150311536441367</v>
      </c>
      <c r="S281" s="77"/>
      <c r="T281" s="95">
        <f>P281-O281</f>
        <v>0.0010953002214873</v>
      </c>
      <c r="U281" s="68">
        <f>R281-P281</f>
        <v>0.000407815142926369</v>
      </c>
      <c r="V281" s="68">
        <f>R281-O281</f>
        <v>0.00150311536441367</v>
      </c>
      <c r="W281" s="77"/>
      <c r="X281" s="77"/>
      <c r="Y281" s="54">
        <f>V281/1.75</f>
        <v>0.000858923065379241</v>
      </c>
    </row>
    <row r="282" ht="14" spans="1:25">
      <c r="A282" s="25" t="s">
        <v>239</v>
      </c>
      <c r="B282" s="25" t="s">
        <v>240</v>
      </c>
      <c r="C282" s="25"/>
      <c r="D282" s="121" t="s">
        <v>28</v>
      </c>
      <c r="E282" s="25" t="s">
        <v>29</v>
      </c>
      <c r="F282" s="25" t="s">
        <v>232</v>
      </c>
      <c r="G282" s="25" t="s">
        <v>35</v>
      </c>
      <c r="H282" s="63">
        <v>39445</v>
      </c>
      <c r="I282" s="21" t="s">
        <v>201</v>
      </c>
      <c r="J282" s="63">
        <v>52785</v>
      </c>
      <c r="K282" s="63">
        <v>57013</v>
      </c>
      <c r="L282" s="63">
        <v>15814</v>
      </c>
      <c r="M282" s="63">
        <v>21144</v>
      </c>
      <c r="N282" s="63">
        <v>21892</v>
      </c>
      <c r="O282" s="77">
        <v>0.0137785343043348</v>
      </c>
      <c r="P282" s="77">
        <v>0.0144151319315918</v>
      </c>
      <c r="Q282" s="77">
        <v>0.00889166273080989</v>
      </c>
      <c r="R282" s="77">
        <v>0.0087240931279612</v>
      </c>
      <c r="S282" s="77"/>
      <c r="T282" s="95">
        <f>P282-O282</f>
        <v>0.000636597627257013</v>
      </c>
      <c r="U282" s="68">
        <f>R282-P282</f>
        <v>-0.00569103880363057</v>
      </c>
      <c r="V282" s="68">
        <f>R282-O282</f>
        <v>-0.00505444117637356</v>
      </c>
      <c r="W282" s="77"/>
      <c r="X282" s="77"/>
      <c r="Y282" s="54">
        <f>V282/1.75</f>
        <v>-0.00288825210078489</v>
      </c>
    </row>
    <row r="283" ht="14" spans="1:25">
      <c r="A283" s="25" t="s">
        <v>169</v>
      </c>
      <c r="B283" s="25" t="s">
        <v>241</v>
      </c>
      <c r="C283" s="25"/>
      <c r="D283" s="121" t="s">
        <v>28</v>
      </c>
      <c r="E283" s="25" t="s">
        <v>29</v>
      </c>
      <c r="F283" s="25" t="s">
        <v>232</v>
      </c>
      <c r="G283" s="25" t="s">
        <v>35</v>
      </c>
      <c r="H283" s="63">
        <v>42950</v>
      </c>
      <c r="I283" s="21" t="s">
        <v>32</v>
      </c>
      <c r="J283" s="63">
        <v>7759</v>
      </c>
      <c r="K283" s="63">
        <v>7221</v>
      </c>
      <c r="L283" s="63">
        <v>2512</v>
      </c>
      <c r="M283" s="63">
        <v>3889</v>
      </c>
      <c r="N283" s="63">
        <v>3889</v>
      </c>
      <c r="O283" s="77">
        <v>0.00202534143539516</v>
      </c>
      <c r="P283" s="77">
        <v>0.00182575320853181</v>
      </c>
      <c r="Q283" s="77">
        <v>0.00141241031869195</v>
      </c>
      <c r="R283" s="77">
        <v>0.00160461588037463</v>
      </c>
      <c r="S283" s="77"/>
      <c r="T283" s="95">
        <f>P283-O283</f>
        <v>-0.000199588226863346</v>
      </c>
      <c r="U283" s="68">
        <f>R283-P283</f>
        <v>-0.000221137328157185</v>
      </c>
      <c r="V283" s="68">
        <f>R283-O283</f>
        <v>-0.000420725555020531</v>
      </c>
      <c r="W283" s="77"/>
      <c r="X283" s="77"/>
      <c r="Y283" s="54">
        <f>V283/1.75</f>
        <v>-0.000240414602868875</v>
      </c>
    </row>
    <row r="284" ht="14" spans="1:25">
      <c r="A284" s="25" t="s">
        <v>237</v>
      </c>
      <c r="B284" s="25" t="s">
        <v>42</v>
      </c>
      <c r="C284" s="25"/>
      <c r="D284" s="121" t="s">
        <v>28</v>
      </c>
      <c r="E284" s="25" t="s">
        <v>29</v>
      </c>
      <c r="F284" s="25" t="s">
        <v>232</v>
      </c>
      <c r="G284" s="25" t="s">
        <v>35</v>
      </c>
      <c r="H284" s="63">
        <v>38975</v>
      </c>
      <c r="I284" s="21" t="s">
        <v>201</v>
      </c>
      <c r="J284" s="63">
        <v>20885</v>
      </c>
      <c r="K284" s="63">
        <v>19195</v>
      </c>
      <c r="L284" s="63">
        <v>5562</v>
      </c>
      <c r="M284" s="63">
        <v>8548</v>
      </c>
      <c r="N284" s="63">
        <v>5107</v>
      </c>
      <c r="O284" s="77">
        <v>0.00545163756646834</v>
      </c>
      <c r="P284" s="77">
        <v>0.0048532520201867</v>
      </c>
      <c r="Q284" s="77">
        <v>0.00312731934417381</v>
      </c>
      <c r="R284" s="77">
        <v>0.00352693662778152</v>
      </c>
      <c r="S284" s="77"/>
      <c r="T284" s="95">
        <f>P284-O284</f>
        <v>-0.000598385546281647</v>
      </c>
      <c r="U284" s="68">
        <f>R284-P284</f>
        <v>-0.00132631539240518</v>
      </c>
      <c r="V284" s="68">
        <f>R284-O284</f>
        <v>-0.00192470093868683</v>
      </c>
      <c r="W284" s="77"/>
      <c r="X284" s="77"/>
      <c r="Y284" s="54">
        <f>V284/1.75</f>
        <v>-0.00109982910782104</v>
      </c>
    </row>
    <row r="285" s="12" customFormat="1" ht="14" spans="1:25">
      <c r="A285" s="25" t="s">
        <v>242</v>
      </c>
      <c r="B285" s="25" t="s">
        <v>243</v>
      </c>
      <c r="D285" s="6" t="s">
        <v>28</v>
      </c>
      <c r="E285" s="25" t="s">
        <v>29</v>
      </c>
      <c r="F285" s="25" t="s">
        <v>232</v>
      </c>
      <c r="G285" s="6" t="s">
        <v>35</v>
      </c>
      <c r="H285" s="122">
        <v>40120</v>
      </c>
      <c r="I285" s="21" t="s">
        <v>46</v>
      </c>
      <c r="J285" s="63">
        <v>135855</v>
      </c>
      <c r="K285" s="63">
        <v>89126</v>
      </c>
      <c r="L285" s="63">
        <v>19357</v>
      </c>
      <c r="M285" s="63">
        <v>30852</v>
      </c>
      <c r="O285" s="77">
        <v>0.0416642771030945</v>
      </c>
      <c r="P285" s="77">
        <v>0.0259420836564233</v>
      </c>
      <c r="Q285" s="77">
        <v>0.0119833470044728</v>
      </c>
      <c r="R285" s="77">
        <v>0.0127296500749082</v>
      </c>
      <c r="T285" s="95">
        <f>P285-O285</f>
        <v>-0.0157221934466713</v>
      </c>
      <c r="U285" s="68">
        <f>R285-P285</f>
        <v>-0.0132124335815151</v>
      </c>
      <c r="V285" s="68">
        <f>R285-O285</f>
        <v>-0.0289346270281863</v>
      </c>
      <c r="W285" s="77"/>
      <c r="X285" s="77"/>
      <c r="Y285" s="54">
        <f>V285/1.75</f>
        <v>-0.016534072587535</v>
      </c>
    </row>
    <row r="286" ht="14" spans="1:24">
      <c r="A286" s="13" t="s">
        <v>52</v>
      </c>
      <c r="E286" s="123"/>
      <c r="J286" s="39">
        <f>SUM(J270:J285)</f>
        <v>588955</v>
      </c>
      <c r="K286" s="39">
        <f>SUM(K270:K285)</f>
        <v>688561</v>
      </c>
      <c r="L286" s="39">
        <f>SUM(L270:L285)</f>
        <v>301976</v>
      </c>
      <c r="M286" s="39">
        <f>SUM(M270:M285)</f>
        <v>462763</v>
      </c>
      <c r="N286" s="39">
        <f>SUM(N270:N285)</f>
        <v>563505</v>
      </c>
      <c r="O286" s="54">
        <f>SUM(O270:O285)</f>
        <v>0.171887616456289</v>
      </c>
      <c r="P286" s="54">
        <f>SUM(P270:P285)</f>
        <v>0.192159782234867</v>
      </c>
      <c r="Q286" s="54">
        <f>SUM(Q270:Q285)</f>
        <v>0.162591396224237</v>
      </c>
      <c r="R286" s="54">
        <f>SUM(R270:R285)</f>
        <v>0.171657447604449</v>
      </c>
      <c r="S286" s="31"/>
      <c r="T286" s="54"/>
      <c r="U286" s="54"/>
      <c r="V286" s="54"/>
      <c r="W286" s="54"/>
      <c r="X286" s="54"/>
    </row>
    <row r="287" ht="14" spans="1:1">
      <c r="A287" s="5" t="s">
        <v>53</v>
      </c>
    </row>
    <row r="288" s="7" customFormat="1" ht="14" spans="1:15">
      <c r="A288" s="7" t="s">
        <v>244</v>
      </c>
      <c r="B288" s="27">
        <v>2020</v>
      </c>
      <c r="C288" s="27">
        <v>2021</v>
      </c>
      <c r="D288" s="27" t="s">
        <v>124</v>
      </c>
      <c r="E288" s="27" t="s">
        <v>55</v>
      </c>
      <c r="F288" s="27" t="s">
        <v>56</v>
      </c>
      <c r="G288" s="27" t="s">
        <v>57</v>
      </c>
      <c r="H288" s="27" t="s">
        <v>58</v>
      </c>
      <c r="I288" s="27" t="s">
        <v>59</v>
      </c>
      <c r="J288" s="27" t="s">
        <v>60</v>
      </c>
      <c r="K288" s="27" t="s">
        <v>61</v>
      </c>
      <c r="L288" s="27" t="s">
        <v>62</v>
      </c>
      <c r="M288" s="7" t="s">
        <v>64</v>
      </c>
      <c r="O288" s="7" t="s">
        <v>65</v>
      </c>
    </row>
    <row r="289" ht="14" spans="1:15">
      <c r="A289" s="13" t="s">
        <v>66</v>
      </c>
      <c r="B289" s="124">
        <v>3260707</v>
      </c>
      <c r="C289" s="124">
        <v>3435576</v>
      </c>
      <c r="D289" s="30">
        <f>AVERAGE(B289:C289)</f>
        <v>3348141.5</v>
      </c>
      <c r="E289" s="30">
        <f>AVERAGE(C289:D289)</f>
        <v>3391858.75</v>
      </c>
      <c r="F289" s="30">
        <f>AVERAGE(D289:E289)</f>
        <v>3370000.125</v>
      </c>
      <c r="G289" s="30">
        <f>AVERAGE(E289:F289)</f>
        <v>3380929.4375</v>
      </c>
      <c r="H289" s="30">
        <f>AVERAGE(F289:G289)</f>
        <v>3375464.78125</v>
      </c>
      <c r="I289" s="30">
        <f>AVERAGE(G289:H289)</f>
        <v>3378197.109375</v>
      </c>
      <c r="J289" s="30">
        <f>AVERAGE(H289:I289)</f>
        <v>3376830.9453125</v>
      </c>
      <c r="K289" s="30">
        <f>AVERAGE(I289:J289)</f>
        <v>3377514.02734375</v>
      </c>
      <c r="L289" s="30">
        <f>AVERAGE(J289:K289)</f>
        <v>3377172.48632813</v>
      </c>
      <c r="O289" s="13" t="s">
        <v>67</v>
      </c>
    </row>
    <row r="290" ht="14" spans="1:1">
      <c r="A290" s="5" t="s">
        <v>68</v>
      </c>
    </row>
    <row r="291" ht="14" spans="1:16">
      <c r="A291" s="25" t="s">
        <v>2</v>
      </c>
      <c r="B291" s="35">
        <f>O270</f>
        <v>0.0249</v>
      </c>
      <c r="C291" s="35">
        <f>P270</f>
        <v>0.0539</v>
      </c>
      <c r="D291" s="33">
        <f>R270+Y270/4</f>
        <v>0.0733571428571429</v>
      </c>
      <c r="E291" s="33">
        <f>D291-E307</f>
        <v>0.0855371911005257</v>
      </c>
      <c r="F291" s="33">
        <f>E291-F307</f>
        <v>0.0977172393439085</v>
      </c>
      <c r="G291" s="33">
        <f>F291-G307</f>
        <v>0.102771226068645</v>
      </c>
      <c r="H291" s="33">
        <f>G291-H307</f>
        <v>0.105386273613056</v>
      </c>
      <c r="I291" s="33">
        <f>H291-I307</f>
        <v>0.107387567972411</v>
      </c>
      <c r="J291" s="33">
        <f>I291-J307</f>
        <v>0.109226850067021</v>
      </c>
      <c r="K291" s="33">
        <f>J291-K307</f>
        <v>0.110861427211046</v>
      </c>
      <c r="L291" s="33">
        <f>K291-L307</f>
        <v>0.112217814861472</v>
      </c>
      <c r="O291" s="33">
        <f>-SUM(O292:O305)+X270</f>
        <v>0.00378148689142108</v>
      </c>
      <c r="P291" s="33"/>
    </row>
    <row r="292" ht="14" spans="1:17">
      <c r="A292" s="25" t="s">
        <v>163</v>
      </c>
      <c r="B292" s="35">
        <f>O271</f>
        <v>0.00200393687324766</v>
      </c>
      <c r="C292" s="35">
        <f>P271</f>
        <v>0.00268515428259353</v>
      </c>
      <c r="D292" s="33">
        <f>MAX(0,C292+$O292)</f>
        <v>0.00289419022916985</v>
      </c>
      <c r="E292" s="33">
        <f>MAX(0,D292+$O292)</f>
        <v>0.00310322617574617</v>
      </c>
      <c r="F292" s="33">
        <f>MAX(0,E292+$O292)</f>
        <v>0.00331226212232249</v>
      </c>
      <c r="G292" s="33">
        <f>MAX(0,F292+$O292)</f>
        <v>0.00352129806889881</v>
      </c>
      <c r="H292" s="33">
        <f>MAX(0,G292+$O292)</f>
        <v>0.00373033401547514</v>
      </c>
      <c r="I292" s="33">
        <f>MAX(0,H292+$O292)</f>
        <v>0.00393936996205146</v>
      </c>
      <c r="J292" s="33">
        <f>MAX(0,I292+$O292)</f>
        <v>0.00414840590862778</v>
      </c>
      <c r="K292" s="33">
        <f>MAX(0,J292+$O292)</f>
        <v>0.0043574418552041</v>
      </c>
      <c r="L292" s="33">
        <f>MAX(0,K292+$O292)</f>
        <v>0.00456647780178043</v>
      </c>
      <c r="M292" s="56">
        <v>0.5</v>
      </c>
      <c r="N292" s="56"/>
      <c r="O292" s="57">
        <f>M292*Y271</f>
        <v>0.000209035946576322</v>
      </c>
      <c r="P292" s="57"/>
      <c r="Q292" s="13" t="s">
        <v>245</v>
      </c>
    </row>
    <row r="293" ht="14" spans="1:16">
      <c r="A293" s="25" t="s">
        <v>164</v>
      </c>
      <c r="B293" s="35">
        <f>O272</f>
        <v>0.00284315232817683</v>
      </c>
      <c r="C293" s="35">
        <f>P272</f>
        <v>0.00240500824256399</v>
      </c>
      <c r="D293" s="33">
        <f>MAX(0,C293+$O293)</f>
        <v>0.00203829102723404</v>
      </c>
      <c r="E293" s="33">
        <f>MAX(0,D293+$O293)</f>
        <v>0.00167157381190409</v>
      </c>
      <c r="F293" s="33">
        <f>MAX(0,E293+$O293)</f>
        <v>0.00130485659657414</v>
      </c>
      <c r="G293" s="33">
        <f>MAX(0,F293+$O293)</f>
        <v>0.000938139381244192</v>
      </c>
      <c r="H293" s="33">
        <f>MAX(0,G293+$O293)</f>
        <v>0.000571422165914242</v>
      </c>
      <c r="I293" s="33">
        <f>MAX(0,H293+$O293)</f>
        <v>0.000204704950584292</v>
      </c>
      <c r="J293" s="33">
        <f>MAX(0,I293+$O293)</f>
        <v>0</v>
      </c>
      <c r="K293" s="33">
        <f>MAX(0,J293+$O293)</f>
        <v>0</v>
      </c>
      <c r="L293" s="33">
        <f>MAX(0,K293+$O293)</f>
        <v>0</v>
      </c>
      <c r="M293" s="56">
        <v>0.5</v>
      </c>
      <c r="N293" s="56"/>
      <c r="O293" s="57">
        <f>M293*Y272</f>
        <v>-0.00036671721532995</v>
      </c>
      <c r="P293" s="57"/>
    </row>
    <row r="294" ht="14" spans="1:17">
      <c r="A294" s="25" t="s">
        <v>154</v>
      </c>
      <c r="B294" s="35">
        <f>O273</f>
        <v>0.00486327313865797</v>
      </c>
      <c r="C294" s="35">
        <f>P273</f>
        <v>0.0062491782719945</v>
      </c>
      <c r="D294" s="33">
        <f>MAX(0,C294+$O294)</f>
        <v>0.00674031943229098</v>
      </c>
      <c r="E294" s="33">
        <f>MAX(0,D294+$O294)</f>
        <v>0.00723146059258747</v>
      </c>
      <c r="F294" s="33">
        <f>MAX(0,E294+$O294)</f>
        <v>0.00772260175288395</v>
      </c>
      <c r="G294" s="33">
        <f>MAX(0,F294+$O294)</f>
        <v>0.00821374291318043</v>
      </c>
      <c r="H294" s="33">
        <f>MAX(0,G294+$O294)</f>
        <v>0.00870488407347692</v>
      </c>
      <c r="I294" s="33">
        <f>MAX(0,H294+$O294)</f>
        <v>0.0091960252337734</v>
      </c>
      <c r="J294" s="33">
        <f>MAX(0,I294+$O294)</f>
        <v>0.00968716639406988</v>
      </c>
      <c r="K294" s="33">
        <f>MAX(0,J294+$O294)</f>
        <v>0.0101783075543664</v>
      </c>
      <c r="L294" s="33">
        <f>MAX(0,K294+$O294)</f>
        <v>0.0106694487146628</v>
      </c>
      <c r="M294" s="56">
        <v>0.5</v>
      </c>
      <c r="N294" s="56"/>
      <c r="O294" s="57">
        <f>M294*Y273</f>
        <v>0.000491141160296484</v>
      </c>
      <c r="P294" s="57"/>
      <c r="Q294" s="13" t="s">
        <v>245</v>
      </c>
    </row>
    <row r="295" ht="14" spans="1:16">
      <c r="A295" s="25" t="s">
        <v>34</v>
      </c>
      <c r="B295" s="35">
        <f>O274</f>
        <v>0.0183828231116749</v>
      </c>
      <c r="C295" s="35">
        <f>P274</f>
        <v>0.0220801402734214</v>
      </c>
      <c r="D295" s="33">
        <f>MAX(0,C295+$O295)</f>
        <v>0.0206770262910395</v>
      </c>
      <c r="E295" s="33">
        <f>MAX(0,D295+$O295)</f>
        <v>0.0192739123086576</v>
      </c>
      <c r="F295" s="33">
        <f>MAX(0,E295+$O295)</f>
        <v>0.0178707983262756</v>
      </c>
      <c r="G295" s="33">
        <f>MAX(0,F295+$O295)</f>
        <v>0.0164676843438937</v>
      </c>
      <c r="H295" s="33">
        <f>MAX(0,G295+$O295)</f>
        <v>0.0150645703615118</v>
      </c>
      <c r="I295" s="33">
        <f>MAX(0,H295+$O295)</f>
        <v>0.0136614563791299</v>
      </c>
      <c r="J295" s="33">
        <f>MAX(0,I295+$O295)</f>
        <v>0.0122583423967479</v>
      </c>
      <c r="K295" s="33">
        <f>MAX(0,J295+$O295)</f>
        <v>0.010855228414366</v>
      </c>
      <c r="L295" s="33">
        <f>MAX(0,K295+$O295)</f>
        <v>0.00945211443198408</v>
      </c>
      <c r="M295" s="56">
        <v>0.5</v>
      </c>
      <c r="N295" s="56"/>
      <c r="O295" s="57">
        <f>M295*Y274</f>
        <v>-0.00140311398238192</v>
      </c>
      <c r="P295" s="57"/>
    </row>
    <row r="296" ht="14" spans="1:16">
      <c r="A296" s="25" t="s">
        <v>38</v>
      </c>
      <c r="B296" s="35">
        <f>O275</f>
        <v>0.0108022585285952</v>
      </c>
      <c r="C296" s="35">
        <f>P275</f>
        <v>0.00826062354609533</v>
      </c>
      <c r="D296" s="33">
        <f>MAX(0,C296+$O296)</f>
        <v>0.00634890595583543</v>
      </c>
      <c r="E296" s="33">
        <f>MAX(0,D296+$O296)</f>
        <v>0.00443718836557553</v>
      </c>
      <c r="F296" s="33">
        <f>MAX(0,E296+$O296)</f>
        <v>0.00252547077531563</v>
      </c>
      <c r="G296" s="33">
        <f>MAX(0,F296+$O296)</f>
        <v>0.000613753185055726</v>
      </c>
      <c r="H296" s="33">
        <f>MAX(0,G296+$O296)</f>
        <v>0</v>
      </c>
      <c r="I296" s="33">
        <f>MAX(0,H296+$O296)</f>
        <v>0</v>
      </c>
      <c r="J296" s="33">
        <f>MAX(0,I296+$O296)</f>
        <v>0</v>
      </c>
      <c r="K296" s="33">
        <f>MAX(0,J296+$O296)</f>
        <v>0</v>
      </c>
      <c r="L296" s="33">
        <f>MAX(0,K296+$O296)</f>
        <v>0</v>
      </c>
      <c r="M296" s="56">
        <v>0.5</v>
      </c>
      <c r="N296" s="56"/>
      <c r="O296" s="57">
        <f>M296*Y275</f>
        <v>-0.0019117175902599</v>
      </c>
      <c r="P296" s="57"/>
    </row>
    <row r="297" ht="14" spans="1:16">
      <c r="A297" s="25" t="s">
        <v>48</v>
      </c>
      <c r="B297" s="35">
        <f>O276</f>
        <v>0.00983774377765313</v>
      </c>
      <c r="C297" s="35">
        <f>P276</f>
        <v>0.0121033561766644</v>
      </c>
      <c r="D297" s="33">
        <f>MAX(0,C297+$O297)</f>
        <v>0.0123285104371056</v>
      </c>
      <c r="E297" s="33">
        <f>MAX(0,D297+$O297)</f>
        <v>0.0125536646975467</v>
      </c>
      <c r="F297" s="33">
        <f>MAX(0,E297+$O297)</f>
        <v>0.0127788189579879</v>
      </c>
      <c r="G297" s="33">
        <f>MAX(0,F297+$O297)</f>
        <v>0.013003973218429</v>
      </c>
      <c r="H297" s="33">
        <f>MAX(0,G297+$O297)</f>
        <v>0.0132291274788702</v>
      </c>
      <c r="I297" s="33">
        <f>MAX(0,H297+$O297)</f>
        <v>0.0134542817393113</v>
      </c>
      <c r="J297" s="33">
        <f>MAX(0,I297+$O297)</f>
        <v>0.0136794359997525</v>
      </c>
      <c r="K297" s="33">
        <f>MAX(0,J297+$O297)</f>
        <v>0.0139045902601936</v>
      </c>
      <c r="L297" s="33">
        <f>MAX(0,K297+$O297)</f>
        <v>0.0141297445206348</v>
      </c>
      <c r="M297" s="56">
        <v>0.5</v>
      </c>
      <c r="N297" s="56"/>
      <c r="O297" s="57">
        <f>M297*Y276</f>
        <v>0.000225154260441154</v>
      </c>
      <c r="P297" s="57"/>
    </row>
    <row r="298" ht="14" spans="1:16">
      <c r="A298" s="25" t="s">
        <v>166</v>
      </c>
      <c r="B298" s="35">
        <f>O277</f>
        <v>0.00268444533079054</v>
      </c>
      <c r="C298" s="35">
        <f>P277</f>
        <v>0.00266467429230256</v>
      </c>
      <c r="D298" s="33">
        <f>MAX(0,C298+$O298)</f>
        <v>0.00262281148429021</v>
      </c>
      <c r="E298" s="33">
        <f>MAX(0,D298+$O298)</f>
        <v>0.00258094867627786</v>
      </c>
      <c r="F298" s="33">
        <f>MAX(0,E298+$O298)</f>
        <v>0.00253908586826551</v>
      </c>
      <c r="G298" s="33">
        <f>MAX(0,F298+$O298)</f>
        <v>0.00249722306025317</v>
      </c>
      <c r="H298" s="33">
        <f>MAX(0,G298+$O298)</f>
        <v>0.00245536025224082</v>
      </c>
      <c r="I298" s="33">
        <f>MAX(0,H298+$O298)</f>
        <v>0.00241349744422847</v>
      </c>
      <c r="J298" s="33">
        <f>MAX(0,I298+$O298)</f>
        <v>0.00237163463621612</v>
      </c>
      <c r="K298" s="33">
        <f>MAX(0,J298+$O298)</f>
        <v>0.00232977182820377</v>
      </c>
      <c r="L298" s="33">
        <f>MAX(0,K298+$O298)</f>
        <v>0.00228790902019142</v>
      </c>
      <c r="M298" s="56">
        <v>0.5</v>
      </c>
      <c r="N298" s="56"/>
      <c r="O298" s="57">
        <f>M298*Y277</f>
        <v>-4.18628080123483e-5</v>
      </c>
      <c r="P298" s="57"/>
    </row>
    <row r="299" ht="14" spans="1:17">
      <c r="A299" s="25" t="s">
        <v>168</v>
      </c>
      <c r="B299" s="35">
        <f>O278</f>
        <v>0.0131651108769371</v>
      </c>
      <c r="C299" s="35">
        <f>P278</f>
        <v>0.0152464678337733</v>
      </c>
      <c r="D299" s="33">
        <f>MAX(0,C299+$O299)</f>
        <v>0.0165697000970734</v>
      </c>
      <c r="E299" s="33">
        <f>MAX(0,D299+$O299)</f>
        <v>0.0178929323603736</v>
      </c>
      <c r="F299" s="33">
        <f>MAX(0,E299+$O299)</f>
        <v>0.0192161646236738</v>
      </c>
      <c r="G299" s="33">
        <f>MAX(0,F299+$O299)</f>
        <v>0.0205393968869739</v>
      </c>
      <c r="H299" s="33">
        <f>MAX(0,G299+$O299)</f>
        <v>0.0218626291502741</v>
      </c>
      <c r="I299" s="33">
        <f>MAX(0,H299+$O299)</f>
        <v>0.0231858614135742</v>
      </c>
      <c r="J299" s="33">
        <f>MAX(0,I299+$O299)</f>
        <v>0.0245090936768744</v>
      </c>
      <c r="K299" s="33">
        <f>MAX(0,J299+$O299)</f>
        <v>0.0258323259401746</v>
      </c>
      <c r="L299" s="33">
        <f>MAX(0,K299+$O299)</f>
        <v>0.0271555582034747</v>
      </c>
      <c r="M299" s="56">
        <v>0.5</v>
      </c>
      <c r="N299" s="56"/>
      <c r="O299" s="57">
        <f>M299*Y278</f>
        <v>0.00132323226330016</v>
      </c>
      <c r="P299" s="57"/>
      <c r="Q299" s="13" t="s">
        <v>245</v>
      </c>
    </row>
    <row r="300" ht="14" spans="1:16">
      <c r="A300" s="25" t="s">
        <v>170</v>
      </c>
      <c r="B300" s="35">
        <f>O279</f>
        <v>0.00334563747615153</v>
      </c>
      <c r="C300" s="35">
        <f>P279</f>
        <v>0.00335467297753775</v>
      </c>
      <c r="D300" s="33">
        <f>MAX(0,C300+$O300)</f>
        <v>0.00296168592130115</v>
      </c>
      <c r="E300" s="33">
        <f>MAX(0,D300+$O300)</f>
        <v>0.00256869886506455</v>
      </c>
      <c r="F300" s="33">
        <f>MAX(0,E300+$O300)</f>
        <v>0.00217571180882795</v>
      </c>
      <c r="G300" s="33">
        <f>MAX(0,F300+$O300)</f>
        <v>0.00178272475259135</v>
      </c>
      <c r="H300" s="33">
        <f>MAX(0,G300+$O300)</f>
        <v>0.00138973769635476</v>
      </c>
      <c r="I300" s="33">
        <f>MAX(0,H300+$O300)</f>
        <v>0.000996750640118157</v>
      </c>
      <c r="J300" s="33">
        <f>MAX(0,I300+$O300)</f>
        <v>0.000603763583881558</v>
      </c>
      <c r="K300" s="33">
        <f>MAX(0,J300+$O300)</f>
        <v>0.000210776527644959</v>
      </c>
      <c r="L300" s="33">
        <f>MAX(0,K300+$O300)</f>
        <v>0</v>
      </c>
      <c r="M300" s="56">
        <v>0.5</v>
      </c>
      <c r="N300" s="56"/>
      <c r="O300" s="57">
        <f>M300*Y279</f>
        <v>-0.000392987056236599</v>
      </c>
      <c r="P300" s="57"/>
    </row>
    <row r="301" ht="14" spans="1:17">
      <c r="A301" s="25" t="s">
        <v>40</v>
      </c>
      <c r="B301" s="35">
        <f>O280</f>
        <v>0.0161394446051117</v>
      </c>
      <c r="C301" s="35">
        <f>P280</f>
        <v>0.0150789852996994</v>
      </c>
      <c r="D301" s="33">
        <f>MAX(0,C301+$O301)</f>
        <v>0.0147185947447384</v>
      </c>
      <c r="E301" s="33">
        <f>MAX(0,D301+$O301)</f>
        <v>0.0143582041897775</v>
      </c>
      <c r="F301" s="33">
        <f>MAX(0,E301+$O301)</f>
        <v>0.0139978136348166</v>
      </c>
      <c r="G301" s="33">
        <f>MAX(0,F301+$O301)</f>
        <v>0.0136374230798556</v>
      </c>
      <c r="H301" s="33">
        <f>MAX(0,G301+$O301)</f>
        <v>0.0132770325248947</v>
      </c>
      <c r="I301" s="33">
        <f>MAX(0,H301+$O301)</f>
        <v>0.0129166419699338</v>
      </c>
      <c r="J301" s="33">
        <f>MAX(0,I301+$O301)</f>
        <v>0.0125562514149728</v>
      </c>
      <c r="K301" s="33">
        <f>MAX(0,J301+$O301)</f>
        <v>0.0121958608600119</v>
      </c>
      <c r="L301" s="33">
        <f>MAX(0,K301+$O301)</f>
        <v>0.011835470305051</v>
      </c>
      <c r="M301" s="56">
        <v>0.5</v>
      </c>
      <c r="N301" s="56"/>
      <c r="O301" s="57">
        <f>M301*Y280</f>
        <v>-0.000360390554960934</v>
      </c>
      <c r="P301" s="57"/>
      <c r="Q301" s="13" t="s">
        <v>245</v>
      </c>
    </row>
    <row r="302" ht="14" spans="1:17">
      <c r="A302" s="25" t="s">
        <v>238</v>
      </c>
      <c r="B302" s="35">
        <f>O281</f>
        <v>0</v>
      </c>
      <c r="C302" s="35">
        <f>P281</f>
        <v>0.0010953002214873</v>
      </c>
      <c r="D302" s="33">
        <f>MAX(0,C302+$O302)</f>
        <v>0.00152476175417692</v>
      </c>
      <c r="E302" s="33">
        <f>MAX(0,D302+$O302)</f>
        <v>0.00195422328686654</v>
      </c>
      <c r="F302" s="33">
        <f>MAX(0,E302+$O302)</f>
        <v>0.00238368481955616</v>
      </c>
      <c r="G302" s="33">
        <f>MAX(0,F302+$O302)</f>
        <v>0.00281314635224578</v>
      </c>
      <c r="H302" s="33">
        <f>MAX(0,G302+$O302)</f>
        <v>0.00324260788493541</v>
      </c>
      <c r="I302" s="33">
        <f>MAX(0,H302+$O302)</f>
        <v>0.00367206941762503</v>
      </c>
      <c r="J302" s="33">
        <f>MAX(0,I302+$O302)</f>
        <v>0.00410153095031465</v>
      </c>
      <c r="K302" s="33">
        <f>MAX(0,J302+$O302)</f>
        <v>0.00453099248300427</v>
      </c>
      <c r="L302" s="33">
        <f>MAX(0,K302+$O302)</f>
        <v>0.00496045401569389</v>
      </c>
      <c r="M302" s="56">
        <v>0.5</v>
      </c>
      <c r="N302" s="56"/>
      <c r="O302" s="57">
        <f>M302*Y281</f>
        <v>0.00042946153268962</v>
      </c>
      <c r="P302" s="57"/>
      <c r="Q302" s="13" t="s">
        <v>245</v>
      </c>
    </row>
    <row r="303" ht="14" spans="1:16">
      <c r="A303" s="25" t="s">
        <v>240</v>
      </c>
      <c r="B303" s="35">
        <f>O282</f>
        <v>0.0137785343043348</v>
      </c>
      <c r="C303" s="35">
        <f>P282</f>
        <v>0.0144151319315918</v>
      </c>
      <c r="D303" s="33">
        <f>MAX(0,C303+$O303)</f>
        <v>0.0129710058811993</v>
      </c>
      <c r="E303" s="33">
        <f>MAX(0,D303+$O303)</f>
        <v>0.0115268798308069</v>
      </c>
      <c r="F303" s="33">
        <f>MAX(0,E303+$O303)</f>
        <v>0.0100827537804144</v>
      </c>
      <c r="G303" s="33">
        <f>MAX(0,F303+$O303)</f>
        <v>0.00863862773002199</v>
      </c>
      <c r="H303" s="33">
        <f>MAX(0,G303+$O303)</f>
        <v>0.00719450167962955</v>
      </c>
      <c r="I303" s="33">
        <f>MAX(0,H303+$O303)</f>
        <v>0.0057503756292371</v>
      </c>
      <c r="J303" s="33">
        <f>MAX(0,I303+$O303)</f>
        <v>0.00430624957884466</v>
      </c>
      <c r="K303" s="33">
        <f>MAX(0,J303+$O303)</f>
        <v>0.00286212352845221</v>
      </c>
      <c r="L303" s="33">
        <f>MAX(0,K303+$O303)</f>
        <v>0.00141799747805977</v>
      </c>
      <c r="M303" s="56">
        <v>0.5</v>
      </c>
      <c r="N303" s="56"/>
      <c r="O303" s="57">
        <f>M303*Y282</f>
        <v>-0.00144412605039245</v>
      </c>
      <c r="P303" s="57"/>
    </row>
    <row r="304" ht="14" spans="1:16">
      <c r="A304" s="25" t="s">
        <v>241</v>
      </c>
      <c r="B304" s="35">
        <f>O283</f>
        <v>0.00202534143539516</v>
      </c>
      <c r="C304" s="35">
        <f>P283</f>
        <v>0.00182575320853181</v>
      </c>
      <c r="D304" s="33">
        <f>MAX(0,C304+$O304)</f>
        <v>0.00170554590709738</v>
      </c>
      <c r="E304" s="33">
        <f>MAX(0,D304+$O304)</f>
        <v>0.00158533860566294</v>
      </c>
      <c r="F304" s="33">
        <f>MAX(0,E304+$O304)</f>
        <v>0.0014651313042285</v>
      </c>
      <c r="G304" s="33">
        <f>MAX(0,F304+$O304)</f>
        <v>0.00134492400279406</v>
      </c>
      <c r="H304" s="33">
        <f>MAX(0,G304+$O304)</f>
        <v>0.00122471670135963</v>
      </c>
      <c r="I304" s="33">
        <f>MAX(0,H304+$O304)</f>
        <v>0.00110450939992519</v>
      </c>
      <c r="J304" s="33">
        <f>MAX(0,I304+$O304)</f>
        <v>0.000984302098490751</v>
      </c>
      <c r="K304" s="33">
        <f>MAX(0,J304+$O304)</f>
        <v>0.000864094797056314</v>
      </c>
      <c r="L304" s="33">
        <f>MAX(0,K304+$O304)</f>
        <v>0.000743887495621877</v>
      </c>
      <c r="M304" s="56">
        <v>0.5</v>
      </c>
      <c r="N304" s="56"/>
      <c r="O304" s="57">
        <f>M304*Y283</f>
        <v>-0.000120207301434437</v>
      </c>
      <c r="P304" s="57"/>
    </row>
    <row r="305" ht="14" spans="1:16">
      <c r="A305" s="25" t="s">
        <v>42</v>
      </c>
      <c r="B305" s="35">
        <f>O284</f>
        <v>0.00545163756646834</v>
      </c>
      <c r="C305" s="35">
        <f>P284</f>
        <v>0.0048532520201867</v>
      </c>
      <c r="D305" s="33">
        <f>MAX(0,C305+$O305)</f>
        <v>0.00430333746627617</v>
      </c>
      <c r="E305" s="33">
        <f>MAX(0,D305+$O305)</f>
        <v>0.00375342291236565</v>
      </c>
      <c r="F305" s="33">
        <f>MAX(0,E305+$O305)</f>
        <v>0.00320350835845513</v>
      </c>
      <c r="G305" s="33">
        <f>MAX(0,F305+$O305)</f>
        <v>0.00265359380454461</v>
      </c>
      <c r="H305" s="33">
        <f>MAX(0,G305+$O305)</f>
        <v>0.00210367925063409</v>
      </c>
      <c r="I305" s="33">
        <f>MAX(0,H305+$O305)</f>
        <v>0.00155376469672356</v>
      </c>
      <c r="J305" s="33">
        <f>MAX(0,I305+$O305)</f>
        <v>0.00100385014281304</v>
      </c>
      <c r="K305" s="33">
        <f>MAX(0,J305+$O305)</f>
        <v>0.000453935588902521</v>
      </c>
      <c r="L305" s="33">
        <f>MAX(0,K305+$O305)</f>
        <v>0</v>
      </c>
      <c r="M305" s="56">
        <v>0.5</v>
      </c>
      <c r="N305" s="56"/>
      <c r="O305" s="57">
        <f>M305*Y284</f>
        <v>-0.000549914553910522</v>
      </c>
      <c r="P305" s="57"/>
    </row>
    <row r="306" ht="14" spans="1:16">
      <c r="A306" s="25" t="s">
        <v>246</v>
      </c>
      <c r="B306" s="35">
        <f>O285</f>
        <v>0.0416642771030945</v>
      </c>
      <c r="C306" s="35">
        <f>P285</f>
        <v>0.0259420836564233</v>
      </c>
      <c r="D306" s="33">
        <f>MAX(0,C306+$O306)</f>
        <v>0.0176750473626557</v>
      </c>
      <c r="E306" s="33">
        <f>MAX(0,D306+$O306)</f>
        <v>0.00940801106888823</v>
      </c>
      <c r="F306" s="33">
        <f>MAX(0,E306+$O306)</f>
        <v>0.00114097477512071</v>
      </c>
      <c r="G306" s="33">
        <f>MAX(0,F306+$O306)</f>
        <v>0</v>
      </c>
      <c r="H306" s="33">
        <f>MAX(0,G306+$O306)</f>
        <v>0</v>
      </c>
      <c r="I306" s="33">
        <f>MAX(0,H306+$O306)</f>
        <v>0</v>
      </c>
      <c r="J306" s="33">
        <f>MAX(0,I306+$O306)</f>
        <v>0</v>
      </c>
      <c r="K306" s="33">
        <f>MAX(0,J306+$O306)</f>
        <v>0</v>
      </c>
      <c r="L306" s="33">
        <f>MAX(0,K306+$O306)</f>
        <v>0</v>
      </c>
      <c r="M306" s="56">
        <v>0.5</v>
      </c>
      <c r="N306" s="56"/>
      <c r="O306" s="57">
        <f>M306*Y285</f>
        <v>-0.00826703629376752</v>
      </c>
      <c r="P306" s="57"/>
    </row>
    <row r="307" s="5" customFormat="1" ht="14" spans="1:16">
      <c r="A307" s="15" t="s">
        <v>70</v>
      </c>
      <c r="B307" s="36"/>
      <c r="C307" s="36"/>
      <c r="D307" s="70">
        <f>SUM(D292:D306)-SUM(C292:C306)</f>
        <v>-0.0121800482433828</v>
      </c>
      <c r="E307" s="70">
        <f>SUM(E292:E306)-SUM(D292:D306)</f>
        <v>-0.0121800482433828</v>
      </c>
      <c r="F307" s="70">
        <f>SUM(F292:F306)-SUM(E292:E306)</f>
        <v>-0.0121800482433828</v>
      </c>
      <c r="G307" s="70">
        <f>SUM(G292:G306)-SUM(F292:F306)</f>
        <v>-0.00505398672473605</v>
      </c>
      <c r="H307" s="70">
        <f>SUM(H292:H306)-SUM(G292:G306)</f>
        <v>-0.00261504754441115</v>
      </c>
      <c r="I307" s="70">
        <f>SUM(I292:I306)-SUM(H292:H306)</f>
        <v>-0.00200129435935542</v>
      </c>
      <c r="J307" s="70">
        <f>SUM(J292:J306)-SUM(I292:I306)</f>
        <v>-0.00183928209460976</v>
      </c>
      <c r="K307" s="70">
        <f>SUM(K292:K306)-SUM(J292:J306)</f>
        <v>-0.00163457714402546</v>
      </c>
      <c r="L307" s="70">
        <f>SUM(L292:L306)-SUM(K292:K306)</f>
        <v>-0.00135638765042584</v>
      </c>
      <c r="M307" s="129"/>
      <c r="N307" s="129"/>
      <c r="O307" s="86"/>
      <c r="P307" s="86"/>
    </row>
    <row r="308" ht="14" spans="1:12">
      <c r="A308" s="5" t="s">
        <v>45</v>
      </c>
      <c r="D308" s="33"/>
      <c r="E308" s="33"/>
      <c r="F308" s="33"/>
      <c r="G308" s="33"/>
      <c r="H308" s="33"/>
      <c r="I308" s="33"/>
      <c r="J308" s="33"/>
      <c r="K308" s="33"/>
      <c r="L308" s="33"/>
    </row>
    <row r="309" ht="14" spans="1:13">
      <c r="A309" s="16" t="s">
        <v>2</v>
      </c>
      <c r="B309" s="37">
        <f>J270</f>
        <v>81067</v>
      </c>
      <c r="C309" s="37">
        <f>K270</f>
        <v>185093</v>
      </c>
      <c r="D309" s="125">
        <f>D291*D289</f>
        <v>245610.094321429</v>
      </c>
      <c r="E309" s="125">
        <f>E291*E289</f>
        <v>290130.07008474</v>
      </c>
      <c r="F309" s="125">
        <f>F291*F289</f>
        <v>329307.108803627</v>
      </c>
      <c r="G309" s="125">
        <f>G291*G289</f>
        <v>347462.263543448</v>
      </c>
      <c r="H309" s="125">
        <f>H291*H289</f>
        <v>355727.655008046</v>
      </c>
      <c r="I309" s="125">
        <f>I291*I289</f>
        <v>362776.371707211</v>
      </c>
      <c r="J309" s="125">
        <f>J291*J289</f>
        <v>368840.607365325</v>
      </c>
      <c r="K309" s="125">
        <f>K291*K289</f>
        <v>374436.025496657</v>
      </c>
      <c r="L309" s="125">
        <f>L291*L289</f>
        <v>378978.916826027</v>
      </c>
      <c r="M309" s="13" t="s">
        <v>72</v>
      </c>
    </row>
    <row r="310" ht="14" spans="1:12">
      <c r="A310" s="16"/>
      <c r="B310" s="37"/>
      <c r="C310" s="37"/>
      <c r="D310" s="125"/>
      <c r="E310" s="125"/>
      <c r="F310" s="125"/>
      <c r="G310" s="125"/>
      <c r="H310" s="125"/>
      <c r="I310" s="125"/>
      <c r="J310" s="125"/>
      <c r="K310" s="125"/>
      <c r="L310" s="125"/>
    </row>
    <row r="311" s="3" customFormat="1" ht="14.75" spans="1:1">
      <c r="A311" s="3" t="s">
        <v>73</v>
      </c>
    </row>
    <row r="312" s="4" customFormat="1" ht="46.5" customHeight="1" spans="1:25">
      <c r="A312" s="4" t="s">
        <v>3</v>
      </c>
      <c r="B312" s="4" t="s">
        <v>4</v>
      </c>
      <c r="C312" s="4" t="s">
        <v>5</v>
      </c>
      <c r="D312" s="4" t="s">
        <v>6</v>
      </c>
      <c r="E312" s="4" t="s">
        <v>7</v>
      </c>
      <c r="F312" s="4" t="s">
        <v>8</v>
      </c>
      <c r="G312" s="4" t="s">
        <v>9</v>
      </c>
      <c r="H312" s="4" t="s">
        <v>10</v>
      </c>
      <c r="I312" s="4" t="s">
        <v>11</v>
      </c>
      <c r="J312" s="4" t="s">
        <v>12</v>
      </c>
      <c r="K312" s="4" t="s">
        <v>13</v>
      </c>
      <c r="L312" s="4" t="s">
        <v>75</v>
      </c>
      <c r="M312" s="4" t="s">
        <v>76</v>
      </c>
      <c r="N312" s="4" t="s">
        <v>16</v>
      </c>
      <c r="O312" s="4" t="s">
        <v>17</v>
      </c>
      <c r="P312" s="4" t="s">
        <v>18</v>
      </c>
      <c r="Q312" s="4" t="s">
        <v>19</v>
      </c>
      <c r="R312" s="4" t="s">
        <v>247</v>
      </c>
      <c r="T312" s="4" t="s">
        <v>22</v>
      </c>
      <c r="U312" s="4" t="s">
        <v>23</v>
      </c>
      <c r="V312" s="4" t="s">
        <v>24</v>
      </c>
      <c r="W312" s="4" t="s">
        <v>25</v>
      </c>
      <c r="X312" s="4" t="s">
        <v>26</v>
      </c>
      <c r="Y312" s="4" t="s">
        <v>27</v>
      </c>
    </row>
    <row r="313" ht="14" spans="1:25">
      <c r="A313" s="117" t="s">
        <v>0</v>
      </c>
      <c r="B313" s="99" t="s">
        <v>73</v>
      </c>
      <c r="C313" s="99">
        <v>2017.7</v>
      </c>
      <c r="D313" s="119" t="s">
        <v>98</v>
      </c>
      <c r="E313" s="126" t="s">
        <v>193</v>
      </c>
      <c r="F313" s="25" t="s">
        <v>232</v>
      </c>
      <c r="G313" s="120" t="s">
        <v>31</v>
      </c>
      <c r="H313" s="127">
        <v>38490</v>
      </c>
      <c r="I313" s="119" t="s">
        <v>201</v>
      </c>
      <c r="J313" s="60">
        <v>88793</v>
      </c>
      <c r="K313" s="130">
        <v>151590</v>
      </c>
      <c r="L313" s="130">
        <v>90100</v>
      </c>
      <c r="M313" s="130">
        <v>138100</v>
      </c>
      <c r="N313" s="130">
        <v>195698</v>
      </c>
      <c r="O313" s="76">
        <v>0.113622103060335</v>
      </c>
      <c r="P313" s="76">
        <v>0.0847875952561895</v>
      </c>
      <c r="Q313" s="76">
        <v>0.149233707273363</v>
      </c>
      <c r="R313" s="76">
        <v>0.146238772653244</v>
      </c>
      <c r="S313" s="76"/>
      <c r="T313" s="76">
        <f>P313-O313</f>
        <v>-0.0288345078041456</v>
      </c>
      <c r="U313" s="76">
        <f>R313-P313</f>
        <v>0.0614511773970541</v>
      </c>
      <c r="V313" s="76">
        <f>R313-O313</f>
        <v>0.0326166695929086</v>
      </c>
      <c r="W313" s="68">
        <f>SUM(V314:V326)/1.75</f>
        <v>-0.0105244228237546</v>
      </c>
      <c r="X313" s="68">
        <f>Y313+W313</f>
        <v>0.00811367408647891</v>
      </c>
      <c r="Y313" s="54">
        <f>V313/1.75</f>
        <v>0.0186380969102335</v>
      </c>
    </row>
    <row r="314" ht="14" spans="1:25">
      <c r="A314" s="16" t="s">
        <v>113</v>
      </c>
      <c r="B314" s="81" t="s">
        <v>248</v>
      </c>
      <c r="C314" s="81"/>
      <c r="D314" s="16" t="s">
        <v>28</v>
      </c>
      <c r="E314" s="25" t="s">
        <v>193</v>
      </c>
      <c r="F314" s="25" t="s">
        <v>232</v>
      </c>
      <c r="G314" s="25" t="s">
        <v>35</v>
      </c>
      <c r="H314" s="63">
        <v>34700</v>
      </c>
      <c r="I314" s="21" t="s">
        <v>195</v>
      </c>
      <c r="J314" s="63">
        <v>15332</v>
      </c>
      <c r="K314" s="63">
        <v>8108</v>
      </c>
      <c r="L314" s="63">
        <v>4030</v>
      </c>
      <c r="M314" s="63">
        <v>5444</v>
      </c>
      <c r="O314" s="77">
        <v>0.010400322890275</v>
      </c>
      <c r="P314" s="77">
        <v>0.00565297115646069</v>
      </c>
      <c r="Q314" s="77">
        <v>0.00667493718436905</v>
      </c>
      <c r="R314" s="77">
        <v>0.00765232254455187</v>
      </c>
      <c r="S314" s="77"/>
      <c r="T314" s="77">
        <f>P314-O314</f>
        <v>-0.00474735173381428</v>
      </c>
      <c r="U314" s="76">
        <f>R314-P314</f>
        <v>0.00199935138809118</v>
      </c>
      <c r="V314" s="76">
        <f>R314-O314</f>
        <v>-0.0027480003457231</v>
      </c>
      <c r="W314" s="77"/>
      <c r="X314" s="77"/>
      <c r="Y314" s="54">
        <f>V314/1.75</f>
        <v>-0.00157028591184177</v>
      </c>
    </row>
    <row r="315" ht="14" spans="1:25">
      <c r="A315" s="16" t="s">
        <v>113</v>
      </c>
      <c r="B315" s="81" t="s">
        <v>196</v>
      </c>
      <c r="C315" s="81"/>
      <c r="D315" s="16" t="s">
        <v>28</v>
      </c>
      <c r="E315" s="25" t="s">
        <v>193</v>
      </c>
      <c r="F315" s="25" t="s">
        <v>232</v>
      </c>
      <c r="G315" s="25" t="s">
        <v>35</v>
      </c>
      <c r="H315" s="63">
        <v>41600</v>
      </c>
      <c r="I315" s="21" t="s">
        <v>46</v>
      </c>
      <c r="J315" s="63">
        <v>20597</v>
      </c>
      <c r="K315" s="131">
        <v>30815</v>
      </c>
      <c r="L315" s="124">
        <v>9144</v>
      </c>
      <c r="M315" s="124">
        <v>18124</v>
      </c>
      <c r="N315" s="124">
        <v>26161</v>
      </c>
      <c r="O315" s="77">
        <v>0.0139717878013953</v>
      </c>
      <c r="P315" s="77">
        <v>0.0214844975562822</v>
      </c>
      <c r="Q315" s="77">
        <v>0.0151453165294964</v>
      </c>
      <c r="R315" s="77">
        <v>0.0191921181431382</v>
      </c>
      <c r="S315" s="77"/>
      <c r="T315" s="77">
        <f>P315-O315</f>
        <v>0.00751270975488686</v>
      </c>
      <c r="U315" s="76">
        <f>R315-P315</f>
        <v>-0.00229237941314399</v>
      </c>
      <c r="V315" s="76">
        <f>R315-O315</f>
        <v>0.00522033034174287</v>
      </c>
      <c r="W315" s="77"/>
      <c r="X315" s="77"/>
      <c r="Y315" s="54">
        <f>V315/1.75</f>
        <v>0.00298304590956735</v>
      </c>
    </row>
    <row r="316" ht="14" spans="1:25">
      <c r="A316" s="16" t="s">
        <v>107</v>
      </c>
      <c r="B316" s="81" t="s">
        <v>208</v>
      </c>
      <c r="C316" s="81"/>
      <c r="D316" s="16" t="s">
        <v>28</v>
      </c>
      <c r="E316" s="25" t="s">
        <v>193</v>
      </c>
      <c r="F316" s="25" t="s">
        <v>232</v>
      </c>
      <c r="G316" s="25" t="s">
        <v>35</v>
      </c>
      <c r="H316" s="63">
        <v>41250</v>
      </c>
      <c r="I316" s="21" t="s">
        <v>46</v>
      </c>
      <c r="J316" s="63">
        <v>41442</v>
      </c>
      <c r="K316" s="131">
        <v>49461</v>
      </c>
      <c r="L316" s="124">
        <v>14330</v>
      </c>
      <c r="M316" s="124">
        <v>19667</v>
      </c>
      <c r="N316" s="124">
        <v>30400</v>
      </c>
      <c r="O316" s="77">
        <v>0.0281118041494114</v>
      </c>
      <c r="P316" s="77">
        <v>0.0344846579143688</v>
      </c>
      <c r="Q316" s="77">
        <v>0.023734950335486</v>
      </c>
      <c r="R316" s="77">
        <v>0.0208260531627179</v>
      </c>
      <c r="S316" s="77"/>
      <c r="T316" s="77">
        <f>P316-O316</f>
        <v>0.00637285376495741</v>
      </c>
      <c r="U316" s="76">
        <f>R316-P316</f>
        <v>-0.0136586047516509</v>
      </c>
      <c r="V316" s="76">
        <f>R316-O316</f>
        <v>-0.00728575098669347</v>
      </c>
      <c r="W316" s="77"/>
      <c r="X316" s="77"/>
      <c r="Y316" s="54">
        <f>V316/1.75</f>
        <v>-0.00416328627811055</v>
      </c>
    </row>
    <row r="317" ht="14" spans="1:25">
      <c r="A317" s="24" t="s">
        <v>249</v>
      </c>
      <c r="B317" s="25" t="s">
        <v>250</v>
      </c>
      <c r="C317" s="25"/>
      <c r="D317" s="121" t="s">
        <v>28</v>
      </c>
      <c r="E317" s="25" t="s">
        <v>193</v>
      </c>
      <c r="F317" s="25" t="s">
        <v>232</v>
      </c>
      <c r="G317" s="25" t="s">
        <v>35</v>
      </c>
      <c r="H317" s="63">
        <v>39750</v>
      </c>
      <c r="I317" s="21" t="s">
        <v>201</v>
      </c>
      <c r="J317" s="63">
        <v>8203</v>
      </c>
      <c r="K317" s="124">
        <v>7634</v>
      </c>
      <c r="L317" s="124">
        <v>2324</v>
      </c>
      <c r="M317" s="124">
        <v>3662</v>
      </c>
      <c r="N317" s="124">
        <v>5091</v>
      </c>
      <c r="O317" s="77">
        <v>0.00556443051584435</v>
      </c>
      <c r="P317" s="77">
        <v>0.00532249405629266</v>
      </c>
      <c r="Q317" s="77">
        <v>0.00384926898671803</v>
      </c>
      <c r="R317" s="77">
        <v>0.00387781596999405</v>
      </c>
      <c r="S317" s="77"/>
      <c r="T317" s="77">
        <f>P317-O317</f>
        <v>-0.000241936459551687</v>
      </c>
      <c r="U317" s="76">
        <f>R317-P317</f>
        <v>-0.00144467808629861</v>
      </c>
      <c r="V317" s="76">
        <f>R317-O317</f>
        <v>-0.0016866145458503</v>
      </c>
      <c r="W317" s="77"/>
      <c r="X317" s="77"/>
      <c r="Y317" s="54">
        <f>V317/1.75</f>
        <v>-0.000963779740485885</v>
      </c>
    </row>
    <row r="318" ht="14" spans="1:25">
      <c r="A318" s="24" t="s">
        <v>101</v>
      </c>
      <c r="B318" s="25" t="s">
        <v>251</v>
      </c>
      <c r="C318" s="25"/>
      <c r="D318" s="16" t="s">
        <v>28</v>
      </c>
      <c r="E318" s="25" t="s">
        <v>193</v>
      </c>
      <c r="F318" s="25" t="s">
        <v>232</v>
      </c>
      <c r="G318" s="25" t="s">
        <v>35</v>
      </c>
      <c r="H318" s="63">
        <v>39100</v>
      </c>
      <c r="I318" s="21" t="s">
        <v>201</v>
      </c>
      <c r="J318" s="63">
        <v>18342</v>
      </c>
      <c r="K318" s="131">
        <v>16263</v>
      </c>
      <c r="L318" s="124">
        <v>7283</v>
      </c>
      <c r="M318" s="124">
        <v>10825</v>
      </c>
      <c r="N318" s="124">
        <v>15239</v>
      </c>
      <c r="O318" s="77">
        <v>0.012442129040792</v>
      </c>
      <c r="P318" s="77">
        <v>0.0113387111393093</v>
      </c>
      <c r="Q318" s="77">
        <v>0.0120629199786004</v>
      </c>
      <c r="R318" s="77">
        <v>0.0114629595508426</v>
      </c>
      <c r="S318" s="77"/>
      <c r="T318" s="77">
        <f>P318-O318</f>
        <v>-0.00110341790148269</v>
      </c>
      <c r="U318" s="76">
        <f>R318-P318</f>
        <v>0.000124248411533249</v>
      </c>
      <c r="V318" s="76">
        <f>R318-O318</f>
        <v>-0.000979169489949437</v>
      </c>
      <c r="W318" s="77"/>
      <c r="X318" s="77"/>
      <c r="Y318" s="54">
        <f>V318/1.75</f>
        <v>-0.00055952542282825</v>
      </c>
    </row>
    <row r="319" ht="14" spans="1:25">
      <c r="A319" s="24" t="s">
        <v>101</v>
      </c>
      <c r="B319" s="25" t="s">
        <v>252</v>
      </c>
      <c r="C319" s="25"/>
      <c r="D319" s="16" t="s">
        <v>28</v>
      </c>
      <c r="E319" s="25" t="s">
        <v>193</v>
      </c>
      <c r="F319" s="25" t="s">
        <v>232</v>
      </c>
      <c r="G319" s="25" t="s">
        <v>35</v>
      </c>
      <c r="H319" s="63">
        <v>34295</v>
      </c>
      <c r="I319" s="21" t="s">
        <v>195</v>
      </c>
      <c r="J319" s="63">
        <v>9937</v>
      </c>
      <c r="K319" s="63">
        <v>2390</v>
      </c>
      <c r="L319" s="63">
        <v>5302</v>
      </c>
      <c r="M319" s="63">
        <v>7038</v>
      </c>
      <c r="N319" s="92">
        <v>11349</v>
      </c>
      <c r="O319" s="77">
        <v>0.00674067366036149</v>
      </c>
      <c r="P319" s="77">
        <v>0.00166632968228183</v>
      </c>
      <c r="Q319" s="77">
        <v>0.00878176599293417</v>
      </c>
      <c r="R319" s="77">
        <v>0.00989291808753785</v>
      </c>
      <c r="S319" s="77"/>
      <c r="T319" s="77">
        <f>P319-O319</f>
        <v>-0.00507434397807966</v>
      </c>
      <c r="U319" s="76">
        <f>R319-P319</f>
        <v>0.00822658840525602</v>
      </c>
      <c r="V319" s="76">
        <f>R319-O319</f>
        <v>0.00315224442717636</v>
      </c>
      <c r="W319" s="77"/>
      <c r="X319" s="77"/>
      <c r="Y319" s="54">
        <f>V319/1.75</f>
        <v>0.00180128252981506</v>
      </c>
    </row>
    <row r="320" ht="14" spans="1:25">
      <c r="A320" s="16" t="s">
        <v>113</v>
      </c>
      <c r="B320" s="25" t="s">
        <v>253</v>
      </c>
      <c r="C320" s="25"/>
      <c r="D320" s="16" t="s">
        <v>28</v>
      </c>
      <c r="E320" s="25" t="s">
        <v>193</v>
      </c>
      <c r="F320" s="25" t="s">
        <v>232</v>
      </c>
      <c r="G320" s="25" t="s">
        <v>35</v>
      </c>
      <c r="H320" s="63">
        <v>38900</v>
      </c>
      <c r="I320" s="21" t="s">
        <v>201</v>
      </c>
      <c r="J320" s="63">
        <v>10997</v>
      </c>
      <c r="K320" s="63">
        <v>6822</v>
      </c>
      <c r="L320" s="63">
        <v>3004</v>
      </c>
      <c r="M320" s="63">
        <v>5310</v>
      </c>
      <c r="N320" s="63">
        <v>8766</v>
      </c>
      <c r="O320" s="77">
        <v>0.00745971502898212</v>
      </c>
      <c r="P320" s="77">
        <v>0.00475636028976009</v>
      </c>
      <c r="Q320" s="77">
        <v>0.00497556111708304</v>
      </c>
      <c r="R320" s="77">
        <v>0.00746396633202983</v>
      </c>
      <c r="S320" s="77"/>
      <c r="T320" s="77">
        <f>P320-O320</f>
        <v>-0.00270335473922203</v>
      </c>
      <c r="U320" s="76">
        <f>R320-P320</f>
        <v>0.00270760604226974</v>
      </c>
      <c r="V320" s="76">
        <f>R320-O320</f>
        <v>4.25130304771738e-6</v>
      </c>
      <c r="W320" s="77"/>
      <c r="X320" s="77"/>
      <c r="Y320" s="54">
        <f>V320/1.75</f>
        <v>2.42931602726708e-6</v>
      </c>
    </row>
    <row r="321" ht="14" spans="1:25">
      <c r="A321" s="24" t="s">
        <v>81</v>
      </c>
      <c r="B321" s="25" t="s">
        <v>82</v>
      </c>
      <c r="C321" s="25"/>
      <c r="D321" s="121" t="s">
        <v>28</v>
      </c>
      <c r="E321" s="25" t="s">
        <v>193</v>
      </c>
      <c r="F321" s="25" t="s">
        <v>232</v>
      </c>
      <c r="G321" s="25" t="s">
        <v>35</v>
      </c>
      <c r="H321" s="63">
        <v>38950</v>
      </c>
      <c r="I321" s="21" t="s">
        <v>201</v>
      </c>
      <c r="J321" s="63">
        <v>11946</v>
      </c>
      <c r="K321" s="124">
        <v>10550</v>
      </c>
      <c r="L321" s="124">
        <v>4004</v>
      </c>
      <c r="M321" s="124">
        <v>5521</v>
      </c>
      <c r="N321" s="124">
        <v>7536</v>
      </c>
      <c r="O321" s="77">
        <v>0.00810346055617171</v>
      </c>
      <c r="P321" s="77">
        <v>0.0073555557104909</v>
      </c>
      <c r="Q321" s="77">
        <v>0.00663187307350216</v>
      </c>
      <c r="R321" s="77">
        <v>0.00584637410440665</v>
      </c>
      <c r="S321" s="77"/>
      <c r="T321" s="77">
        <f>P321-O321</f>
        <v>-0.00074790484568081</v>
      </c>
      <c r="U321" s="76">
        <f>R321-P321</f>
        <v>-0.00150918160608426</v>
      </c>
      <c r="V321" s="76">
        <f>R321-O321</f>
        <v>-0.00225708645176507</v>
      </c>
      <c r="W321" s="77"/>
      <c r="X321" s="77"/>
      <c r="Y321" s="54">
        <f>V321/1.75</f>
        <v>-0.0012897636867229</v>
      </c>
    </row>
    <row r="322" ht="14" spans="1:25">
      <c r="A322" s="24" t="s">
        <v>234</v>
      </c>
      <c r="B322" s="25" t="s">
        <v>254</v>
      </c>
      <c r="C322" s="25"/>
      <c r="D322" s="121" t="s">
        <v>28</v>
      </c>
      <c r="E322" s="25" t="s">
        <v>193</v>
      </c>
      <c r="F322" s="25" t="s">
        <v>232</v>
      </c>
      <c r="G322" s="25" t="s">
        <v>35</v>
      </c>
      <c r="H322" s="63">
        <v>40950</v>
      </c>
      <c r="I322" s="21" t="s">
        <v>46</v>
      </c>
      <c r="J322" s="63">
        <v>1686</v>
      </c>
      <c r="K322" s="124">
        <v>272</v>
      </c>
      <c r="L322" s="124">
        <v>10</v>
      </c>
      <c r="M322" s="124">
        <v>10</v>
      </c>
      <c r="N322" s="124">
        <v>10</v>
      </c>
      <c r="O322" s="77">
        <v>0.00114368278065507</v>
      </c>
      <c r="P322" s="77">
        <v>0.000189640867606969</v>
      </c>
      <c r="Q322" s="77">
        <v>1.65631195641912e-5</v>
      </c>
      <c r="R322" s="77">
        <v>1.05893390769908e-5</v>
      </c>
      <c r="S322" s="77"/>
      <c r="T322" s="77">
        <f>P322-O322</f>
        <v>-0.000954041913048105</v>
      </c>
      <c r="U322" s="76">
        <f>R322-P322</f>
        <v>-0.000179051528529978</v>
      </c>
      <c r="V322" s="76">
        <f>R322-O322</f>
        <v>-0.00113309344157808</v>
      </c>
      <c r="W322" s="77"/>
      <c r="X322" s="77"/>
      <c r="Y322" s="54">
        <f>V322/1.75</f>
        <v>-0.000647481966616047</v>
      </c>
    </row>
    <row r="323" ht="14" spans="1:25">
      <c r="A323" s="24" t="s">
        <v>255</v>
      </c>
      <c r="B323" s="25" t="s">
        <v>256</v>
      </c>
      <c r="C323" s="25"/>
      <c r="D323" s="121" t="s">
        <v>28</v>
      </c>
      <c r="E323" s="25" t="s">
        <v>193</v>
      </c>
      <c r="F323" s="25" t="s">
        <v>232</v>
      </c>
      <c r="G323" s="25" t="s">
        <v>257</v>
      </c>
      <c r="H323" s="63">
        <v>36700</v>
      </c>
      <c r="I323" s="21" t="s">
        <v>83</v>
      </c>
      <c r="J323" s="63">
        <v>13894</v>
      </c>
      <c r="K323" s="124">
        <v>16533</v>
      </c>
      <c r="L323" s="124">
        <v>3717</v>
      </c>
      <c r="M323" s="124">
        <v>4230</v>
      </c>
      <c r="N323" s="124">
        <v>4780</v>
      </c>
      <c r="O323" s="77">
        <v>0.00942486865624057</v>
      </c>
      <c r="P323" s="77">
        <v>0.0115269575887721</v>
      </c>
      <c r="Q323" s="77">
        <v>0.00615651154200987</v>
      </c>
      <c r="R323" s="77">
        <v>0.00447929042956713</v>
      </c>
      <c r="S323" s="77"/>
      <c r="T323" s="77">
        <f>P323-O323</f>
        <v>0.00210208893253158</v>
      </c>
      <c r="U323" s="76">
        <f>R323-P323</f>
        <v>-0.00704766715920502</v>
      </c>
      <c r="V323" s="76">
        <f>R323-O323</f>
        <v>-0.00494557822667344</v>
      </c>
      <c r="W323" s="77"/>
      <c r="X323" s="77"/>
      <c r="Y323" s="54">
        <f>V323/1.75</f>
        <v>-0.00282604470095625</v>
      </c>
    </row>
    <row r="324" ht="14" spans="1:25">
      <c r="A324" s="24" t="s">
        <v>255</v>
      </c>
      <c r="B324" s="25" t="s">
        <v>258</v>
      </c>
      <c r="C324" s="25"/>
      <c r="D324" s="121" t="s">
        <v>28</v>
      </c>
      <c r="E324" s="25" t="s">
        <v>193</v>
      </c>
      <c r="F324" s="25" t="s">
        <v>232</v>
      </c>
      <c r="G324" s="25" t="s">
        <v>35</v>
      </c>
      <c r="H324" s="63">
        <v>41750</v>
      </c>
      <c r="I324" s="21" t="s">
        <v>46</v>
      </c>
      <c r="J324" s="63">
        <v>2793</v>
      </c>
      <c r="K324" s="63">
        <v>2729</v>
      </c>
      <c r="L324" s="63">
        <v>1403</v>
      </c>
      <c r="M324" s="63">
        <v>1641</v>
      </c>
      <c r="N324" s="63">
        <v>1846</v>
      </c>
      <c r="O324" s="77">
        <v>0.00189460617222397</v>
      </c>
      <c r="P324" s="77">
        <v>0.00190268355771845</v>
      </c>
      <c r="Q324" s="77">
        <v>0.00232380567485603</v>
      </c>
      <c r="R324" s="77">
        <v>0.0017377105425342</v>
      </c>
      <c r="S324" s="77"/>
      <c r="T324" s="77">
        <f>P324-O324</f>
        <v>8.07738549447857e-6</v>
      </c>
      <c r="U324" s="76">
        <f>R324-P324</f>
        <v>-0.000164973015184255</v>
      </c>
      <c r="V324" s="76">
        <f>R324-O324</f>
        <v>-0.000156895629689776</v>
      </c>
      <c r="W324" s="77"/>
      <c r="X324" s="77"/>
      <c r="Y324" s="54">
        <f>V324/1.75</f>
        <v>-8.9654645537015e-5</v>
      </c>
    </row>
    <row r="325" ht="14" spans="1:25">
      <c r="A325" s="24" t="s">
        <v>239</v>
      </c>
      <c r="B325" s="25" t="s">
        <v>259</v>
      </c>
      <c r="C325" s="25"/>
      <c r="D325" s="121" t="s">
        <v>28</v>
      </c>
      <c r="E325" s="25" t="s">
        <v>193</v>
      </c>
      <c r="F325" s="25" t="s">
        <v>232</v>
      </c>
      <c r="G325" s="25" t="s">
        <v>35</v>
      </c>
      <c r="H325" s="63">
        <v>37500</v>
      </c>
      <c r="I325" s="21" t="s">
        <v>83</v>
      </c>
      <c r="J325" s="63">
        <v>21785</v>
      </c>
      <c r="K325" s="124">
        <v>26100</v>
      </c>
      <c r="L325" s="124">
        <v>7122</v>
      </c>
      <c r="M325" s="124">
        <v>9154</v>
      </c>
      <c r="N325" s="124">
        <v>11508</v>
      </c>
      <c r="O325" s="77">
        <v>0.0147776568069815</v>
      </c>
      <c r="P325" s="77">
        <v>0.018197156781404</v>
      </c>
      <c r="Q325" s="77">
        <v>0.011796253753617</v>
      </c>
      <c r="R325" s="77">
        <v>0.00969348099107742</v>
      </c>
      <c r="S325" s="77"/>
      <c r="T325" s="77">
        <f>P325-O325</f>
        <v>0.00341949997442256</v>
      </c>
      <c r="U325" s="76">
        <f>R325-P325</f>
        <v>-0.00850367579032662</v>
      </c>
      <c r="V325" s="76">
        <f>R325-O325</f>
        <v>-0.00508417581590406</v>
      </c>
      <c r="W325" s="77"/>
      <c r="X325" s="77"/>
      <c r="Y325" s="54">
        <f>V325/1.75</f>
        <v>-0.00290524332337375</v>
      </c>
    </row>
    <row r="326" ht="14" spans="1:25">
      <c r="A326" s="24" t="s">
        <v>260</v>
      </c>
      <c r="B326" s="25" t="s">
        <v>261</v>
      </c>
      <c r="C326" s="25"/>
      <c r="D326" s="121" t="s">
        <v>28</v>
      </c>
      <c r="E326" s="25" t="s">
        <v>193</v>
      </c>
      <c r="F326" s="25" t="s">
        <v>232</v>
      </c>
      <c r="G326" s="25" t="s">
        <v>35</v>
      </c>
      <c r="H326" s="63">
        <v>43295</v>
      </c>
      <c r="I326" s="21" t="s">
        <v>32</v>
      </c>
      <c r="J326" s="63">
        <v>3808</v>
      </c>
      <c r="K326" s="63">
        <v>2987</v>
      </c>
      <c r="L326" s="63">
        <v>1386</v>
      </c>
      <c r="M326" s="63">
        <v>1950</v>
      </c>
      <c r="N326" s="63">
        <v>2648</v>
      </c>
      <c r="O326" s="77">
        <v>0.00258312219972392</v>
      </c>
      <c r="P326" s="77">
        <v>0.00208256349831624</v>
      </c>
      <c r="Q326" s="77">
        <v>0.0022956483715969</v>
      </c>
      <c r="R326" s="77">
        <v>0.00206492112001322</v>
      </c>
      <c r="S326" s="77"/>
      <c r="T326" s="77">
        <f>P326-O326</f>
        <v>-0.000500558701407675</v>
      </c>
      <c r="U326" s="76">
        <f>R326-P326</f>
        <v>-1.76423783030248e-5</v>
      </c>
      <c r="V326" s="76">
        <f>R326-O326</f>
        <v>-0.0005182010797107</v>
      </c>
      <c r="W326" s="77"/>
      <c r="X326" s="77"/>
      <c r="Y326" s="54">
        <f>V326/1.75</f>
        <v>-0.000296114902691828</v>
      </c>
    </row>
    <row r="327" ht="14" spans="1:25">
      <c r="A327" s="13" t="s">
        <v>52</v>
      </c>
      <c r="J327" s="39">
        <f>SUM(J313:J326)</f>
        <v>269555</v>
      </c>
      <c r="K327" s="39">
        <f>SUM(K313:K326)</f>
        <v>332254</v>
      </c>
      <c r="L327" s="39">
        <f>SUM(L313:L326)</f>
        <v>153159</v>
      </c>
      <c r="M327" s="39">
        <f>SUM(M313:M326)</f>
        <v>230676</v>
      </c>
      <c r="N327" s="39"/>
      <c r="O327" s="54">
        <f>SUM(O313:O326)</f>
        <v>0.236240363319393</v>
      </c>
      <c r="P327" s="54">
        <f>SUM(P313:P326)</f>
        <v>0.210748175055254</v>
      </c>
      <c r="Q327" s="54">
        <f>SUM(Q313:Q326)</f>
        <v>0.253679082933196</v>
      </c>
      <c r="R327" s="54">
        <f>SUM(R313:R326)</f>
        <v>0.250439292970731</v>
      </c>
      <c r="S327" s="54"/>
      <c r="T327" s="54"/>
      <c r="U327" s="54"/>
      <c r="V327" s="54"/>
      <c r="W327" s="54"/>
      <c r="X327" s="54"/>
      <c r="Y327" s="54"/>
    </row>
    <row r="328" ht="14" spans="1:1">
      <c r="A328" s="5" t="s">
        <v>53</v>
      </c>
    </row>
    <row r="329" s="7" customFormat="1" ht="14" spans="1:15">
      <c r="A329" s="7" t="s">
        <v>262</v>
      </c>
      <c r="B329" s="7">
        <v>2020</v>
      </c>
      <c r="C329" s="7">
        <v>2021</v>
      </c>
      <c r="D329" s="27" t="s">
        <v>124</v>
      </c>
      <c r="E329" s="7" t="s">
        <v>55</v>
      </c>
      <c r="F329" s="7" t="s">
        <v>56</v>
      </c>
      <c r="G329" s="7" t="s">
        <v>57</v>
      </c>
      <c r="H329" s="7" t="s">
        <v>58</v>
      </c>
      <c r="I329" s="7" t="s">
        <v>59</v>
      </c>
      <c r="J329" s="7" t="s">
        <v>60</v>
      </c>
      <c r="K329" s="7" t="s">
        <v>61</v>
      </c>
      <c r="L329" s="7" t="s">
        <v>62</v>
      </c>
      <c r="M329" s="7" t="s">
        <v>64</v>
      </c>
      <c r="O329" s="7" t="s">
        <v>65</v>
      </c>
    </row>
    <row r="330" ht="14" spans="1:15">
      <c r="A330" s="13" t="s">
        <v>66</v>
      </c>
      <c r="B330" s="124">
        <v>1520002</v>
      </c>
      <c r="C330" s="124">
        <v>1357316</v>
      </c>
      <c r="D330" s="30">
        <f>AVERAGE(B330:C330)</f>
        <v>1438659</v>
      </c>
      <c r="E330" s="30">
        <f>AVERAGE(C330:D330)</f>
        <v>1397987.5</v>
      </c>
      <c r="F330" s="30">
        <f>AVERAGE(D330:E330)</f>
        <v>1418323.25</v>
      </c>
      <c r="G330" s="30">
        <f>AVERAGE(E330:F330)</f>
        <v>1408155.375</v>
      </c>
      <c r="H330" s="30">
        <f>AVERAGE(F330:G330)</f>
        <v>1413239.3125</v>
      </c>
      <c r="I330" s="30">
        <f>AVERAGE(G330:H330)</f>
        <v>1410697.34375</v>
      </c>
      <c r="J330" s="30">
        <f>AVERAGE(H330:I330)</f>
        <v>1411968.328125</v>
      </c>
      <c r="K330" s="30">
        <f>AVERAGE(I330:J330)</f>
        <v>1411332.8359375</v>
      </c>
      <c r="L330" s="30">
        <f>AVERAGE(J330:K330)</f>
        <v>1411650.58203125</v>
      </c>
      <c r="O330" s="13" t="s">
        <v>67</v>
      </c>
    </row>
    <row r="331" ht="14" spans="1:1">
      <c r="A331" s="5" t="s">
        <v>68</v>
      </c>
    </row>
    <row r="332" ht="14" spans="1:16">
      <c r="A332" s="25" t="s">
        <v>73</v>
      </c>
      <c r="B332" s="35">
        <f>O313</f>
        <v>0.113622103060335</v>
      </c>
      <c r="C332" s="35">
        <f>P313</f>
        <v>0.0847875952561895</v>
      </c>
      <c r="D332" s="95">
        <f>R313+Y313/4</f>
        <v>0.150898296880802</v>
      </c>
      <c r="E332" s="95">
        <f>D332-E346</f>
        <v>0.162181979351695</v>
      </c>
      <c r="F332" s="95">
        <f>E332-F346</f>
        <v>0.173465661822589</v>
      </c>
      <c r="G332" s="95">
        <f>F332-G346</f>
        <v>0.184121171802576</v>
      </c>
      <c r="H332" s="95">
        <f>G332-H346</f>
        <v>0.191655209150762</v>
      </c>
      <c r="I332" s="95">
        <f>H332-I346</f>
        <v>0.197784131553417</v>
      </c>
      <c r="J332" s="95">
        <f>I332-J346</f>
        <v>0.20036317484312</v>
      </c>
      <c r="K332" s="95">
        <f>J332-K346</f>
        <v>0.201890165568444</v>
      </c>
      <c r="L332" s="95">
        <f>K332-L346</f>
        <v>0.200422478525667</v>
      </c>
      <c r="M332" s="56"/>
      <c r="N332" s="56"/>
      <c r="O332" s="33">
        <f>-SUM(O333:O345)+X313</f>
        <v>0.0200448385239885</v>
      </c>
      <c r="P332" s="33"/>
    </row>
    <row r="333" ht="14" spans="1:16">
      <c r="A333" s="81" t="s">
        <v>248</v>
      </c>
      <c r="B333" s="35">
        <f>O314</f>
        <v>0.010400322890275</v>
      </c>
      <c r="C333" s="35">
        <f>P314</f>
        <v>0.00565297115646069</v>
      </c>
      <c r="D333" s="33">
        <f>MAX(0,C333+$O333)</f>
        <v>0.00408268524461892</v>
      </c>
      <c r="E333" s="33">
        <f>MAX(0,D333+$O333)</f>
        <v>0.00251239933277715</v>
      </c>
      <c r="F333" s="33">
        <f>MAX(0,E333+$O333)</f>
        <v>0.000942113420935377</v>
      </c>
      <c r="G333" s="33">
        <f>MAX(0,F333+$O333)</f>
        <v>0</v>
      </c>
      <c r="H333" s="33">
        <f>MAX(0,G333+$O333)</f>
        <v>0</v>
      </c>
      <c r="I333" s="33">
        <f>MAX(0,H333+$O333)</f>
        <v>0</v>
      </c>
      <c r="J333" s="33">
        <f>MAX(0,I333+$O333)</f>
        <v>0</v>
      </c>
      <c r="K333" s="33">
        <f>MAX(0,J333+$O333)</f>
        <v>0</v>
      </c>
      <c r="L333" s="33">
        <f>MAX(0,K333+$O333)</f>
        <v>0</v>
      </c>
      <c r="M333" s="56">
        <v>1</v>
      </c>
      <c r="N333" s="56"/>
      <c r="O333" s="57">
        <f>M333*Y314</f>
        <v>-0.00157028591184177</v>
      </c>
      <c r="P333" s="57"/>
    </row>
    <row r="334" ht="14" spans="1:17">
      <c r="A334" s="81" t="s">
        <v>196</v>
      </c>
      <c r="B334" s="35">
        <f>O315</f>
        <v>0.0139717878013953</v>
      </c>
      <c r="C334" s="35">
        <f>P315</f>
        <v>0.0214844975562822</v>
      </c>
      <c r="D334" s="33">
        <f>MAX(0,C334+$O334)</f>
        <v>0.0229760205110659</v>
      </c>
      <c r="E334" s="33">
        <f>MAX(0,D334+$O334)</f>
        <v>0.0244675434658496</v>
      </c>
      <c r="F334" s="33">
        <f>MAX(0,E334+$O334)</f>
        <v>0.0259590664206332</v>
      </c>
      <c r="G334" s="33">
        <f>MAX(0,F334+$O334)</f>
        <v>0.0274505893754169</v>
      </c>
      <c r="H334" s="33">
        <f>MAX(0,G334+$O334)</f>
        <v>0.0289421123302006</v>
      </c>
      <c r="I334" s="33">
        <f>MAX(0,H334+$O334)</f>
        <v>0.0304336352849843</v>
      </c>
      <c r="J334" s="33">
        <f>MAX(0,I334+$O334)</f>
        <v>0.0319251582397679</v>
      </c>
      <c r="K334" s="33">
        <f>MAX(0,J334+$O334)</f>
        <v>0.0334166811945516</v>
      </c>
      <c r="L334" s="33">
        <f>MAX(0,K334+$O334)</f>
        <v>0.0349082041493353</v>
      </c>
      <c r="M334" s="56">
        <v>0.5</v>
      </c>
      <c r="N334" s="56"/>
      <c r="O334" s="57">
        <f>M334*Y315</f>
        <v>0.00149152295478368</v>
      </c>
      <c r="P334" s="57"/>
      <c r="Q334" s="13" t="s">
        <v>245</v>
      </c>
    </row>
    <row r="335" ht="14" spans="1:16">
      <c r="A335" s="81" t="s">
        <v>208</v>
      </c>
      <c r="B335" s="35">
        <f>O316</f>
        <v>0.0281118041494114</v>
      </c>
      <c r="C335" s="35">
        <f>P316</f>
        <v>0.0344846579143688</v>
      </c>
      <c r="D335" s="33">
        <f>MAX(0,C335+$O335)</f>
        <v>0.0303213716362582</v>
      </c>
      <c r="E335" s="33">
        <f>MAX(0,D335+$O335)</f>
        <v>0.0261580853581477</v>
      </c>
      <c r="F335" s="33">
        <f>MAX(0,E335+$O335)</f>
        <v>0.0219947990800371</v>
      </c>
      <c r="G335" s="33">
        <f>MAX(0,F335+$O335)</f>
        <v>0.0178315128019266</v>
      </c>
      <c r="H335" s="33">
        <f>MAX(0,G335+$O335)</f>
        <v>0.013668226523816</v>
      </c>
      <c r="I335" s="33">
        <f>MAX(0,H335+$O335)</f>
        <v>0.00950494024570548</v>
      </c>
      <c r="J335" s="33">
        <f>MAX(0,I335+$O335)</f>
        <v>0.00534165396759492</v>
      </c>
      <c r="K335" s="33">
        <f>MAX(0,J335+$O335)</f>
        <v>0.00117836768948437</v>
      </c>
      <c r="L335" s="33">
        <f>MAX(0,K335+$O335)</f>
        <v>0</v>
      </c>
      <c r="M335" s="56">
        <v>1</v>
      </c>
      <c r="N335" s="56"/>
      <c r="O335" s="57">
        <f>M335*Y316</f>
        <v>-0.00416328627811055</v>
      </c>
      <c r="P335" s="57"/>
    </row>
    <row r="336" ht="14" spans="1:16">
      <c r="A336" s="25" t="s">
        <v>250</v>
      </c>
      <c r="B336" s="35">
        <f>O317</f>
        <v>0.00556443051584435</v>
      </c>
      <c r="C336" s="35">
        <f>P317</f>
        <v>0.00532249405629266</v>
      </c>
      <c r="D336" s="33">
        <f>MAX(0,C336+$O336)</f>
        <v>0.00435871431580678</v>
      </c>
      <c r="E336" s="33">
        <f>MAX(0,D336+$O336)</f>
        <v>0.00339493457532089</v>
      </c>
      <c r="F336" s="33">
        <f>MAX(0,E336+$O336)</f>
        <v>0.00243115483483501</v>
      </c>
      <c r="G336" s="33">
        <f>MAX(0,F336+$O336)</f>
        <v>0.00146737509434912</v>
      </c>
      <c r="H336" s="33">
        <f>MAX(0,G336+$O336)</f>
        <v>0.000503595353863235</v>
      </c>
      <c r="I336" s="33">
        <f>MAX(0,H336+$O336)</f>
        <v>0</v>
      </c>
      <c r="J336" s="33">
        <f>MAX(0,I336+$O336)</f>
        <v>0</v>
      </c>
      <c r="K336" s="33">
        <f>MAX(0,J336+$O336)</f>
        <v>0</v>
      </c>
      <c r="L336" s="33">
        <f>MAX(0,K336+$O336)</f>
        <v>0</v>
      </c>
      <c r="M336" s="56">
        <v>1</v>
      </c>
      <c r="N336" s="56"/>
      <c r="O336" s="57">
        <f>M336*Y317</f>
        <v>-0.000963779740485885</v>
      </c>
      <c r="P336" s="57"/>
    </row>
    <row r="337" ht="14" spans="1:16">
      <c r="A337" s="25" t="s">
        <v>251</v>
      </c>
      <c r="B337" s="35">
        <f>O318</f>
        <v>0.012442129040792</v>
      </c>
      <c r="C337" s="35">
        <f>P318</f>
        <v>0.0113387111393093</v>
      </c>
      <c r="D337" s="33">
        <f>MAX(0,C337+$O337)</f>
        <v>0.0107791857164811</v>
      </c>
      <c r="E337" s="33">
        <f>MAX(0,D337+$O337)</f>
        <v>0.0102196602936528</v>
      </c>
      <c r="F337" s="33">
        <f>MAX(0,E337+$O337)</f>
        <v>0.0096601348708246</v>
      </c>
      <c r="G337" s="33">
        <f>MAX(0,F337+$O337)</f>
        <v>0.00910060944799635</v>
      </c>
      <c r="H337" s="33">
        <f>MAX(0,G337+$O337)</f>
        <v>0.0085410840251681</v>
      </c>
      <c r="I337" s="33">
        <f>MAX(0,H337+$O337)</f>
        <v>0.00798155860233985</v>
      </c>
      <c r="J337" s="33">
        <f>MAX(0,I337+$O337)</f>
        <v>0.0074220331795116</v>
      </c>
      <c r="K337" s="33">
        <f>MAX(0,J337+$O337)</f>
        <v>0.00686250775668335</v>
      </c>
      <c r="L337" s="33">
        <f>MAX(0,K337+$O337)</f>
        <v>0.0063029823338551</v>
      </c>
      <c r="M337" s="56">
        <v>1</v>
      </c>
      <c r="N337" s="56"/>
      <c r="O337" s="57">
        <f>M337*Y318</f>
        <v>-0.00055952542282825</v>
      </c>
      <c r="P337" s="57"/>
    </row>
    <row r="338" ht="14" spans="1:17">
      <c r="A338" s="25" t="s">
        <v>252</v>
      </c>
      <c r="B338" s="35">
        <f>O319</f>
        <v>0.00674067366036149</v>
      </c>
      <c r="C338" s="35">
        <f>P319</f>
        <v>0.00166632968228183</v>
      </c>
      <c r="D338" s="33">
        <f>MAX(0,C338+$O338)</f>
        <v>0.00346761221209689</v>
      </c>
      <c r="E338" s="33">
        <f>MAX(0,D338+$O338)</f>
        <v>0.00526889474191195</v>
      </c>
      <c r="F338" s="33">
        <f>MAX(0,E338+$O338)</f>
        <v>0.00707017727172701</v>
      </c>
      <c r="G338" s="33">
        <f>MAX(0,F338+$O338)</f>
        <v>0.00887145980154208</v>
      </c>
      <c r="H338" s="33">
        <f>MAX(0,G338+$O338)</f>
        <v>0.0106727423313571</v>
      </c>
      <c r="I338" s="33">
        <f>MAX(0,H338+$O338)</f>
        <v>0.0124740248611722</v>
      </c>
      <c r="J338" s="33">
        <f>MAX(0,I338+$O338)</f>
        <v>0.0142753073909873</v>
      </c>
      <c r="K338" s="33">
        <f>MAX(0,J338+$O338)</f>
        <v>0.0160765899208023</v>
      </c>
      <c r="L338" s="33">
        <f>MAX(0,K338+$O338)</f>
        <v>0.0178778724506174</v>
      </c>
      <c r="M338" s="56">
        <v>1</v>
      </c>
      <c r="N338" s="56"/>
      <c r="O338" s="57">
        <f>M338*Y319</f>
        <v>0.00180128252981506</v>
      </c>
      <c r="P338" s="57"/>
      <c r="Q338" s="13" t="s">
        <v>245</v>
      </c>
    </row>
    <row r="339" ht="14" spans="1:16">
      <c r="A339" s="25" t="s">
        <v>253</v>
      </c>
      <c r="B339" s="35">
        <f>O320</f>
        <v>0.00745971502898212</v>
      </c>
      <c r="C339" s="35">
        <f>P320</f>
        <v>0.00475636028976009</v>
      </c>
      <c r="D339" s="33">
        <f>MAX(0,C339+$O339)</f>
        <v>0.00475878960578736</v>
      </c>
      <c r="E339" s="33">
        <f>MAX(0,D339+$O339)</f>
        <v>0.00476121892181462</v>
      </c>
      <c r="F339" s="33">
        <f>MAX(0,E339+$O339)</f>
        <v>0.00476364823784189</v>
      </c>
      <c r="G339" s="33">
        <f>MAX(0,F339+$O339)</f>
        <v>0.00476607755386916</v>
      </c>
      <c r="H339" s="33">
        <f>MAX(0,G339+$O339)</f>
        <v>0.00476850686989642</v>
      </c>
      <c r="I339" s="33">
        <f>MAX(0,H339+$O339)</f>
        <v>0.00477093618592369</v>
      </c>
      <c r="J339" s="33">
        <f>MAX(0,I339+$O339)</f>
        <v>0.00477336550195096</v>
      </c>
      <c r="K339" s="33">
        <f>MAX(0,J339+$O339)</f>
        <v>0.00477579481797822</v>
      </c>
      <c r="L339" s="33">
        <f>MAX(0,K339+$O339)</f>
        <v>0.00477822413400549</v>
      </c>
      <c r="M339" s="56">
        <v>1</v>
      </c>
      <c r="N339" s="56"/>
      <c r="O339" s="57">
        <f>M339*Y320</f>
        <v>2.42931602726708e-6</v>
      </c>
      <c r="P339" s="57"/>
    </row>
    <row r="340" ht="14" spans="1:16">
      <c r="A340" s="25" t="s">
        <v>82</v>
      </c>
      <c r="B340" s="35">
        <f>O321</f>
        <v>0.00810346055617171</v>
      </c>
      <c r="C340" s="35">
        <f>P321</f>
        <v>0.0073555557104909</v>
      </c>
      <c r="D340" s="33">
        <f>MAX(0,C340+$O340)</f>
        <v>0.00606579202376801</v>
      </c>
      <c r="E340" s="33">
        <f>MAX(0,D340+$O340)</f>
        <v>0.00477602833704511</v>
      </c>
      <c r="F340" s="33">
        <f>MAX(0,E340+$O340)</f>
        <v>0.00348626465032222</v>
      </c>
      <c r="G340" s="33">
        <f>MAX(0,F340+$O340)</f>
        <v>0.00219650096359933</v>
      </c>
      <c r="H340" s="33">
        <f>MAX(0,G340+$O340)</f>
        <v>0.00090673727687643</v>
      </c>
      <c r="I340" s="33">
        <f>MAX(0,H340+$O340)</f>
        <v>0</v>
      </c>
      <c r="J340" s="33">
        <f>MAX(0,I340+$O340)</f>
        <v>0</v>
      </c>
      <c r="K340" s="33">
        <f>MAX(0,J340+$O340)</f>
        <v>0</v>
      </c>
      <c r="L340" s="33">
        <f>MAX(0,K340+$O340)</f>
        <v>0</v>
      </c>
      <c r="M340" s="56">
        <v>1</v>
      </c>
      <c r="N340" s="56"/>
      <c r="O340" s="57">
        <f>M340*Y321</f>
        <v>-0.0012897636867229</v>
      </c>
      <c r="P340" s="57"/>
    </row>
    <row r="341" ht="14" spans="1:16">
      <c r="A341" s="25" t="s">
        <v>254</v>
      </c>
      <c r="B341" s="35">
        <f>O322</f>
        <v>0.00114368278065507</v>
      </c>
      <c r="C341" s="35">
        <f>P322</f>
        <v>0.000189640867606969</v>
      </c>
      <c r="D341" s="33">
        <f>MAX(0,C341+$O341)</f>
        <v>0</v>
      </c>
      <c r="E341" s="33">
        <f>MAX(0,D341+$O341)</f>
        <v>0</v>
      </c>
      <c r="F341" s="33">
        <f>MAX(0,E341+$O341)</f>
        <v>0</v>
      </c>
      <c r="G341" s="33">
        <f>MAX(0,F341+$O341)</f>
        <v>0</v>
      </c>
      <c r="H341" s="33">
        <f>MAX(0,G341+$O341)</f>
        <v>0</v>
      </c>
      <c r="I341" s="33">
        <f>MAX(0,H341+$O341)</f>
        <v>0</v>
      </c>
      <c r="J341" s="33">
        <f>MAX(0,I341+$O341)</f>
        <v>0</v>
      </c>
      <c r="K341" s="33">
        <f>MAX(0,J341+$O341)</f>
        <v>0</v>
      </c>
      <c r="L341" s="33">
        <f>MAX(0,K341+$O341)</f>
        <v>0</v>
      </c>
      <c r="M341" s="56">
        <v>1</v>
      </c>
      <c r="N341" s="56"/>
      <c r="O341" s="57">
        <f>M341*Y322</f>
        <v>-0.000647481966616047</v>
      </c>
      <c r="P341" s="57"/>
    </row>
    <row r="342" ht="14" spans="1:16">
      <c r="A342" s="25" t="s">
        <v>256</v>
      </c>
      <c r="B342" s="35">
        <f>O323</f>
        <v>0.00942486865624057</v>
      </c>
      <c r="C342" s="35">
        <f>P323</f>
        <v>0.0115269575887721</v>
      </c>
      <c r="D342" s="33">
        <f>MAX(0,C342+$O342)</f>
        <v>0.00878569422884458</v>
      </c>
      <c r="E342" s="33">
        <f>MAX(0,D342+$O342)</f>
        <v>0.00604443086891702</v>
      </c>
      <c r="F342" s="33">
        <f>MAX(0,E342+$O342)</f>
        <v>0.00330316750898946</v>
      </c>
      <c r="G342" s="33">
        <f>MAX(0,F342+$O342)</f>
        <v>0.000561904149061894</v>
      </c>
      <c r="H342" s="33">
        <f>MAX(0,G342+$O342)</f>
        <v>0</v>
      </c>
      <c r="I342" s="33">
        <f>MAX(0,H342+$O342)</f>
        <v>0</v>
      </c>
      <c r="J342" s="33">
        <f>MAX(0,I342+$O342)</f>
        <v>0</v>
      </c>
      <c r="K342" s="33">
        <f>MAX(0,J342+$O342)</f>
        <v>0</v>
      </c>
      <c r="L342" s="33">
        <f>MAX(0,K342+$O342)</f>
        <v>0</v>
      </c>
      <c r="M342" s="56">
        <v>0.97</v>
      </c>
      <c r="N342" s="56"/>
      <c r="O342" s="57">
        <f>M342*Y323</f>
        <v>-0.00274126335992756</v>
      </c>
      <c r="P342" s="57"/>
    </row>
    <row r="343" ht="14" spans="1:17">
      <c r="A343" s="25" t="s">
        <v>258</v>
      </c>
      <c r="B343" s="35">
        <f>O324</f>
        <v>0.00189460617222397</v>
      </c>
      <c r="C343" s="35">
        <f>P324</f>
        <v>0.00190268355771845</v>
      </c>
      <c r="D343" s="33">
        <f>MAX(0,C343+$O343)</f>
        <v>0.00181302891218144</v>
      </c>
      <c r="E343" s="33">
        <f>MAX(0,D343+$O343)</f>
        <v>0.00172337426664442</v>
      </c>
      <c r="F343" s="33">
        <f>MAX(0,E343+$O343)</f>
        <v>0.00163371962110741</v>
      </c>
      <c r="G343" s="33">
        <f>MAX(0,F343+$O343)</f>
        <v>0.00154406497557039</v>
      </c>
      <c r="H343" s="33">
        <f>MAX(0,G343+$O343)</f>
        <v>0.00145441033003338</v>
      </c>
      <c r="I343" s="33">
        <f>MAX(0,H343+$O343)</f>
        <v>0.00136475568449636</v>
      </c>
      <c r="J343" s="33">
        <f>MAX(0,I343+$O343)</f>
        <v>0.00127510103895935</v>
      </c>
      <c r="K343" s="33">
        <f>MAX(0,J343+$O343)</f>
        <v>0.00118544639342233</v>
      </c>
      <c r="L343" s="33">
        <f>MAX(0,K343+$O343)</f>
        <v>0.00109579174788532</v>
      </c>
      <c r="M343" s="56">
        <v>1</v>
      </c>
      <c r="N343" s="56"/>
      <c r="O343" s="57">
        <f>M343*Y324</f>
        <v>-8.9654645537015e-5</v>
      </c>
      <c r="P343" s="57"/>
      <c r="Q343" s="56">
        <v>0.125</v>
      </c>
    </row>
    <row r="344" ht="14" spans="1:16">
      <c r="A344" s="25" t="s">
        <v>259</v>
      </c>
      <c r="B344" s="35">
        <f>O325</f>
        <v>0.0147776568069815</v>
      </c>
      <c r="C344" s="35">
        <f>P325</f>
        <v>0.018197156781404</v>
      </c>
      <c r="D344" s="33">
        <f>MAX(0,C344+$O344)</f>
        <v>0.0152919134580303</v>
      </c>
      <c r="E344" s="33">
        <f>MAX(0,D344+$O344)</f>
        <v>0.0123866701346565</v>
      </c>
      <c r="F344" s="33">
        <f>MAX(0,E344+$O344)</f>
        <v>0.00948142681128279</v>
      </c>
      <c r="G344" s="33">
        <f>MAX(0,F344+$O344)</f>
        <v>0.00657618348790904</v>
      </c>
      <c r="H344" s="33">
        <f>MAX(0,G344+$O344)</f>
        <v>0.00367094016453529</v>
      </c>
      <c r="I344" s="33">
        <f>MAX(0,H344+$O344)</f>
        <v>0.000765696841161542</v>
      </c>
      <c r="J344" s="33">
        <f>MAX(0,I344+$O344)</f>
        <v>0</v>
      </c>
      <c r="K344" s="33">
        <f>MAX(0,J344+$O344)</f>
        <v>0</v>
      </c>
      <c r="L344" s="33">
        <f>MAX(0,K344+$O344)</f>
        <v>0</v>
      </c>
      <c r="M344" s="56">
        <v>1</v>
      </c>
      <c r="N344" s="56"/>
      <c r="O344" s="57">
        <f>M344*Y325</f>
        <v>-0.00290524332337375</v>
      </c>
      <c r="P344" s="57"/>
    </row>
    <row r="345" ht="14" spans="1:16">
      <c r="A345" s="25" t="s">
        <v>261</v>
      </c>
      <c r="B345" s="35">
        <f>O326</f>
        <v>0.00258312219972392</v>
      </c>
      <c r="C345" s="35">
        <f>P326</f>
        <v>0.00208256349831624</v>
      </c>
      <c r="D345" s="33">
        <f>MAX(0,C345+$O345)</f>
        <v>0.00178644859562441</v>
      </c>
      <c r="E345" s="33">
        <f>MAX(0,D345+$O345)</f>
        <v>0.00149033369293258</v>
      </c>
      <c r="F345" s="33">
        <f>MAX(0,E345+$O345)</f>
        <v>0.00119421879024075</v>
      </c>
      <c r="G345" s="33">
        <f>MAX(0,F345+$O345)</f>
        <v>0.000898103887548926</v>
      </c>
      <c r="H345" s="33">
        <f>MAX(0,G345+$O345)</f>
        <v>0.000601988984857098</v>
      </c>
      <c r="I345" s="33">
        <f>MAX(0,H345+$O345)</f>
        <v>0.00030587408216527</v>
      </c>
      <c r="J345" s="33">
        <f>MAX(0,I345+$O345)</f>
        <v>9.75917947344113e-6</v>
      </c>
      <c r="K345" s="33">
        <f>MAX(0,J345+$O345)</f>
        <v>0</v>
      </c>
      <c r="L345" s="33">
        <f>MAX(0,K345+$O345)</f>
        <v>0</v>
      </c>
      <c r="M345" s="56">
        <v>1</v>
      </c>
      <c r="N345" s="56"/>
      <c r="O345" s="57">
        <f>M345*Y326</f>
        <v>-0.000296114902691828</v>
      </c>
      <c r="P345" s="57"/>
    </row>
    <row r="346" ht="14" spans="1:16">
      <c r="A346" s="16" t="s">
        <v>70</v>
      </c>
      <c r="B346" s="35"/>
      <c r="C346" s="33">
        <f>SUM(C333:C345)-SUM(B333:B345)</f>
        <v>0.00334231954000594</v>
      </c>
      <c r="D346" s="33">
        <f>SUM(D333:D345)-SUM(C333:C345)</f>
        <v>-0.0114733233385004</v>
      </c>
      <c r="E346" s="33">
        <f>SUM(E333:E345)-SUM(D333:D345)</f>
        <v>-0.0112836824708935</v>
      </c>
      <c r="F346" s="33">
        <f>SUM(F333:F345)-SUM(E333:E345)</f>
        <v>-0.0112836824708935</v>
      </c>
      <c r="G346" s="33">
        <f>SUM(G333:G345)-SUM(F333:F345)</f>
        <v>-0.0106555099799871</v>
      </c>
      <c r="H346" s="33">
        <f>SUM(H333:H345)-SUM(G333:G345)</f>
        <v>-0.00753403734818607</v>
      </c>
      <c r="I346" s="33">
        <f>SUM(I333:I345)-SUM(H333:H345)</f>
        <v>-0.00612892240265504</v>
      </c>
      <c r="J346" s="33">
        <f>SUM(J333:J345)-SUM(I333:I345)</f>
        <v>-0.0025790432897032</v>
      </c>
      <c r="K346" s="33">
        <f>SUM(K333:K345)-SUM(J333:J345)</f>
        <v>-0.00152699072532324</v>
      </c>
      <c r="L346" s="33">
        <f>SUM(L333:L345)-SUM(K333:K345)</f>
        <v>0.00146768704277637</v>
      </c>
      <c r="M346" s="56"/>
      <c r="N346" s="56"/>
      <c r="O346" s="57"/>
      <c r="P346" s="57"/>
    </row>
    <row r="347" ht="14" spans="1:12">
      <c r="A347" s="5" t="s">
        <v>45</v>
      </c>
      <c r="D347" s="33"/>
      <c r="E347" s="33"/>
      <c r="F347" s="33"/>
      <c r="G347" s="33"/>
      <c r="H347" s="33"/>
      <c r="I347" s="33"/>
      <c r="J347" s="33"/>
      <c r="K347" s="33"/>
      <c r="L347" s="33"/>
    </row>
    <row r="348" ht="14" spans="1:13">
      <c r="A348" s="16" t="s">
        <v>73</v>
      </c>
      <c r="B348" s="37">
        <f>J313</f>
        <v>88793</v>
      </c>
      <c r="C348" s="37">
        <f>K313</f>
        <v>151590</v>
      </c>
      <c r="D348" s="39">
        <f>D332*D330</f>
        <v>217091.192892238</v>
      </c>
      <c r="E348" s="39">
        <f>E332*E330</f>
        <v>226728.379858928</v>
      </c>
      <c r="F348" s="39">
        <f>F332*F330</f>
        <v>246030.381239615</v>
      </c>
      <c r="G348" s="39">
        <f>G332*G330</f>
        <v>259271.217725096</v>
      </c>
      <c r="H348" s="39">
        <f>H332*H330</f>
        <v>270854.676017267</v>
      </c>
      <c r="I348" s="39">
        <f>I332*I330</f>
        <v>279013.549018306</v>
      </c>
      <c r="J348" s="39">
        <f>J332*J330</f>
        <v>282906.457001058</v>
      </c>
      <c r="K348" s="39">
        <f>K332*K330</f>
        <v>284934.219919603</v>
      </c>
      <c r="L348" s="39">
        <f>L332*L330</f>
        <v>282926.508462904</v>
      </c>
      <c r="M348" s="13" t="s">
        <v>72</v>
      </c>
    </row>
    <row r="350" s="3" customFormat="1" ht="14.75" spans="1:1">
      <c r="A350" s="3" t="s">
        <v>97</v>
      </c>
    </row>
    <row r="351" s="4" customFormat="1" ht="46.5" customHeight="1" spans="1:25">
      <c r="A351" s="4" t="s">
        <v>3</v>
      </c>
      <c r="B351" s="4" t="s">
        <v>4</v>
      </c>
      <c r="C351" s="4" t="s">
        <v>5</v>
      </c>
      <c r="D351" s="4" t="s">
        <v>6</v>
      </c>
      <c r="E351" s="4" t="s">
        <v>7</v>
      </c>
      <c r="F351" s="4" t="s">
        <v>8</v>
      </c>
      <c r="G351" s="4" t="s">
        <v>9</v>
      </c>
      <c r="H351" s="4" t="s">
        <v>10</v>
      </c>
      <c r="I351" s="4" t="s">
        <v>11</v>
      </c>
      <c r="J351" s="4" t="s">
        <v>12</v>
      </c>
      <c r="K351" s="4" t="s">
        <v>13</v>
      </c>
      <c r="L351" s="4" t="s">
        <v>75</v>
      </c>
      <c r="M351" s="4" t="s">
        <v>76</v>
      </c>
      <c r="N351" s="4" t="s">
        <v>16</v>
      </c>
      <c r="O351" s="4" t="s">
        <v>17</v>
      </c>
      <c r="P351" s="4" t="s">
        <v>18</v>
      </c>
      <c r="Q351" s="4" t="s">
        <v>19</v>
      </c>
      <c r="R351" s="4" t="s">
        <v>247</v>
      </c>
      <c r="T351" s="4" t="s">
        <v>22</v>
      </c>
      <c r="U351" s="4" t="s">
        <v>23</v>
      </c>
      <c r="V351" s="4" t="s">
        <v>24</v>
      </c>
      <c r="W351" s="4" t="s">
        <v>25</v>
      </c>
      <c r="X351" s="4" t="s">
        <v>26</v>
      </c>
      <c r="Y351" s="4" t="s">
        <v>27</v>
      </c>
    </row>
    <row r="352" ht="14" spans="1:29">
      <c r="A352" s="117" t="s">
        <v>0</v>
      </c>
      <c r="B352" s="99" t="s">
        <v>97</v>
      </c>
      <c r="C352" s="99">
        <v>2013.6</v>
      </c>
      <c r="D352" s="16" t="s">
        <v>98</v>
      </c>
      <c r="E352" s="25" t="s">
        <v>193</v>
      </c>
      <c r="F352" s="25" t="s">
        <v>263</v>
      </c>
      <c r="G352" s="25" t="s">
        <v>31</v>
      </c>
      <c r="H352" s="63">
        <v>104990</v>
      </c>
      <c r="I352" s="134" t="s">
        <v>264</v>
      </c>
      <c r="J352" s="60">
        <v>18600</v>
      </c>
      <c r="K352" s="130">
        <v>11555</v>
      </c>
      <c r="L352" s="130">
        <v>18050</v>
      </c>
      <c r="M352" s="130">
        <v>28300</v>
      </c>
      <c r="N352" s="130">
        <v>90473</v>
      </c>
      <c r="O352" s="77">
        <v>0.242566510172144</v>
      </c>
      <c r="P352" s="77">
        <v>0.168723078046288</v>
      </c>
      <c r="Q352" s="77">
        <v>0.383293682262754</v>
      </c>
      <c r="R352" s="77">
        <v>0.381725723997464</v>
      </c>
      <c r="S352" s="77"/>
      <c r="T352" s="76">
        <f>P352-O352</f>
        <v>-0.0738434321258565</v>
      </c>
      <c r="U352" s="76">
        <f>R352-P352</f>
        <v>0.213002645951177</v>
      </c>
      <c r="V352" s="76">
        <f>R352-O352</f>
        <v>0.13915921382532</v>
      </c>
      <c r="W352" s="76">
        <f>SUM(V353:V362)/1.75</f>
        <v>0.061445109120245</v>
      </c>
      <c r="X352" s="76">
        <f>W352+Y352</f>
        <v>0.11204845960218</v>
      </c>
      <c r="Y352" s="54">
        <f>V352/(24+9)*12</f>
        <v>0.0506033504819346</v>
      </c>
      <c r="Z352" s="137"/>
      <c r="AA352" s="137"/>
      <c r="AB352" s="137"/>
      <c r="AC352" s="137"/>
    </row>
    <row r="353" ht="14" spans="1:29">
      <c r="A353" s="24" t="s">
        <v>33</v>
      </c>
      <c r="B353" s="81" t="s">
        <v>265</v>
      </c>
      <c r="C353" s="81"/>
      <c r="D353" s="16" t="s">
        <v>98</v>
      </c>
      <c r="E353" s="25" t="s">
        <v>193</v>
      </c>
      <c r="F353" s="25" t="s">
        <v>263</v>
      </c>
      <c r="G353" s="25" t="s">
        <v>35</v>
      </c>
      <c r="H353" s="63">
        <v>87795</v>
      </c>
      <c r="I353" s="16" t="s">
        <v>266</v>
      </c>
      <c r="J353" s="63">
        <v>6443</v>
      </c>
      <c r="K353" s="124">
        <v>7706</v>
      </c>
      <c r="L353" s="124">
        <v>2889</v>
      </c>
      <c r="M353" s="124">
        <v>3905</v>
      </c>
      <c r="N353" s="124">
        <v>5974</v>
      </c>
      <c r="O353" s="77">
        <v>0.0840245174752217</v>
      </c>
      <c r="P353" s="77">
        <v>0.11252098999781</v>
      </c>
      <c r="Q353" s="77">
        <v>0.0545485442392659</v>
      </c>
      <c r="R353" s="77">
        <v>0.0526727544950564</v>
      </c>
      <c r="S353" s="77"/>
      <c r="T353" s="76">
        <f>P353-O353</f>
        <v>0.028496472522588</v>
      </c>
      <c r="U353" s="76">
        <f>R353-P353</f>
        <v>-0.0598482355027533</v>
      </c>
      <c r="V353" s="76">
        <f>R353-O353</f>
        <v>-0.0313517629801653</v>
      </c>
      <c r="W353" s="76"/>
      <c r="X353" s="76"/>
      <c r="Y353" s="54">
        <f>V353/(24+9)*12</f>
        <v>-0.0114006410836965</v>
      </c>
      <c r="Z353" s="137"/>
      <c r="AA353" s="137"/>
      <c r="AB353" s="137"/>
      <c r="AC353" s="137"/>
    </row>
    <row r="354" ht="14" spans="1:29">
      <c r="A354" s="24" t="s">
        <v>267</v>
      </c>
      <c r="B354" s="81" t="s">
        <v>268</v>
      </c>
      <c r="C354" s="81"/>
      <c r="D354" s="16" t="s">
        <v>98</v>
      </c>
      <c r="E354" s="25" t="s">
        <v>193</v>
      </c>
      <c r="F354" s="25" t="s">
        <v>263</v>
      </c>
      <c r="G354" s="25" t="s">
        <v>31</v>
      </c>
      <c r="H354" s="63">
        <v>78900</v>
      </c>
      <c r="I354" s="16" t="s">
        <v>269</v>
      </c>
      <c r="J354" s="63">
        <v>0</v>
      </c>
      <c r="K354" s="124">
        <v>103</v>
      </c>
      <c r="L354" s="124">
        <v>690</v>
      </c>
      <c r="M354" s="124">
        <v>1290</v>
      </c>
      <c r="N354" s="124"/>
      <c r="O354" s="77">
        <v>0</v>
      </c>
      <c r="P354" s="77">
        <v>0.00150397897349785</v>
      </c>
      <c r="Q354" s="77">
        <v>0.0130282089044976</v>
      </c>
      <c r="R354" s="77">
        <v>0.017400218514372</v>
      </c>
      <c r="S354" s="77"/>
      <c r="T354" s="76">
        <f>P354-O354</f>
        <v>0.00150397897349785</v>
      </c>
      <c r="U354" s="76">
        <f>R354-P354</f>
        <v>0.0158962395408742</v>
      </c>
      <c r="V354" s="76">
        <f>R354-O354</f>
        <v>0.017400218514372</v>
      </c>
      <c r="W354" s="76"/>
      <c r="X354" s="76"/>
      <c r="Y354" s="54">
        <f>V354/(24+9)*12</f>
        <v>0.00632735218704438</v>
      </c>
      <c r="Z354" s="137"/>
      <c r="AA354" s="137"/>
      <c r="AB354" s="137"/>
      <c r="AC354" s="137"/>
    </row>
    <row r="355" ht="14" spans="1:29">
      <c r="A355" s="24" t="s">
        <v>110</v>
      </c>
      <c r="B355" s="81" t="s">
        <v>111</v>
      </c>
      <c r="C355" s="81"/>
      <c r="D355" s="16" t="s">
        <v>98</v>
      </c>
      <c r="E355" s="25" t="s">
        <v>193</v>
      </c>
      <c r="F355" s="25" t="s">
        <v>263</v>
      </c>
      <c r="G355" s="25" t="s">
        <v>270</v>
      </c>
      <c r="H355" s="63">
        <v>77175</v>
      </c>
      <c r="I355" s="16" t="s">
        <v>271</v>
      </c>
      <c r="J355" s="63">
        <v>3734</v>
      </c>
      <c r="K355" s="124">
        <v>3739</v>
      </c>
      <c r="L355" s="124">
        <v>1248</v>
      </c>
      <c r="M355" s="124">
        <v>1989</v>
      </c>
      <c r="N355" s="124">
        <v>2679</v>
      </c>
      <c r="O355" s="77">
        <v>0.0486958789775691</v>
      </c>
      <c r="P355" s="77">
        <v>0.0545958969117325</v>
      </c>
      <c r="Q355" s="77">
        <v>0.0235640648011782</v>
      </c>
      <c r="R355" s="77">
        <v>0.0268287090116946</v>
      </c>
      <c r="S355" s="77"/>
      <c r="T355" s="76">
        <f>P355-O355</f>
        <v>0.00590001793416337</v>
      </c>
      <c r="U355" s="76">
        <f>R355-P355</f>
        <v>-0.0277671879000379</v>
      </c>
      <c r="V355" s="76">
        <f>R355-O355</f>
        <v>-0.0218671699658746</v>
      </c>
      <c r="W355" s="76"/>
      <c r="X355" s="76"/>
      <c r="Y355" s="54">
        <f>V355/(24+9)*12</f>
        <v>-0.00795169816940893</v>
      </c>
      <c r="Z355" s="137"/>
      <c r="AA355" s="137"/>
      <c r="AB355" s="137"/>
      <c r="AC355" s="137"/>
    </row>
    <row r="356" ht="14" spans="1:29">
      <c r="A356" s="16" t="s">
        <v>113</v>
      </c>
      <c r="B356" s="81" t="s">
        <v>272</v>
      </c>
      <c r="C356" s="81"/>
      <c r="D356" s="16" t="s">
        <v>98</v>
      </c>
      <c r="E356" s="25" t="s">
        <v>193</v>
      </c>
      <c r="F356" s="25" t="s">
        <v>263</v>
      </c>
      <c r="G356" s="25" t="s">
        <v>31</v>
      </c>
      <c r="H356" s="63">
        <v>103360</v>
      </c>
      <c r="I356" s="16" t="s">
        <v>273</v>
      </c>
      <c r="J356" s="63">
        <v>0</v>
      </c>
      <c r="K356" s="124">
        <v>443</v>
      </c>
      <c r="L356" s="124">
        <v>4050</v>
      </c>
      <c r="M356" s="124">
        <v>5751</v>
      </c>
      <c r="N356" s="124"/>
      <c r="O356" s="77">
        <v>0</v>
      </c>
      <c r="P356" s="77">
        <v>0.00646856975980142</v>
      </c>
      <c r="Q356" s="77">
        <v>0.0764699218307466</v>
      </c>
      <c r="R356" s="77">
        <v>0.0775726020745377</v>
      </c>
      <c r="S356" s="77"/>
      <c r="T356" s="76">
        <f>P356-O356</f>
        <v>0.00646856975980142</v>
      </c>
      <c r="U356" s="76">
        <f>R356-P356</f>
        <v>0.0711040323147363</v>
      </c>
      <c r="V356" s="76">
        <f>R356-O356</f>
        <v>0.0775726020745377</v>
      </c>
      <c r="W356" s="76"/>
      <c r="X356" s="76"/>
      <c r="Y356" s="54">
        <f>V356/(24+9)*12</f>
        <v>0.0282082189361955</v>
      </c>
      <c r="Z356" s="137"/>
      <c r="AA356" s="137"/>
      <c r="AB356" s="137"/>
      <c r="AC356" s="137"/>
    </row>
    <row r="357" ht="14" spans="1:29">
      <c r="A357" s="16" t="s">
        <v>101</v>
      </c>
      <c r="B357" s="81" t="s">
        <v>274</v>
      </c>
      <c r="C357" s="81"/>
      <c r="D357" s="16" t="s">
        <v>98</v>
      </c>
      <c r="E357" s="25" t="s">
        <v>193</v>
      </c>
      <c r="F357" s="25" t="s">
        <v>263</v>
      </c>
      <c r="G357" s="25" t="s">
        <v>35</v>
      </c>
      <c r="H357" s="63">
        <v>87595</v>
      </c>
      <c r="I357" s="16" t="s">
        <v>266</v>
      </c>
      <c r="J357" s="63">
        <v>2406</v>
      </c>
      <c r="K357" s="124">
        <v>2069</v>
      </c>
      <c r="L357" s="124">
        <v>641</v>
      </c>
      <c r="M357" s="124">
        <v>1025</v>
      </c>
      <c r="N357" s="124">
        <v>1593</v>
      </c>
      <c r="O357" s="77">
        <v>0.031377151799687</v>
      </c>
      <c r="P357" s="77">
        <v>0.0302109951084179</v>
      </c>
      <c r="Q357" s="77">
        <v>0.0121030172576564</v>
      </c>
      <c r="R357" s="77">
        <v>0.0138257550211096</v>
      </c>
      <c r="S357" s="77"/>
      <c r="T357" s="76">
        <f>P357-O357</f>
        <v>-0.00116615669126911</v>
      </c>
      <c r="U357" s="76">
        <f>R357-P357</f>
        <v>-0.0163852400873083</v>
      </c>
      <c r="V357" s="76">
        <f>R357-O357</f>
        <v>-0.0175513967785774</v>
      </c>
      <c r="W357" s="76"/>
      <c r="X357" s="76"/>
      <c r="Y357" s="54">
        <f>V357/(24+9)*12</f>
        <v>-0.00638232610130089</v>
      </c>
      <c r="Z357" s="137"/>
      <c r="AA357" s="137"/>
      <c r="AB357" s="137"/>
      <c r="AC357" s="137"/>
    </row>
    <row r="358" ht="14" spans="1:29">
      <c r="A358" s="24" t="s">
        <v>33</v>
      </c>
      <c r="B358" s="81" t="s">
        <v>275</v>
      </c>
      <c r="C358" s="81"/>
      <c r="D358" s="16" t="s">
        <v>98</v>
      </c>
      <c r="E358" s="25" t="s">
        <v>193</v>
      </c>
      <c r="F358" s="25" t="s">
        <v>263</v>
      </c>
      <c r="G358" s="25" t="s">
        <v>276</v>
      </c>
      <c r="H358" s="63">
        <v>95395</v>
      </c>
      <c r="I358" s="16" t="s">
        <v>264</v>
      </c>
      <c r="J358" s="63">
        <v>7737</v>
      </c>
      <c r="K358" s="63">
        <v>7760</v>
      </c>
      <c r="L358" s="63">
        <v>3586</v>
      </c>
      <c r="M358" s="63">
        <v>5550</v>
      </c>
      <c r="N358" s="63"/>
      <c r="O358" s="77">
        <v>0.100899843505477</v>
      </c>
      <c r="P358" s="77">
        <v>0.113309483828576</v>
      </c>
      <c r="Q358" s="77">
        <v>0.0677089233790265</v>
      </c>
      <c r="R358" s="77">
        <v>0.0748614052362518</v>
      </c>
      <c r="S358" s="77"/>
      <c r="T358" s="76">
        <f>P358-O358</f>
        <v>0.0124096403230983</v>
      </c>
      <c r="U358" s="76">
        <f>R358-P358</f>
        <v>-0.0384480785923238</v>
      </c>
      <c r="V358" s="76">
        <f>R358-O358</f>
        <v>-0.0260384382692255</v>
      </c>
      <c r="W358" s="76"/>
      <c r="X358" s="76"/>
      <c r="Y358" s="54">
        <f>V358/(24+9)*12</f>
        <v>-0.00946852300699109</v>
      </c>
      <c r="Z358" s="137"/>
      <c r="AA358" s="137"/>
      <c r="AB358" s="137"/>
      <c r="AC358" s="137"/>
    </row>
    <row r="359" ht="14" spans="1:29">
      <c r="A359" s="24" t="s">
        <v>101</v>
      </c>
      <c r="B359" s="25" t="s">
        <v>277</v>
      </c>
      <c r="C359" s="25"/>
      <c r="D359" s="16" t="s">
        <v>98</v>
      </c>
      <c r="E359" s="25" t="s">
        <v>193</v>
      </c>
      <c r="F359" s="25" t="s">
        <v>263</v>
      </c>
      <c r="G359" s="25" t="s">
        <v>31</v>
      </c>
      <c r="H359" s="63">
        <v>103895</v>
      </c>
      <c r="I359" s="16" t="s">
        <v>273</v>
      </c>
      <c r="J359" s="63">
        <v>0</v>
      </c>
      <c r="K359" s="63">
        <v>764</v>
      </c>
      <c r="L359" s="63">
        <v>1411</v>
      </c>
      <c r="M359" s="63">
        <v>1961</v>
      </c>
      <c r="N359" s="63"/>
      <c r="O359" s="77">
        <v>0</v>
      </c>
      <c r="P359" s="77">
        <v>0.0111557275315763</v>
      </c>
      <c r="Q359" s="77">
        <v>0.0266417431365885</v>
      </c>
      <c r="R359" s="77">
        <v>0.0264510298501423</v>
      </c>
      <c r="S359" s="77"/>
      <c r="T359" s="76">
        <f>P359-O359</f>
        <v>0.0111557275315763</v>
      </c>
      <c r="U359" s="76">
        <f>R359-P359</f>
        <v>0.015295302318566</v>
      </c>
      <c r="V359" s="76">
        <f>R359-O359</f>
        <v>0.0264510298501423</v>
      </c>
      <c r="W359" s="76"/>
      <c r="X359" s="76"/>
      <c r="Y359" s="54">
        <f>V359/(24+9)*12</f>
        <v>0.00961855630914266</v>
      </c>
      <c r="Z359" s="137"/>
      <c r="AA359" s="137"/>
      <c r="AB359" s="137"/>
      <c r="AC359" s="137"/>
    </row>
    <row r="360" ht="14" spans="1:29">
      <c r="A360" s="16" t="s">
        <v>116</v>
      </c>
      <c r="B360" s="81" t="s">
        <v>117</v>
      </c>
      <c r="C360" s="81"/>
      <c r="D360" s="16" t="s">
        <v>98</v>
      </c>
      <c r="E360" s="25" t="s">
        <v>193</v>
      </c>
      <c r="F360" s="25" t="s">
        <v>263</v>
      </c>
      <c r="G360" s="25" t="s">
        <v>132</v>
      </c>
      <c r="H360" s="63">
        <v>89750</v>
      </c>
      <c r="I360" s="16" t="s">
        <v>219</v>
      </c>
      <c r="J360" s="63">
        <v>3870</v>
      </c>
      <c r="K360" s="63">
        <v>4257</v>
      </c>
      <c r="L360" s="63">
        <v>1913</v>
      </c>
      <c r="M360" s="63">
        <v>2963</v>
      </c>
      <c r="N360" s="63"/>
      <c r="O360" s="77">
        <v>0.0504694835680751</v>
      </c>
      <c r="P360" s="77">
        <v>0.0621595969920421</v>
      </c>
      <c r="Q360" s="77">
        <v>0.036120237151165</v>
      </c>
      <c r="R360" s="77">
        <v>0.0399665484171197</v>
      </c>
      <c r="S360" s="77"/>
      <c r="T360" s="76">
        <f>P360-O360</f>
        <v>0.0116901134239669</v>
      </c>
      <c r="U360" s="76">
        <f>R360-P360</f>
        <v>-0.0221930485749224</v>
      </c>
      <c r="V360" s="76">
        <f>R360-O360</f>
        <v>-0.0105029351509555</v>
      </c>
      <c r="W360" s="76"/>
      <c r="X360" s="76"/>
      <c r="Y360" s="54">
        <f>V360/(24+9)*12</f>
        <v>-0.00381924914580199</v>
      </c>
      <c r="Z360" s="137"/>
      <c r="AA360" s="137"/>
      <c r="AB360" s="137"/>
      <c r="AC360" s="137"/>
    </row>
    <row r="361" ht="14" spans="1:29">
      <c r="A361" s="16" t="s">
        <v>113</v>
      </c>
      <c r="B361" s="81" t="s">
        <v>114</v>
      </c>
      <c r="C361" s="81"/>
      <c r="D361" s="16" t="s">
        <v>98</v>
      </c>
      <c r="E361" s="25" t="s">
        <v>193</v>
      </c>
      <c r="F361" s="25" t="s">
        <v>263</v>
      </c>
      <c r="G361" s="25" t="s">
        <v>35</v>
      </c>
      <c r="H361" s="63">
        <v>112150</v>
      </c>
      <c r="I361" s="16" t="s">
        <v>273</v>
      </c>
      <c r="J361" s="63">
        <v>6630</v>
      </c>
      <c r="K361" s="63">
        <v>14282</v>
      </c>
      <c r="L361" s="63">
        <v>8737</v>
      </c>
      <c r="M361" s="63">
        <v>11374</v>
      </c>
      <c r="N361" s="63">
        <v>15056</v>
      </c>
      <c r="O361" s="77">
        <v>0.0864632237871674</v>
      </c>
      <c r="P361" s="77">
        <v>0.208542016499963</v>
      </c>
      <c r="Q361" s="77">
        <v>0.164967335070428</v>
      </c>
      <c r="R361" s="77">
        <v>0.153418670839122</v>
      </c>
      <c r="S361" s="77"/>
      <c r="T361" s="76">
        <f>P361-O361</f>
        <v>0.122078792712796</v>
      </c>
      <c r="U361" s="76">
        <f>R361-P361</f>
        <v>-0.0551233456608413</v>
      </c>
      <c r="V361" s="76">
        <f>R361-O361</f>
        <v>0.0669554470519547</v>
      </c>
      <c r="W361" s="76"/>
      <c r="X361" s="76"/>
      <c r="Y361" s="54">
        <f>V361/(24+9)*12</f>
        <v>0.0243474352916199</v>
      </c>
      <c r="Z361" s="137"/>
      <c r="AA361" s="137"/>
      <c r="AB361" s="137"/>
      <c r="AC361" s="137"/>
    </row>
    <row r="362" ht="14" spans="1:29">
      <c r="A362" s="16" t="s">
        <v>116</v>
      </c>
      <c r="B362" s="81" t="s">
        <v>120</v>
      </c>
      <c r="C362" s="81"/>
      <c r="D362" s="16" t="s">
        <v>98</v>
      </c>
      <c r="E362" s="25" t="s">
        <v>193</v>
      </c>
      <c r="F362" s="25" t="s">
        <v>263</v>
      </c>
      <c r="G362" s="25" t="s">
        <v>31</v>
      </c>
      <c r="H362" s="63">
        <v>84050</v>
      </c>
      <c r="I362" s="16" t="s">
        <v>278</v>
      </c>
      <c r="J362" s="63">
        <v>3943</v>
      </c>
      <c r="K362" s="63">
        <v>9168</v>
      </c>
      <c r="L362" s="63">
        <v>4449</v>
      </c>
      <c r="M362" s="63">
        <v>5774</v>
      </c>
      <c r="N362" s="63"/>
      <c r="O362" s="77">
        <v>0.0514214919144497</v>
      </c>
      <c r="P362" s="77">
        <v>0.133868730378915</v>
      </c>
      <c r="Q362" s="77">
        <v>0.0840036252407386</v>
      </c>
      <c r="R362" s="77">
        <v>0.0778828385286699</v>
      </c>
      <c r="S362" s="77"/>
      <c r="T362" s="76">
        <f>P362-O362</f>
        <v>0.0824472384644654</v>
      </c>
      <c r="U362" s="76">
        <f>R362-P362</f>
        <v>-0.0559858918502452</v>
      </c>
      <c r="V362" s="76">
        <f>R362-O362</f>
        <v>0.0264613466142202</v>
      </c>
      <c r="W362" s="76"/>
      <c r="X362" s="76"/>
      <c r="Y362" s="54">
        <f>V362/(24+9)*12</f>
        <v>0.00962230785971645</v>
      </c>
      <c r="Z362" s="137"/>
      <c r="AA362" s="137"/>
      <c r="AB362" s="137"/>
      <c r="AC362" s="137"/>
    </row>
    <row r="363" ht="14" spans="1:29">
      <c r="A363" s="16"/>
      <c r="B363" s="81"/>
      <c r="C363" s="81"/>
      <c r="D363" s="132"/>
      <c r="E363" s="25"/>
      <c r="F363" s="25"/>
      <c r="G363" s="25"/>
      <c r="H363" s="63"/>
      <c r="I363" s="16"/>
      <c r="J363" s="63"/>
      <c r="K363" s="63"/>
      <c r="L363" s="63"/>
      <c r="M363" s="63"/>
      <c r="N363" s="63"/>
      <c r="O363" s="77"/>
      <c r="P363" s="77"/>
      <c r="Q363" s="77"/>
      <c r="R363" s="77"/>
      <c r="S363" s="77"/>
      <c r="T363" s="76"/>
      <c r="U363" s="76"/>
      <c r="V363" s="76"/>
      <c r="W363" s="76"/>
      <c r="X363" s="76"/>
      <c r="Y363" s="54"/>
      <c r="Z363" s="137"/>
      <c r="AA363" s="137"/>
      <c r="AB363" s="137"/>
      <c r="AC363" s="137"/>
    </row>
    <row r="364" ht="14" spans="1:25">
      <c r="A364" s="13" t="s">
        <v>52</v>
      </c>
      <c r="B364" s="81"/>
      <c r="C364" s="81"/>
      <c r="D364" s="16"/>
      <c r="E364" s="25"/>
      <c r="F364" s="25"/>
      <c r="G364" s="25"/>
      <c r="H364" s="63"/>
      <c r="I364" s="16"/>
      <c r="J364" s="39">
        <f>SUM(J352:J362)</f>
        <v>53363</v>
      </c>
      <c r="K364" s="39">
        <f>SUM(K352:K362)</f>
        <v>61846</v>
      </c>
      <c r="L364" s="39">
        <f>SUM(L352:L362)</f>
        <v>47664</v>
      </c>
      <c r="M364" s="39">
        <f>SUM(M352:M362)</f>
        <v>69882</v>
      </c>
      <c r="N364" s="39"/>
      <c r="O364" s="54">
        <f>SUM(O352:O362)</f>
        <v>0.695918101199791</v>
      </c>
      <c r="P364" s="54">
        <f>SUM(P352:P362)</f>
        <v>0.903059064028619</v>
      </c>
      <c r="Q364" s="54">
        <f>SUM(Q352:Q362)</f>
        <v>0.942449303274046</v>
      </c>
      <c r="R364" s="54">
        <f>SUM(R352:R362)</f>
        <v>0.94260625598554</v>
      </c>
      <c r="S364" s="54"/>
      <c r="T364" s="54"/>
      <c r="U364" s="54"/>
      <c r="V364" s="54"/>
      <c r="W364" s="54"/>
      <c r="X364" s="54"/>
      <c r="Y364" s="54"/>
    </row>
    <row r="365" ht="14" spans="1:10">
      <c r="A365" s="5"/>
      <c r="J365" s="63"/>
    </row>
    <row r="366" s="7" customFormat="1" ht="14" spans="1:15">
      <c r="A366" s="133" t="s">
        <v>279</v>
      </c>
      <c r="B366" s="7">
        <v>2020</v>
      </c>
      <c r="C366" s="7">
        <v>2021</v>
      </c>
      <c r="D366" s="7" t="s">
        <v>124</v>
      </c>
      <c r="E366" s="7" t="s">
        <v>55</v>
      </c>
      <c r="F366" s="7" t="s">
        <v>56</v>
      </c>
      <c r="G366" s="7" t="s">
        <v>57</v>
      </c>
      <c r="H366" s="7" t="s">
        <v>58</v>
      </c>
      <c r="I366" s="7" t="s">
        <v>59</v>
      </c>
      <c r="J366" s="7" t="s">
        <v>60</v>
      </c>
      <c r="K366" s="7" t="s">
        <v>61</v>
      </c>
      <c r="L366" s="7" t="s">
        <v>62</v>
      </c>
      <c r="M366" s="7" t="s">
        <v>64</v>
      </c>
      <c r="O366" s="7" t="s">
        <v>65</v>
      </c>
    </row>
    <row r="367" ht="14" spans="1:17">
      <c r="A367" s="13" t="s">
        <v>66</v>
      </c>
      <c r="B367" s="124">
        <v>76680</v>
      </c>
      <c r="C367" s="124">
        <v>68485</v>
      </c>
      <c r="D367" s="30">
        <f>AVERAGE(B367:C367)</f>
        <v>72582.5</v>
      </c>
      <c r="E367" s="30">
        <f>AVERAGE(C367:D367)</f>
        <v>70533.75</v>
      </c>
      <c r="F367" s="30">
        <f>AVERAGE(D367:E367)</f>
        <v>71558.125</v>
      </c>
      <c r="G367" s="30">
        <f>AVERAGE(E367:F367)</f>
        <v>71045.9375</v>
      </c>
      <c r="H367" s="30">
        <f>AVERAGE(F367:G367)</f>
        <v>71302.03125</v>
      </c>
      <c r="I367" s="30">
        <f>AVERAGE(G367:H367)</f>
        <v>71173.984375</v>
      </c>
      <c r="J367" s="30">
        <f>AVERAGE(H367:I367)</f>
        <v>71238.0078125</v>
      </c>
      <c r="K367" s="30">
        <f>AVERAGE(I367:J367)</f>
        <v>71205.99609375</v>
      </c>
      <c r="L367" s="30">
        <f>AVERAGE(J367:K367)</f>
        <v>71222.001953125</v>
      </c>
      <c r="O367" s="13" t="s">
        <v>67</v>
      </c>
      <c r="Q367" s="136"/>
    </row>
    <row r="368" ht="14" spans="1:14">
      <c r="A368" s="5" t="s">
        <v>68</v>
      </c>
      <c r="M368" s="135"/>
      <c r="N368" s="135"/>
    </row>
    <row r="369" ht="14" spans="1:15">
      <c r="A369" s="99" t="s">
        <v>97</v>
      </c>
      <c r="B369" s="77">
        <v>0.242566510172144</v>
      </c>
      <c r="C369" s="77">
        <v>0.168723078046288</v>
      </c>
      <c r="D369" s="77">
        <f>R352-D381/4</f>
        <v>0.351830892252939</v>
      </c>
      <c r="E369" s="77">
        <f>D369-E381</f>
        <v>0.216497698059135</v>
      </c>
      <c r="F369" s="77">
        <f>E369-F381</f>
        <v>0.0794772993407454</v>
      </c>
      <c r="G369" s="77">
        <f>F369-G381</f>
        <v>-0.0575430993776439</v>
      </c>
      <c r="H369" s="77">
        <f>G369-H381</f>
        <v>-0.194563498096033</v>
      </c>
      <c r="I369" s="77">
        <f>H369-I381</f>
        <v>-0.331583896814423</v>
      </c>
      <c r="J369" s="77">
        <f>I369-J381</f>
        <v>-0.468604295532812</v>
      </c>
      <c r="K369" s="77">
        <f>J369-K381</f>
        <v>-0.605624694251202</v>
      </c>
      <c r="L369" s="77">
        <f>K369-L381</f>
        <v>-0.742645092969591</v>
      </c>
      <c r="M369" s="135"/>
      <c r="N369" s="135"/>
      <c r="O369" s="57">
        <f>-SUM(O370:O379)+X352</f>
        <v>0.112688547307341</v>
      </c>
    </row>
    <row r="370" ht="14" spans="1:15">
      <c r="A370" s="81" t="s">
        <v>265</v>
      </c>
      <c r="B370" s="77">
        <v>0.0840245174752217</v>
      </c>
      <c r="C370" s="77">
        <v>0.11252098999781</v>
      </c>
      <c r="D370" s="95">
        <f>MAX(0,C370+$O$369)</f>
        <v>0.225209537305151</v>
      </c>
      <c r="E370" s="95">
        <f>MAX(0,D370+$O$369)</f>
        <v>0.337898084612492</v>
      </c>
      <c r="F370" s="95">
        <f>MAX(0,E370+$O$369)</f>
        <v>0.450586631919833</v>
      </c>
      <c r="G370" s="95">
        <f>MAX(0,F370+$O$369)</f>
        <v>0.563275179227174</v>
      </c>
      <c r="H370" s="95">
        <f>MAX(0,G370+$O$369)</f>
        <v>0.675963726534515</v>
      </c>
      <c r="I370" s="95">
        <f>MAX(0,H370+$O$369)</f>
        <v>0.788652273841857</v>
      </c>
      <c r="J370" s="95">
        <f>MAX(0,I370+$O$369)</f>
        <v>0.901340821149198</v>
      </c>
      <c r="K370" s="95">
        <f>MAX(0,J370+$O$369)</f>
        <v>1.01402936845654</v>
      </c>
      <c r="L370" s="95">
        <f>MAX(0,K370+$O$369)</f>
        <v>1.12671791576388</v>
      </c>
      <c r="M370" s="135">
        <v>1</v>
      </c>
      <c r="N370" s="135"/>
      <c r="O370" s="57">
        <f>M370*Y353</f>
        <v>-0.0114006410836965</v>
      </c>
    </row>
    <row r="371" ht="14" spans="1:15">
      <c r="A371" s="81" t="s">
        <v>268</v>
      </c>
      <c r="B371" s="77">
        <v>0</v>
      </c>
      <c r="C371" s="77">
        <v>0.00150397897349785</v>
      </c>
      <c r="D371" s="95">
        <f>MAX(0,C371+$O$370)</f>
        <v>0</v>
      </c>
      <c r="E371" s="95">
        <f>MAX(0,D371+$O$370)</f>
        <v>0</v>
      </c>
      <c r="F371" s="95">
        <f>MAX(0,E371+$O$370)</f>
        <v>0</v>
      </c>
      <c r="G371" s="95">
        <f>MAX(0,F371+$O$370)</f>
        <v>0</v>
      </c>
      <c r="H371" s="95">
        <f>MAX(0,G371+$O$370)</f>
        <v>0</v>
      </c>
      <c r="I371" s="95">
        <f>MAX(0,H371+$O$370)</f>
        <v>0</v>
      </c>
      <c r="J371" s="95">
        <f>MAX(0,I371+$O$370)</f>
        <v>0</v>
      </c>
      <c r="K371" s="95">
        <f>MAX(0,J371+$O$370)</f>
        <v>0</v>
      </c>
      <c r="L371" s="95">
        <f>MAX(0,K371+$O$370)</f>
        <v>0</v>
      </c>
      <c r="M371" s="135">
        <v>1</v>
      </c>
      <c r="N371" s="135"/>
      <c r="O371" s="57">
        <f>M371*Y354</f>
        <v>0.00632735218704438</v>
      </c>
    </row>
    <row r="372" ht="14" spans="1:15">
      <c r="A372" s="81" t="s">
        <v>111</v>
      </c>
      <c r="B372" s="77">
        <v>0.0486958789775691</v>
      </c>
      <c r="C372" s="77">
        <v>0.0545958969117325</v>
      </c>
      <c r="D372" s="95">
        <f>MAX(0,C372+$O$371)</f>
        <v>0.0609232490987769</v>
      </c>
      <c r="E372" s="95">
        <f>MAX(0,D372+$O$371)</f>
        <v>0.0672506012858212</v>
      </c>
      <c r="F372" s="95">
        <f>MAX(0,E372+$O$371)</f>
        <v>0.0735779534728656</v>
      </c>
      <c r="G372" s="95">
        <f>MAX(0,F372+$O$371)</f>
        <v>0.07990530565991</v>
      </c>
      <c r="H372" s="95">
        <f>MAX(0,G372+$O$371)</f>
        <v>0.0862326578469544</v>
      </c>
      <c r="I372" s="95">
        <f>MAX(0,H372+$O$371)</f>
        <v>0.0925600100339987</v>
      </c>
      <c r="J372" s="95">
        <f>MAX(0,I372+$O$371)</f>
        <v>0.0988873622210431</v>
      </c>
      <c r="K372" s="95">
        <f>MAX(0,J372+$O$371)</f>
        <v>0.105214714408087</v>
      </c>
      <c r="L372" s="95">
        <f>MAX(0,K372+$O$371)</f>
        <v>0.111542066595132</v>
      </c>
      <c r="M372" s="135">
        <v>1</v>
      </c>
      <c r="N372" s="135"/>
      <c r="O372" s="57">
        <f>M372*Y355</f>
        <v>-0.00795169816940893</v>
      </c>
    </row>
    <row r="373" ht="14" spans="1:15">
      <c r="A373" s="81" t="s">
        <v>272</v>
      </c>
      <c r="B373" s="77">
        <v>0</v>
      </c>
      <c r="C373" s="77">
        <v>0.00646856975980142</v>
      </c>
      <c r="D373" s="95">
        <f>MAX(0,C373+$O$372)</f>
        <v>0</v>
      </c>
      <c r="E373" s="95">
        <f>MAX(0,D373+$O$372)</f>
        <v>0</v>
      </c>
      <c r="F373" s="95">
        <f>MAX(0,E373+$O$372)</f>
        <v>0</v>
      </c>
      <c r="G373" s="95">
        <f>MAX(0,F373+$O$372)</f>
        <v>0</v>
      </c>
      <c r="H373" s="95">
        <f>MAX(0,G373+$O$372)</f>
        <v>0</v>
      </c>
      <c r="I373" s="95">
        <f>MAX(0,H373+$O$372)</f>
        <v>0</v>
      </c>
      <c r="J373" s="95">
        <f>MAX(0,I373+$O$372)</f>
        <v>0</v>
      </c>
      <c r="K373" s="95">
        <f>MAX(0,J373+$O$372)</f>
        <v>0</v>
      </c>
      <c r="L373" s="95">
        <f>MAX(0,K373+$O$372)</f>
        <v>0</v>
      </c>
      <c r="M373" s="135">
        <v>0.4</v>
      </c>
      <c r="N373" s="135"/>
      <c r="O373" s="57">
        <f>M373*Y356</f>
        <v>0.0112832875744782</v>
      </c>
    </row>
    <row r="374" ht="14" spans="1:15">
      <c r="A374" s="81" t="s">
        <v>274</v>
      </c>
      <c r="B374" s="77">
        <v>0.031377151799687</v>
      </c>
      <c r="C374" s="77">
        <v>0.0302109951084179</v>
      </c>
      <c r="D374" s="95">
        <f>MAX(0,C374+$O$373)</f>
        <v>0.0414942826828961</v>
      </c>
      <c r="E374" s="95">
        <f>MAX(0,D374+$O$373)</f>
        <v>0.0527775702573743</v>
      </c>
      <c r="F374" s="95">
        <f>MAX(0,E374+$O$373)</f>
        <v>0.0640608578318525</v>
      </c>
      <c r="G374" s="95">
        <f>MAX(0,F374+$O$373)</f>
        <v>0.0753441454063307</v>
      </c>
      <c r="H374" s="95">
        <f>MAX(0,G374+$O$373)</f>
        <v>0.086627432980809</v>
      </c>
      <c r="I374" s="95">
        <f>MAX(0,H374+$O$373)</f>
        <v>0.0979107205552872</v>
      </c>
      <c r="J374" s="95">
        <f>MAX(0,I374+$O$373)</f>
        <v>0.109194008129765</v>
      </c>
      <c r="K374" s="95">
        <f>MAX(0,J374+$O$373)</f>
        <v>0.120477295704244</v>
      </c>
      <c r="L374" s="95">
        <f>MAX(0,K374+$O$373)</f>
        <v>0.131760583278722</v>
      </c>
      <c r="M374" s="135">
        <v>1</v>
      </c>
      <c r="N374" s="135"/>
      <c r="O374" s="57">
        <f>M374*Y357</f>
        <v>-0.00638232610130089</v>
      </c>
    </row>
    <row r="375" ht="14" spans="1:16">
      <c r="A375" s="81" t="s">
        <v>275</v>
      </c>
      <c r="B375" s="77">
        <v>0.100899843505477</v>
      </c>
      <c r="C375" s="77">
        <v>0.113309483828576</v>
      </c>
      <c r="D375" s="95">
        <f>MAX(0,C375+$O$374)</f>
        <v>0.106927157727275</v>
      </c>
      <c r="E375" s="95">
        <f>MAX(0,D375+$O$374)</f>
        <v>0.100544831625974</v>
      </c>
      <c r="F375" s="95">
        <f>MAX(0,E375+$O$374)</f>
        <v>0.0941625055246729</v>
      </c>
      <c r="G375" s="95">
        <f>MAX(0,F375+$O$374)</f>
        <v>0.087780179423372</v>
      </c>
      <c r="H375" s="95">
        <f>MAX(0,G375+$O$374)</f>
        <v>0.0813978533220711</v>
      </c>
      <c r="I375" s="95">
        <f>MAX(0,H375+$O$374)</f>
        <v>0.0750155272207702</v>
      </c>
      <c r="J375" s="95">
        <f>MAX(0,I375+$O$374)</f>
        <v>0.0686332011194694</v>
      </c>
      <c r="K375" s="95">
        <f>MAX(0,J375+$O$374)</f>
        <v>0.0622508750181685</v>
      </c>
      <c r="L375" s="95">
        <f>MAX(0,K375+$O$374)</f>
        <v>0.0558685489168676</v>
      </c>
      <c r="M375" s="135">
        <v>1</v>
      </c>
      <c r="N375" s="135"/>
      <c r="O375" s="57">
        <f>M375*Y358</f>
        <v>-0.00946852300699109</v>
      </c>
      <c r="P375" s="33"/>
    </row>
    <row r="376" ht="14" spans="1:17">
      <c r="A376" s="25" t="s">
        <v>277</v>
      </c>
      <c r="B376" s="77">
        <v>0</v>
      </c>
      <c r="C376" s="77">
        <v>0.0111557275315763</v>
      </c>
      <c r="D376" s="95">
        <f>MAX(0,C376+$O$375)</f>
        <v>0.00168720452458517</v>
      </c>
      <c r="E376" s="95">
        <f>MAX(0,D376+$O$375)</f>
        <v>0</v>
      </c>
      <c r="F376" s="95">
        <f>MAX(0,E376+$O$375)</f>
        <v>0</v>
      </c>
      <c r="G376" s="95">
        <f>MAX(0,F376+$O$375)</f>
        <v>0</v>
      </c>
      <c r="H376" s="95">
        <f>MAX(0,G376+$O$375)</f>
        <v>0</v>
      </c>
      <c r="I376" s="95">
        <f>MAX(0,H376+$O$375)</f>
        <v>0</v>
      </c>
      <c r="J376" s="95">
        <f>MAX(0,I376+$O$375)</f>
        <v>0</v>
      </c>
      <c r="K376" s="95">
        <f>MAX(0,J376+$O$375)</f>
        <v>0</v>
      </c>
      <c r="L376" s="95">
        <f>MAX(0,K376+$O$375)</f>
        <v>0</v>
      </c>
      <c r="M376" s="135">
        <v>1</v>
      </c>
      <c r="N376" s="135"/>
      <c r="O376" s="57">
        <f>M376*Y359</f>
        <v>0.00961855630914266</v>
      </c>
      <c r="P376" s="33"/>
      <c r="Q376" s="25"/>
    </row>
    <row r="377" ht="14" spans="1:16">
      <c r="A377" s="81" t="s">
        <v>117</v>
      </c>
      <c r="B377" s="77">
        <v>0.0504694835680751</v>
      </c>
      <c r="C377" s="77">
        <v>0.0621595969920421</v>
      </c>
      <c r="D377" s="95">
        <f>MAX(0,C377+$O$376)</f>
        <v>0.0717781533011847</v>
      </c>
      <c r="E377" s="95">
        <f>MAX(0,D377+$O$376)</f>
        <v>0.0813967096103274</v>
      </c>
      <c r="F377" s="95">
        <f>MAX(0,E377+$O$376)</f>
        <v>0.09101526591947</v>
      </c>
      <c r="G377" s="95">
        <f>MAX(0,F377+$O$376)</f>
        <v>0.100633822228613</v>
      </c>
      <c r="H377" s="95">
        <f>MAX(0,G377+$O$376)</f>
        <v>0.110252378537755</v>
      </c>
      <c r="I377" s="95">
        <f>MAX(0,H377+$O$376)</f>
        <v>0.119870934846898</v>
      </c>
      <c r="J377" s="95">
        <f>MAX(0,I377+$O$376)</f>
        <v>0.129489491156041</v>
      </c>
      <c r="K377" s="95">
        <f>MAX(0,J377+$O$376)</f>
        <v>0.139108047465183</v>
      </c>
      <c r="L377" s="95">
        <f>MAX(0,K377+$O$376)</f>
        <v>0.148726603774326</v>
      </c>
      <c r="M377" s="135">
        <v>1</v>
      </c>
      <c r="N377" s="135"/>
      <c r="O377" s="57">
        <f>M377*Y360</f>
        <v>-0.00381924914580199</v>
      </c>
      <c r="P377" s="33"/>
    </row>
    <row r="378" ht="14" spans="1:16">
      <c r="A378" s="81" t="s">
        <v>114</v>
      </c>
      <c r="B378" s="77">
        <v>0.0864632237871674</v>
      </c>
      <c r="C378" s="77">
        <v>0.208542016499963</v>
      </c>
      <c r="D378" s="95">
        <f>MAX(0,C378+$O$377)</f>
        <v>0.204722767354162</v>
      </c>
      <c r="E378" s="95">
        <f>MAX(0,D378+$O$377)</f>
        <v>0.20090351820836</v>
      </c>
      <c r="F378" s="95">
        <f>MAX(0,E378+$O$377)</f>
        <v>0.197084269062558</v>
      </c>
      <c r="G378" s="95">
        <f>MAX(0,F378+$O$377)</f>
        <v>0.193265019916756</v>
      </c>
      <c r="H378" s="95">
        <f>MAX(0,G378+$O$377)</f>
        <v>0.189445770770954</v>
      </c>
      <c r="I378" s="95">
        <f>MAX(0,H378+$O$377)</f>
        <v>0.185626521625152</v>
      </c>
      <c r="J378" s="95">
        <f>MAX(0,I378+$O$377)</f>
        <v>0.18180727247935</v>
      </c>
      <c r="K378" s="95">
        <f>MAX(0,J378+$O$377)</f>
        <v>0.177988023333548</v>
      </c>
      <c r="L378" s="95">
        <f>MAX(0,K378+$O$377)</f>
        <v>0.174168774187746</v>
      </c>
      <c r="M378" s="135">
        <v>0.3</v>
      </c>
      <c r="N378" s="135"/>
      <c r="O378" s="57">
        <f>M378*Y361</f>
        <v>0.00730423058748597</v>
      </c>
      <c r="P378" s="33"/>
    </row>
    <row r="379" ht="14" spans="1:16">
      <c r="A379" s="81" t="s">
        <v>120</v>
      </c>
      <c r="B379" s="77">
        <v>0.0514214919144497</v>
      </c>
      <c r="C379" s="77">
        <v>0.133868730378915</v>
      </c>
      <c r="D379" s="95">
        <f>MAX(0,C379+$O$378)</f>
        <v>0.141172960966401</v>
      </c>
      <c r="E379" s="95">
        <f>MAX(0,D379+$O$378)</f>
        <v>0.148477191553887</v>
      </c>
      <c r="F379" s="95">
        <f>MAX(0,E379+$O$378)</f>
        <v>0.155781422141373</v>
      </c>
      <c r="G379" s="95">
        <f>MAX(0,F379+$O$378)</f>
        <v>0.163085652728859</v>
      </c>
      <c r="H379" s="95">
        <f>MAX(0,G379+$O$378)</f>
        <v>0.170389883316345</v>
      </c>
      <c r="I379" s="95">
        <f>MAX(0,H379+$O$378)</f>
        <v>0.177694113903831</v>
      </c>
      <c r="J379" s="95">
        <f>MAX(0,I379+$O$378)</f>
        <v>0.184998344491317</v>
      </c>
      <c r="K379" s="95">
        <f>MAX(0,J379+$O$378)</f>
        <v>0.192302575078803</v>
      </c>
      <c r="L379" s="95">
        <f>MAX(0,K379+$O$378)</f>
        <v>0.199606805666289</v>
      </c>
      <c r="M379" s="135">
        <v>0.4</v>
      </c>
      <c r="N379" s="135"/>
      <c r="O379" s="57">
        <f>M379*Y362</f>
        <v>0.00384892314388658</v>
      </c>
      <c r="P379" s="33"/>
    </row>
    <row r="380" ht="14" spans="1:16">
      <c r="A380" s="81"/>
      <c r="B380" s="35"/>
      <c r="C380" s="35"/>
      <c r="D380" s="33"/>
      <c r="E380" s="33"/>
      <c r="F380" s="33"/>
      <c r="G380" s="33"/>
      <c r="H380" s="33"/>
      <c r="I380" s="33"/>
      <c r="J380" s="33"/>
      <c r="K380" s="33"/>
      <c r="L380" s="33"/>
      <c r="M380" s="56"/>
      <c r="N380" s="56"/>
      <c r="O380" s="33"/>
      <c r="P380" s="33"/>
    </row>
    <row r="381" ht="14" spans="1:16">
      <c r="A381" s="16" t="s">
        <v>70</v>
      </c>
      <c r="B381" s="35"/>
      <c r="C381" s="35">
        <f>SUM(C370:C379)-SUM(B370:B379)</f>
        <v>0.280984394954685</v>
      </c>
      <c r="D381" s="35">
        <f>SUM(D370:D379)-SUM(C370:C379)</f>
        <v>0.119579326978099</v>
      </c>
      <c r="E381" s="35">
        <f>SUM(E370:E379)-SUM(D370:D379)</f>
        <v>0.135333194193804</v>
      </c>
      <c r="F381" s="35">
        <f>SUM(F370:F379)-SUM(E370:E379)</f>
        <v>0.13702039871839</v>
      </c>
      <c r="G381" s="35">
        <f>SUM(G370:G379)-SUM(F370:F379)</f>
        <v>0.137020398718389</v>
      </c>
      <c r="H381" s="35">
        <f>SUM(H370:H379)-SUM(G370:G379)</f>
        <v>0.137020398718389</v>
      </c>
      <c r="I381" s="35">
        <f>SUM(I370:I379)-SUM(H370:H379)</f>
        <v>0.13702039871839</v>
      </c>
      <c r="J381" s="35">
        <f>SUM(J370:J379)-SUM(I370:I379)</f>
        <v>0.13702039871839</v>
      </c>
      <c r="K381" s="35">
        <f>SUM(K370:K379)-SUM(J370:J379)</f>
        <v>0.13702039871839</v>
      </c>
      <c r="L381" s="35">
        <f>SUM(L370:L379)-SUM(K370:K379)</f>
        <v>0.137020398718389</v>
      </c>
      <c r="M381" s="56"/>
      <c r="N381" s="56"/>
      <c r="O381" s="33"/>
      <c r="P381" s="33"/>
    </row>
    <row r="382" ht="14" spans="1:16">
      <c r="A382" s="5" t="s">
        <v>45</v>
      </c>
      <c r="B382" s="35"/>
      <c r="C382" s="35"/>
      <c r="D382" s="33"/>
      <c r="E382" s="33"/>
      <c r="F382" s="33"/>
      <c r="G382" s="33"/>
      <c r="H382" s="33"/>
      <c r="I382" s="33"/>
      <c r="J382" s="33"/>
      <c r="K382" s="33"/>
      <c r="L382" s="33"/>
      <c r="M382" s="56"/>
      <c r="N382" s="56"/>
      <c r="O382" s="98"/>
      <c r="P382" s="98"/>
    </row>
    <row r="383" ht="14" spans="1:16">
      <c r="A383" s="16" t="s">
        <v>97</v>
      </c>
      <c r="B383" s="124">
        <f>J352</f>
        <v>18600</v>
      </c>
      <c r="C383" s="124">
        <f>K352</f>
        <v>11555</v>
      </c>
      <c r="D383" s="39">
        <f>D369*D367</f>
        <v>25536.765736949</v>
      </c>
      <c r="E383" s="39">
        <f>E369*E367</f>
        <v>15270.3945104785</v>
      </c>
      <c r="F383" s="39">
        <f>F369*F367</f>
        <v>5687.24652088748</v>
      </c>
      <c r="G383" s="39">
        <f>G369*G367</f>
        <v>-4088.20344194038</v>
      </c>
      <c r="H383" s="39">
        <f>H369*H367</f>
        <v>-13872.7726213527</v>
      </c>
      <c r="I383" s="39">
        <f>I369*I367</f>
        <v>-23600.1470908713</v>
      </c>
      <c r="J383" s="39">
        <f>J369*J367</f>
        <v>-33382.4364661375</v>
      </c>
      <c r="K383" s="39">
        <f>K369*K367</f>
        <v>-43124.1096131296</v>
      </c>
      <c r="L383" s="39">
        <f>L369*L367</f>
        <v>-52892.6702619589</v>
      </c>
      <c r="M383" s="13" t="s">
        <v>72</v>
      </c>
      <c r="O383" s="98"/>
      <c r="P383" s="98"/>
    </row>
    <row r="385" s="3" customFormat="1" ht="14.75" spans="1:1">
      <c r="A385" s="3" t="s">
        <v>128</v>
      </c>
    </row>
    <row r="386" s="4" customFormat="1" ht="46.5" customHeight="1" spans="1:25">
      <c r="A386" s="4" t="s">
        <v>3</v>
      </c>
      <c r="B386" s="4" t="s">
        <v>4</v>
      </c>
      <c r="C386" s="4" t="s">
        <v>5</v>
      </c>
      <c r="D386" s="4" t="s">
        <v>6</v>
      </c>
      <c r="E386" s="4" t="s">
        <v>7</v>
      </c>
      <c r="F386" s="4" t="s">
        <v>8</v>
      </c>
      <c r="G386" s="4" t="s">
        <v>9</v>
      </c>
      <c r="H386" s="4" t="s">
        <v>10</v>
      </c>
      <c r="I386" s="4" t="s">
        <v>11</v>
      </c>
      <c r="J386" s="4" t="s">
        <v>12</v>
      </c>
      <c r="K386" s="4" t="s">
        <v>13</v>
      </c>
      <c r="L386" s="4" t="s">
        <v>75</v>
      </c>
      <c r="M386" s="4" t="s">
        <v>76</v>
      </c>
      <c r="N386" s="4" t="s">
        <v>16</v>
      </c>
      <c r="O386" s="4" t="s">
        <v>17</v>
      </c>
      <c r="P386" s="4" t="s">
        <v>18</v>
      </c>
      <c r="Q386" s="4" t="s">
        <v>19</v>
      </c>
      <c r="R386" s="4" t="s">
        <v>280</v>
      </c>
      <c r="T386" s="4" t="s">
        <v>22</v>
      </c>
      <c r="U386" s="4" t="s">
        <v>23</v>
      </c>
      <c r="V386" s="4" t="s">
        <v>24</v>
      </c>
      <c r="W386" s="4" t="s">
        <v>25</v>
      </c>
      <c r="X386" s="4" t="s">
        <v>26</v>
      </c>
      <c r="Y386" s="4" t="s">
        <v>27</v>
      </c>
    </row>
    <row r="387" ht="14" spans="1:25">
      <c r="A387" s="117" t="s">
        <v>0</v>
      </c>
      <c r="B387" s="99" t="s">
        <v>128</v>
      </c>
      <c r="C387" s="99">
        <v>2015.9</v>
      </c>
      <c r="D387" s="119" t="s">
        <v>98</v>
      </c>
      <c r="E387" s="119" t="s">
        <v>29</v>
      </c>
      <c r="F387" s="119" t="s">
        <v>150</v>
      </c>
      <c r="G387" s="99" t="s">
        <v>31</v>
      </c>
      <c r="H387" s="127">
        <v>89990</v>
      </c>
      <c r="I387" s="119" t="s">
        <v>219</v>
      </c>
      <c r="J387" s="60">
        <v>25000</v>
      </c>
      <c r="K387" s="130">
        <v>7306</v>
      </c>
      <c r="L387" s="130">
        <v>10300</v>
      </c>
      <c r="M387" s="130">
        <v>14299</v>
      </c>
      <c r="N387" s="130"/>
      <c r="O387" s="76">
        <v>0.00817688766722553</v>
      </c>
      <c r="P387" s="76">
        <v>0.00212752140843897</v>
      </c>
      <c r="Q387" s="76">
        <v>0.00650246778121911</v>
      </c>
      <c r="R387" s="76">
        <v>0.00681794341188026</v>
      </c>
      <c r="S387" s="76"/>
      <c r="T387" s="68">
        <f>P387-O387</f>
        <v>-0.00604936625878656</v>
      </c>
      <c r="U387" s="68">
        <f>R387-P387</f>
        <v>0.00469042200344129</v>
      </c>
      <c r="V387" s="68">
        <f>R387-O387</f>
        <v>-0.00135894425534527</v>
      </c>
      <c r="W387" s="54">
        <f>SUM(V388:V391)/1.75</f>
        <v>0.000251751093089093</v>
      </c>
      <c r="X387" s="54">
        <f>W387+Y387</f>
        <v>-0.000524788481393916</v>
      </c>
      <c r="Y387" s="54">
        <f>V387/1.75</f>
        <v>-0.000776539574483009</v>
      </c>
    </row>
    <row r="388" ht="14" spans="1:25">
      <c r="A388" s="16" t="s">
        <v>107</v>
      </c>
      <c r="B388" s="81" t="s">
        <v>226</v>
      </c>
      <c r="C388" s="81"/>
      <c r="D388" s="16" t="s">
        <v>28</v>
      </c>
      <c r="E388" s="16" t="s">
        <v>29</v>
      </c>
      <c r="F388" s="16" t="s">
        <v>150</v>
      </c>
      <c r="G388" s="25" t="s">
        <v>31</v>
      </c>
      <c r="H388" s="138">
        <v>83200</v>
      </c>
      <c r="I388" s="134" t="s">
        <v>281</v>
      </c>
      <c r="J388" s="63">
        <v>0</v>
      </c>
      <c r="K388" s="63">
        <v>0</v>
      </c>
      <c r="L388" s="124">
        <v>1428</v>
      </c>
      <c r="M388" s="124">
        <v>3155</v>
      </c>
      <c r="N388" s="124"/>
      <c r="O388" s="77">
        <v>0</v>
      </c>
      <c r="P388" s="77">
        <v>0</v>
      </c>
      <c r="Q388" s="77">
        <v>0.000901507183648629</v>
      </c>
      <c r="R388" s="77">
        <v>0.00150434376281434</v>
      </c>
      <c r="S388" s="77"/>
      <c r="T388" s="95">
        <f>P388-O388</f>
        <v>0</v>
      </c>
      <c r="U388" s="68">
        <f>R388-P388</f>
        <v>0.00150434376281434</v>
      </c>
      <c r="V388" s="68">
        <f>R388-O388</f>
        <v>0.00150434376281434</v>
      </c>
      <c r="W388" s="95"/>
      <c r="X388" s="95"/>
      <c r="Y388" s="54">
        <f>V388/1.75</f>
        <v>0.000859625007322479</v>
      </c>
    </row>
    <row r="389" ht="14" spans="1:25">
      <c r="A389" s="16" t="s">
        <v>167</v>
      </c>
      <c r="B389" s="81" t="s">
        <v>181</v>
      </c>
      <c r="C389" s="81"/>
      <c r="D389" s="16" t="s">
        <v>28</v>
      </c>
      <c r="E389" s="16" t="s">
        <v>29</v>
      </c>
      <c r="F389" s="16" t="s">
        <v>150</v>
      </c>
      <c r="G389" s="25" t="s">
        <v>31</v>
      </c>
      <c r="H389" s="138">
        <v>66995</v>
      </c>
      <c r="I389" s="134" t="s">
        <v>162</v>
      </c>
      <c r="J389" s="23">
        <v>7202</v>
      </c>
      <c r="K389" s="23">
        <v>10921</v>
      </c>
      <c r="L389" s="23">
        <v>4738</v>
      </c>
      <c r="M389" s="23">
        <v>6358</v>
      </c>
      <c r="N389" s="23"/>
      <c r="O389" s="77">
        <v>0.00235559779917433</v>
      </c>
      <c r="P389" s="77">
        <v>0.00318021643875746</v>
      </c>
      <c r="Q389" s="77">
        <v>0.00299113517936079</v>
      </c>
      <c r="R389" s="77">
        <v>0.00303157453057799</v>
      </c>
      <c r="S389" s="77"/>
      <c r="T389" s="95">
        <f>P389-O389</f>
        <v>0.000824618639583134</v>
      </c>
      <c r="U389" s="68">
        <f>R389-P389</f>
        <v>-0.000148641908179472</v>
      </c>
      <c r="V389" s="68">
        <f>R389-O389</f>
        <v>0.000675976731403662</v>
      </c>
      <c r="W389" s="95"/>
      <c r="X389" s="95"/>
      <c r="Y389" s="54">
        <f>V389/1.75</f>
        <v>0.000386272417944949</v>
      </c>
    </row>
    <row r="390" ht="14" spans="1:25">
      <c r="A390" s="81" t="s">
        <v>116</v>
      </c>
      <c r="B390" s="81" t="s">
        <v>143</v>
      </c>
      <c r="C390" s="81"/>
      <c r="D390" s="16" t="s">
        <v>98</v>
      </c>
      <c r="E390" s="16" t="s">
        <v>29</v>
      </c>
      <c r="F390" s="16" t="s">
        <v>150</v>
      </c>
      <c r="G390" s="25" t="s">
        <v>35</v>
      </c>
      <c r="H390" s="138">
        <v>68850</v>
      </c>
      <c r="I390" s="134" t="s">
        <v>153</v>
      </c>
      <c r="J390" s="63">
        <v>18092</v>
      </c>
      <c r="K390" s="63">
        <v>17299</v>
      </c>
      <c r="L390" s="124">
        <v>5866</v>
      </c>
      <c r="M390" s="124">
        <v>14583</v>
      </c>
      <c r="N390" s="124"/>
      <c r="O390" s="77">
        <v>0.00591745006701777</v>
      </c>
      <c r="P390" s="77">
        <v>0.00503750244245631</v>
      </c>
      <c r="Q390" s="77">
        <v>0.00370325009753702</v>
      </c>
      <c r="R390" s="77">
        <v>0.00695335819116371</v>
      </c>
      <c r="S390" s="77"/>
      <c r="T390" s="95">
        <f>P390-O390</f>
        <v>-0.00087994762456146</v>
      </c>
      <c r="U390" s="68">
        <f>R390-P390</f>
        <v>0.0019158557487074</v>
      </c>
      <c r="V390" s="68">
        <f>R390-O390</f>
        <v>0.00103590812414594</v>
      </c>
      <c r="W390" s="95"/>
      <c r="X390" s="95"/>
      <c r="Y390" s="54">
        <f>V390/1.75</f>
        <v>0.000591947499511964</v>
      </c>
    </row>
    <row r="391" ht="14" spans="1:25">
      <c r="A391" s="81" t="s">
        <v>169</v>
      </c>
      <c r="B391" s="81" t="s">
        <v>282</v>
      </c>
      <c r="C391" s="81"/>
      <c r="D391" s="16" t="s">
        <v>28</v>
      </c>
      <c r="E391" s="16" t="s">
        <v>29</v>
      </c>
      <c r="F391" s="16" t="s">
        <v>150</v>
      </c>
      <c r="G391" s="25" t="s">
        <v>35</v>
      </c>
      <c r="H391" s="138">
        <v>70850</v>
      </c>
      <c r="I391" s="134" t="s">
        <v>283</v>
      </c>
      <c r="J391" s="63">
        <v>20054</v>
      </c>
      <c r="K391" s="63">
        <v>21342</v>
      </c>
      <c r="L391" s="63">
        <v>6618</v>
      </c>
      <c r="M391" s="63">
        <v>7935</v>
      </c>
      <c r="N391" s="63"/>
      <c r="O391" s="77">
        <v>0.00655917221114163</v>
      </c>
      <c r="P391" s="77">
        <v>0.00621483190513339</v>
      </c>
      <c r="Q391" s="77">
        <v>0.00417799337632117</v>
      </c>
      <c r="R391" s="77">
        <v>0.00378350800568361</v>
      </c>
      <c r="S391" s="77"/>
      <c r="T391" s="95">
        <f>P391-O391</f>
        <v>-0.000344340306008236</v>
      </c>
      <c r="U391" s="68">
        <f>R391-P391</f>
        <v>-0.00243132389944979</v>
      </c>
      <c r="V391" s="68">
        <f>R391-O391</f>
        <v>-0.00277566420545802</v>
      </c>
      <c r="W391" s="95"/>
      <c r="X391" s="95"/>
      <c r="Y391" s="54">
        <f>V391/1.75</f>
        <v>-0.0015860938316903</v>
      </c>
    </row>
    <row r="392" s="5" customFormat="1" ht="14" spans="1:25">
      <c r="A392" s="5" t="s">
        <v>52</v>
      </c>
      <c r="B392" s="105"/>
      <c r="C392" s="105"/>
      <c r="D392" s="15"/>
      <c r="E392" s="15"/>
      <c r="F392" s="15"/>
      <c r="G392" s="99"/>
      <c r="H392" s="127"/>
      <c r="I392" s="119"/>
      <c r="J392" s="140">
        <f>SUM(J387:J391)</f>
        <v>70348</v>
      </c>
      <c r="K392" s="140">
        <f>SUM(K387:K391)</f>
        <v>56868</v>
      </c>
      <c r="L392" s="140">
        <f>SUM(L387:L391)</f>
        <v>28950</v>
      </c>
      <c r="M392" s="140">
        <f>SUM(M387:M391)</f>
        <v>46330</v>
      </c>
      <c r="N392" s="140"/>
      <c r="O392" s="68">
        <f>SUM(O387:O391)</f>
        <v>0.0230091077445593</v>
      </c>
      <c r="P392" s="68">
        <f>SUM(P387:P391)</f>
        <v>0.0165600721947861</v>
      </c>
      <c r="Q392" s="68">
        <f>SUM(Q387:Q391)</f>
        <v>0.0182763536180867</v>
      </c>
      <c r="R392" s="68">
        <f>SUM(R387:R391)</f>
        <v>0.0220907279021199</v>
      </c>
      <c r="S392" s="68"/>
      <c r="T392" s="68">
        <f>SUM(T387:T391)</f>
        <v>-0.00644903554977312</v>
      </c>
      <c r="U392" s="68">
        <f>SUM(U387:U391)</f>
        <v>0.00553065570733376</v>
      </c>
      <c r="V392" s="68">
        <f>SUM(V387:V391)</f>
        <v>-0.000918379842439353</v>
      </c>
      <c r="W392" s="68"/>
      <c r="X392" s="68"/>
      <c r="Y392" s="67">
        <f>V392/1.75</f>
        <v>-0.000524788481393916</v>
      </c>
    </row>
    <row r="393" ht="14" spans="1:1">
      <c r="A393" s="5" t="s">
        <v>53</v>
      </c>
    </row>
    <row r="394" s="7" customFormat="1" ht="14" spans="1:15">
      <c r="A394" s="7" t="s">
        <v>284</v>
      </c>
      <c r="B394" s="27">
        <v>2020</v>
      </c>
      <c r="C394" s="27">
        <v>2021</v>
      </c>
      <c r="D394" s="27" t="s">
        <v>124</v>
      </c>
      <c r="E394" s="27" t="s">
        <v>55</v>
      </c>
      <c r="F394" s="27" t="s">
        <v>56</v>
      </c>
      <c r="G394" s="27" t="s">
        <v>57</v>
      </c>
      <c r="H394" s="27" t="s">
        <v>58</v>
      </c>
      <c r="I394" s="27" t="s">
        <v>59</v>
      </c>
      <c r="J394" s="27" t="s">
        <v>60</v>
      </c>
      <c r="K394" s="27" t="s">
        <v>61</v>
      </c>
      <c r="L394" s="27" t="s">
        <v>62</v>
      </c>
      <c r="M394" s="7" t="s">
        <v>64</v>
      </c>
      <c r="O394" s="7" t="s">
        <v>65</v>
      </c>
    </row>
    <row r="395" ht="14" spans="1:15">
      <c r="A395" s="13" t="s">
        <v>66</v>
      </c>
      <c r="B395" s="124">
        <v>2734402</v>
      </c>
      <c r="C395" s="124">
        <v>3032576</v>
      </c>
      <c r="D395" s="30">
        <f>AVERAGE(B395:C395)</f>
        <v>2883489</v>
      </c>
      <c r="E395" s="30">
        <f>AVERAGE(C395:D395)</f>
        <v>2958032.5</v>
      </c>
      <c r="F395" s="30">
        <f>AVERAGE(D395:E395)</f>
        <v>2920760.75</v>
      </c>
      <c r="G395" s="30">
        <f>AVERAGE(E395:F395)</f>
        <v>2939396.625</v>
      </c>
      <c r="H395" s="30">
        <f>AVERAGE(F395:G395)</f>
        <v>2930078.6875</v>
      </c>
      <c r="I395" s="30">
        <f>AVERAGE(G395:H395)</f>
        <v>2934737.65625</v>
      </c>
      <c r="J395" s="30">
        <f>AVERAGE(H395:I395)</f>
        <v>2932408.171875</v>
      </c>
      <c r="K395" s="30">
        <f>AVERAGE(I395:J395)</f>
        <v>2933572.9140625</v>
      </c>
      <c r="L395" s="30">
        <f>AVERAGE(J395:K395)</f>
        <v>2932990.54296875</v>
      </c>
      <c r="O395" s="13" t="s">
        <v>67</v>
      </c>
    </row>
    <row r="396" ht="14" spans="1:1">
      <c r="A396" s="5" t="s">
        <v>68</v>
      </c>
    </row>
    <row r="397" ht="14" spans="1:16">
      <c r="A397" s="25" t="s">
        <v>128</v>
      </c>
      <c r="B397" s="35">
        <f>O387</f>
        <v>0.00817688766722553</v>
      </c>
      <c r="C397" s="35">
        <f>P387</f>
        <v>0.00212752140843897</v>
      </c>
      <c r="D397" s="95">
        <f>R387+Y387/4</f>
        <v>0.00662380851825951</v>
      </c>
      <c r="E397" s="95">
        <f>D397-E402</f>
        <v>0.00634945392389711</v>
      </c>
      <c r="F397" s="95">
        <f>E397-F402</f>
        <v>0.00607509932953472</v>
      </c>
      <c r="G397" s="95">
        <f>F397-G402</f>
        <v>0.00580074473517232</v>
      </c>
      <c r="H397" s="95">
        <f>G397-H402</f>
        <v>0.00552639014080993</v>
      </c>
      <c r="I397" s="95">
        <f>H397-I402</f>
        <v>0.00525203554644754</v>
      </c>
      <c r="J397" s="95">
        <f>I397-J402</f>
        <v>0.00497768095208514</v>
      </c>
      <c r="K397" s="95">
        <f>J397-K402</f>
        <v>0.00470332635772274</v>
      </c>
      <c r="L397" s="95">
        <f>K397-L402</f>
        <v>0.00442897176336035</v>
      </c>
      <c r="O397" s="33">
        <f>-SUM(O398:O401)+X387</f>
        <v>-0.000799143075756311</v>
      </c>
      <c r="P397" s="33"/>
    </row>
    <row r="398" ht="14" spans="1:17">
      <c r="A398" s="81" t="s">
        <v>226</v>
      </c>
      <c r="B398" s="35">
        <f>O388</f>
        <v>0</v>
      </c>
      <c r="C398" s="35">
        <f>P388</f>
        <v>0</v>
      </c>
      <c r="D398" s="33">
        <f>MAX(0,C398+$O398)</f>
        <v>0.000257887502196744</v>
      </c>
      <c r="E398" s="33">
        <f>MAX(0,D398+$O398)</f>
        <v>0.000515775004393488</v>
      </c>
      <c r="F398" s="33">
        <f>MAX(0,E398+$O398)</f>
        <v>0.000773662506590231</v>
      </c>
      <c r="G398" s="33">
        <f>MAX(0,F398+$O398)</f>
        <v>0.00103155000878698</v>
      </c>
      <c r="H398" s="33">
        <f>MAX(0,G398+$O398)</f>
        <v>0.00128943751098372</v>
      </c>
      <c r="I398" s="33">
        <f>MAX(0,H398+$O398)</f>
        <v>0.00154732501318046</v>
      </c>
      <c r="J398" s="33">
        <f>MAX(0,I398+$O398)</f>
        <v>0.00180521251537721</v>
      </c>
      <c r="K398" s="33">
        <f>MAX(0,J398+$O398)</f>
        <v>0.00206310001757395</v>
      </c>
      <c r="L398" s="33">
        <f>MAX(0,K398+$O398)</f>
        <v>0.00232098751977069</v>
      </c>
      <c r="M398" s="56">
        <v>0.3</v>
      </c>
      <c r="N398" s="56"/>
      <c r="O398" s="33">
        <f>M398*Y388</f>
        <v>0.000257887502196744</v>
      </c>
      <c r="P398" s="33"/>
      <c r="Q398" s="25" t="s">
        <v>31</v>
      </c>
    </row>
    <row r="399" ht="14" spans="1:17">
      <c r="A399" s="81" t="s">
        <v>181</v>
      </c>
      <c r="B399" s="35">
        <f>O389</f>
        <v>0.00235559779917433</v>
      </c>
      <c r="C399" s="35">
        <f>P389</f>
        <v>0.00318021643875746</v>
      </c>
      <c r="D399" s="33">
        <f>MAX(0,C399+$O399)</f>
        <v>0.00329609816414095</v>
      </c>
      <c r="E399" s="33">
        <f>MAX(0,D399+$O399)</f>
        <v>0.00341197988952443</v>
      </c>
      <c r="F399" s="33">
        <f>MAX(0,E399+$O399)</f>
        <v>0.00352786161490792</v>
      </c>
      <c r="G399" s="33">
        <f>MAX(0,F399+$O399)</f>
        <v>0.0036437433402914</v>
      </c>
      <c r="H399" s="33">
        <f>MAX(0,G399+$O399)</f>
        <v>0.00375962506567489</v>
      </c>
      <c r="I399" s="33">
        <f>MAX(0,H399+$O399)</f>
        <v>0.00387550679105837</v>
      </c>
      <c r="J399" s="33">
        <f>MAX(0,I399+$O399)</f>
        <v>0.00399138851644186</v>
      </c>
      <c r="K399" s="33">
        <f>MAX(0,J399+$O399)</f>
        <v>0.00410727024182534</v>
      </c>
      <c r="L399" s="33">
        <f>MAX(0,K399+$O399)</f>
        <v>0.00422315196720883</v>
      </c>
      <c r="M399" s="56">
        <v>0.3</v>
      </c>
      <c r="N399" s="56"/>
      <c r="O399" s="33">
        <f>M399*Y389</f>
        <v>0.000115881725383485</v>
      </c>
      <c r="P399" s="33"/>
      <c r="Q399" s="25" t="s">
        <v>31</v>
      </c>
    </row>
    <row r="400" ht="14" spans="1:16">
      <c r="A400" s="81" t="s">
        <v>143</v>
      </c>
      <c r="B400" s="35">
        <f>O390</f>
        <v>0.00591745006701777</v>
      </c>
      <c r="C400" s="35">
        <f>P390</f>
        <v>0.00503750244245631</v>
      </c>
      <c r="D400" s="33">
        <f>MAX(0,C400+$O400)</f>
        <v>0.00509669719240751</v>
      </c>
      <c r="E400" s="33">
        <f>MAX(0,D400+$O400)</f>
        <v>0.0051558919423587</v>
      </c>
      <c r="F400" s="33">
        <f>MAX(0,E400+$O400)</f>
        <v>0.0052150866923099</v>
      </c>
      <c r="G400" s="33">
        <f>MAX(0,F400+$O400)</f>
        <v>0.0052742814422611</v>
      </c>
      <c r="H400" s="33">
        <f>MAX(0,G400+$O400)</f>
        <v>0.00533347619221229</v>
      </c>
      <c r="I400" s="33">
        <f>MAX(0,H400+$O400)</f>
        <v>0.00539267094216349</v>
      </c>
      <c r="J400" s="33">
        <f>MAX(0,I400+$O400)</f>
        <v>0.00545186569211468</v>
      </c>
      <c r="K400" s="33">
        <f>MAX(0,J400+$O400)</f>
        <v>0.00551106044206588</v>
      </c>
      <c r="L400" s="33">
        <f>MAX(0,K400+$O400)</f>
        <v>0.00557025519201708</v>
      </c>
      <c r="M400" s="56">
        <v>0.1</v>
      </c>
      <c r="N400" s="56"/>
      <c r="O400" s="33">
        <f>M400*Y390</f>
        <v>5.91947499511964e-5</v>
      </c>
      <c r="P400" s="33"/>
    </row>
    <row r="401" ht="14" spans="1:16">
      <c r="A401" s="81" t="s">
        <v>282</v>
      </c>
      <c r="B401" s="35">
        <f>O391</f>
        <v>0.00655917221114163</v>
      </c>
      <c r="C401" s="35">
        <f>P391</f>
        <v>0.00621483190513339</v>
      </c>
      <c r="D401" s="33">
        <f>MAX(0,C401+$O401)</f>
        <v>0.00605622252196436</v>
      </c>
      <c r="E401" s="33">
        <f>MAX(0,D401+$O401)</f>
        <v>0.00589761313879533</v>
      </c>
      <c r="F401" s="33">
        <f>MAX(0,E401+$O401)</f>
        <v>0.0057390037556263</v>
      </c>
      <c r="G401" s="33">
        <f>MAX(0,F401+$O401)</f>
        <v>0.00558039437245727</v>
      </c>
      <c r="H401" s="33">
        <f>MAX(0,G401+$O401)</f>
        <v>0.00542178498928824</v>
      </c>
      <c r="I401" s="33">
        <f>MAX(0,H401+$O401)</f>
        <v>0.00526317560611921</v>
      </c>
      <c r="J401" s="33">
        <f>MAX(0,I401+$O401)</f>
        <v>0.00510456622295018</v>
      </c>
      <c r="K401" s="33">
        <f>MAX(0,J401+$O401)</f>
        <v>0.00494595683978115</v>
      </c>
      <c r="L401" s="33">
        <f>MAX(0,K401+$O401)</f>
        <v>0.00478734745661212</v>
      </c>
      <c r="M401" s="56">
        <v>0.1</v>
      </c>
      <c r="N401" s="56"/>
      <c r="O401" s="33">
        <f>M401*Y391</f>
        <v>-0.00015860938316903</v>
      </c>
      <c r="P401" s="33"/>
    </row>
    <row r="402" s="5" customFormat="1" ht="14" spans="1:16">
      <c r="A402" s="15" t="s">
        <v>70</v>
      </c>
      <c r="B402" s="36"/>
      <c r="C402" s="70">
        <f>SUM(C398:C401)-SUM(B398:B401)</f>
        <v>-0.000399669290986561</v>
      </c>
      <c r="D402" s="70">
        <f>SUM(D398:D401)-SUM(C398:C401)</f>
        <v>0.000274354594362394</v>
      </c>
      <c r="E402" s="70">
        <f>SUM(E398:E401)-SUM(D398:D401)</f>
        <v>0.000274354594362397</v>
      </c>
      <c r="F402" s="70">
        <f>SUM(F398:F401)-SUM(E398:E401)</f>
        <v>0.000274354594362394</v>
      </c>
      <c r="G402" s="70">
        <f>SUM(G398:G401)-SUM(F398:F401)</f>
        <v>0.000274354594362397</v>
      </c>
      <c r="H402" s="70">
        <f>SUM(H398:H401)-SUM(G398:G401)</f>
        <v>0.000274354594362394</v>
      </c>
      <c r="I402" s="70">
        <f>SUM(I398:I401)-SUM(H398:H401)</f>
        <v>0.000274354594362394</v>
      </c>
      <c r="J402" s="70">
        <f>SUM(J398:J401)-SUM(I398:I401)</f>
        <v>0.000274354594362394</v>
      </c>
      <c r="K402" s="70">
        <f>SUM(K398:K401)-SUM(J398:J401)</f>
        <v>0.000274354594362397</v>
      </c>
      <c r="L402" s="70">
        <f>SUM(L398:L401)-SUM(K398:K401)</f>
        <v>0.000274354594362394</v>
      </c>
      <c r="M402" s="129"/>
      <c r="N402" s="129"/>
      <c r="O402" s="70"/>
      <c r="P402" s="70"/>
    </row>
    <row r="403" ht="14" spans="1:12">
      <c r="A403" s="5" t="s">
        <v>45</v>
      </c>
      <c r="D403" s="33"/>
      <c r="E403" s="33"/>
      <c r="F403" s="33"/>
      <c r="G403" s="33"/>
      <c r="H403" s="33"/>
      <c r="I403" s="33"/>
      <c r="J403" s="33"/>
      <c r="K403" s="33"/>
      <c r="L403" s="33"/>
    </row>
    <row r="404" ht="14" spans="1:13">
      <c r="A404" s="16" t="s">
        <v>128</v>
      </c>
      <c r="B404" s="37">
        <f>J387</f>
        <v>25000</v>
      </c>
      <c r="C404" s="37">
        <f>K387</f>
        <v>7306</v>
      </c>
      <c r="D404" s="125">
        <f>D397*D395</f>
        <v>19099.6790005076</v>
      </c>
      <c r="E404" s="125">
        <f>E397*E395</f>
        <v>18781.8910641402</v>
      </c>
      <c r="F404" s="125">
        <f>F397*F395</f>
        <v>17743.9116740563</v>
      </c>
      <c r="G404" s="125">
        <f>G397*G395</f>
        <v>17050.689497052</v>
      </c>
      <c r="H404" s="125">
        <f>H397*H395</f>
        <v>16192.7579703973</v>
      </c>
      <c r="I404" s="125">
        <f>I397*I395</f>
        <v>15413.3464901231</v>
      </c>
      <c r="J404" s="125">
        <f>J397*J395</f>
        <v>14596.592300881</v>
      </c>
      <c r="K404" s="125">
        <f>K397*K395</f>
        <v>13797.5508090117</v>
      </c>
      <c r="L404" s="125">
        <f>L397*L395</f>
        <v>12990.1322970115</v>
      </c>
      <c r="M404" s="13" t="s">
        <v>72</v>
      </c>
    </row>
    <row r="414" ht="14" spans="2:7">
      <c r="B414" s="15"/>
      <c r="C414" s="19"/>
      <c r="D414" s="139"/>
      <c r="F414" s="19"/>
      <c r="G414" s="139"/>
    </row>
    <row r="415" ht="14" spans="2:7">
      <c r="B415" s="16"/>
      <c r="C415" s="23"/>
      <c r="D415" s="139"/>
      <c r="F415" s="23"/>
      <c r="G415" s="139"/>
    </row>
    <row r="416" ht="14" spans="2:7">
      <c r="B416" s="16"/>
      <c r="C416" s="23"/>
      <c r="D416" s="139"/>
      <c r="F416" s="23"/>
      <c r="G416" s="139"/>
    </row>
    <row r="417" ht="14" spans="2:7">
      <c r="B417" s="16"/>
      <c r="C417" s="23"/>
      <c r="D417" s="139"/>
      <c r="F417" s="23"/>
      <c r="G417" s="139"/>
    </row>
    <row r="418" ht="14" spans="2:7">
      <c r="B418" s="16"/>
      <c r="C418" s="23"/>
      <c r="D418" s="139"/>
      <c r="F418" s="23"/>
      <c r="G418" s="139"/>
    </row>
    <row r="419" ht="14" spans="2:7">
      <c r="B419" s="16"/>
      <c r="C419" s="23"/>
      <c r="D419" s="139"/>
      <c r="F419" s="23"/>
      <c r="G419" s="139"/>
    </row>
    <row r="420" ht="14" spans="2:7">
      <c r="B420" s="16"/>
      <c r="C420" s="23"/>
      <c r="D420" s="139"/>
      <c r="F420" s="23"/>
      <c r="G420" s="139"/>
    </row>
    <row r="421" ht="14" spans="2:4">
      <c r="B421" s="16"/>
      <c r="C421" s="23"/>
      <c r="D421" s="139"/>
    </row>
    <row r="422" ht="14" spans="2:4">
      <c r="B422" s="16"/>
      <c r="C422" s="23"/>
      <c r="D422" s="139"/>
    </row>
    <row r="475" ht="14" spans="2:9">
      <c r="B475" s="15"/>
      <c r="C475" s="19"/>
      <c r="D475" s="141"/>
      <c r="G475" s="15"/>
      <c r="H475" s="19"/>
      <c r="I475" s="141"/>
    </row>
    <row r="476" ht="14" spans="2:9">
      <c r="B476" s="81"/>
      <c r="C476" s="23"/>
      <c r="D476" s="141"/>
      <c r="G476" s="81"/>
      <c r="H476" s="23"/>
      <c r="I476" s="141"/>
    </row>
    <row r="477" ht="14" spans="2:9">
      <c r="B477" s="81"/>
      <c r="C477" s="23"/>
      <c r="D477" s="141"/>
      <c r="G477" s="16"/>
      <c r="H477" s="23"/>
      <c r="I477" s="141"/>
    </row>
    <row r="478" ht="14" spans="2:9">
      <c r="B478" s="16"/>
      <c r="C478" s="23"/>
      <c r="D478" s="141"/>
      <c r="G478" s="16"/>
      <c r="H478" s="23"/>
      <c r="I478" s="141"/>
    </row>
    <row r="479" ht="14" spans="2:9">
      <c r="B479" s="81"/>
      <c r="C479" s="23"/>
      <c r="D479" s="141"/>
      <c r="G479" s="16"/>
      <c r="H479" s="23"/>
      <c r="I479" s="141"/>
    </row>
    <row r="480" ht="14" spans="2:9">
      <c r="B480" s="81"/>
      <c r="C480" s="23"/>
      <c r="D480" s="141"/>
      <c r="G480" s="142"/>
      <c r="H480" s="23"/>
      <c r="I480" s="141"/>
    </row>
    <row r="481" ht="14" spans="2:9">
      <c r="B481" s="81"/>
      <c r="C481" s="23"/>
      <c r="D481" s="141"/>
      <c r="G481" s="16"/>
      <c r="H481" s="23"/>
      <c r="I481" s="141"/>
    </row>
    <row r="482" ht="14" spans="2:9">
      <c r="B482" s="16"/>
      <c r="C482" s="23"/>
      <c r="D482" s="141"/>
      <c r="G482" s="109"/>
      <c r="H482" s="23"/>
      <c r="I482" s="141"/>
    </row>
    <row r="483" ht="14" spans="2:9">
      <c r="B483" s="81"/>
      <c r="C483" s="23"/>
      <c r="D483" s="141"/>
      <c r="G483" s="109"/>
      <c r="H483" s="23"/>
      <c r="I483" s="141"/>
    </row>
    <row r="484" ht="14" spans="2:9">
      <c r="B484" s="81"/>
      <c r="C484" s="23"/>
      <c r="D484" s="141"/>
      <c r="G484" s="16"/>
      <c r="H484" s="23"/>
      <c r="I484" s="141"/>
    </row>
    <row r="485" ht="14" spans="2:9">
      <c r="B485" s="25"/>
      <c r="C485" s="23"/>
      <c r="D485" s="141"/>
      <c r="G485" s="16"/>
      <c r="H485" s="23"/>
      <c r="I485" s="141"/>
    </row>
    <row r="486" ht="14" spans="2:9">
      <c r="B486" s="25"/>
      <c r="C486" s="23"/>
      <c r="D486" s="141"/>
      <c r="G486" s="16"/>
      <c r="H486" s="23"/>
      <c r="I486" s="141"/>
    </row>
    <row r="487" ht="14" spans="2:9">
      <c r="B487" s="25"/>
      <c r="C487" s="23"/>
      <c r="D487" s="141"/>
      <c r="G487" s="16"/>
      <c r="H487" s="23"/>
      <c r="I487" s="141"/>
    </row>
    <row r="488" ht="14" spans="2:9">
      <c r="B488" s="25"/>
      <c r="C488" s="23"/>
      <c r="D488" s="141"/>
      <c r="G488" s="16"/>
      <c r="H488" s="23"/>
      <c r="I488" s="141"/>
    </row>
    <row r="489" ht="14" spans="2:9">
      <c r="B489" s="16"/>
      <c r="C489" s="23"/>
      <c r="D489" s="141"/>
      <c r="G489" s="16"/>
      <c r="H489" s="23"/>
      <c r="I489" s="141"/>
    </row>
    <row r="490" ht="14" spans="2:9">
      <c r="B490" s="16"/>
      <c r="C490" s="23"/>
      <c r="D490" s="141"/>
      <c r="G490" s="16"/>
      <c r="H490" s="23"/>
      <c r="I490" s="141"/>
    </row>
    <row r="491" ht="14" spans="2:9">
      <c r="B491" s="25"/>
      <c r="C491" s="23"/>
      <c r="D491" s="141"/>
      <c r="G491" s="81"/>
      <c r="H491" s="23"/>
      <c r="I491" s="141"/>
    </row>
    <row r="492" ht="14" spans="2:9">
      <c r="B492" s="81"/>
      <c r="C492" s="23"/>
      <c r="D492" s="141"/>
      <c r="G492" s="16"/>
      <c r="H492" s="23"/>
      <c r="I492" s="141"/>
    </row>
    <row r="493" ht="14" spans="2:9">
      <c r="B493" s="25"/>
      <c r="C493" s="23"/>
      <c r="D493" s="141"/>
      <c r="G493" s="109"/>
      <c r="H493" s="23"/>
      <c r="I493" s="141"/>
    </row>
    <row r="494" ht="14" spans="2:9">
      <c r="B494" s="16"/>
      <c r="C494" s="23"/>
      <c r="D494" s="141"/>
      <c r="G494" s="109"/>
      <c r="H494" s="23"/>
      <c r="I494" s="141"/>
    </row>
    <row r="495" ht="14" spans="2:9">
      <c r="B495" s="16"/>
      <c r="C495" s="23"/>
      <c r="D495" s="141"/>
      <c r="G495" s="81"/>
      <c r="H495" s="23"/>
      <c r="I495" s="141"/>
    </row>
    <row r="496" ht="14" spans="2:9">
      <c r="B496" s="81"/>
      <c r="C496" s="84"/>
      <c r="D496" s="141"/>
      <c r="G496" s="16"/>
      <c r="H496" s="23"/>
      <c r="I496" s="141"/>
    </row>
    <row r="497" ht="14" spans="2:9">
      <c r="B497" s="16"/>
      <c r="C497" s="23"/>
      <c r="D497" s="141"/>
      <c r="G497" s="16"/>
      <c r="H497" s="23"/>
      <c r="I497" s="141"/>
    </row>
    <row r="498" ht="14" spans="2:9">
      <c r="B498" s="16"/>
      <c r="C498" s="23"/>
      <c r="D498" s="141"/>
      <c r="G498" s="16"/>
      <c r="H498" s="23"/>
      <c r="I498" s="141"/>
    </row>
    <row r="499" ht="14" spans="2:9">
      <c r="B499" s="81"/>
      <c r="C499" s="23"/>
      <c r="D499" s="141"/>
      <c r="G499" s="81"/>
      <c r="H499" s="23"/>
      <c r="I499" s="141"/>
    </row>
    <row r="500" ht="14" spans="2:4">
      <c r="B500" s="16"/>
      <c r="C500" s="23"/>
      <c r="D500" s="141"/>
    </row>
    <row r="501" ht="14" spans="2:4">
      <c r="B501" s="81"/>
      <c r="C501" s="23"/>
      <c r="D501" s="141"/>
    </row>
    <row r="502" ht="14" spans="2:4">
      <c r="B502" s="16"/>
      <c r="C502" s="23"/>
      <c r="D502" s="141"/>
    </row>
    <row r="503" ht="14" spans="2:4">
      <c r="B503" s="16"/>
      <c r="C503" s="23"/>
      <c r="D503" s="141"/>
    </row>
    <row r="504" ht="14" spans="2:4">
      <c r="B504" s="16"/>
      <c r="C504" s="23"/>
      <c r="D504" s="141"/>
    </row>
    <row r="505" ht="14" spans="2:4">
      <c r="B505" s="16"/>
      <c r="C505" s="23"/>
      <c r="D505" s="141"/>
    </row>
  </sheetData>
  <conditionalFormatting sqref="Q33">
    <cfRule type="cellIs" dxfId="0" priority="12" operator="between">
      <formula>"BEV"</formula>
      <formula>"BEV/Fuel"</formula>
    </cfRule>
    <cfRule type="cellIs" dxfId="1" priority="11" operator="between">
      <formula>"HEV"</formula>
      <formula>"HEV/Fuel"</formula>
    </cfRule>
    <cfRule type="cellIs" dxfId="2" priority="10" operator="between">
      <formula>"PHEV"</formula>
      <formula>"PHEV/Fuel"</formula>
    </cfRule>
    <cfRule type="cellIs" dxfId="3" priority="9" operator="equal">
      <formula>"E-REV"</formula>
    </cfRule>
  </conditionalFormatting>
  <conditionalFormatting sqref="S34">
    <cfRule type="cellIs" dxfId="0" priority="8" operator="between">
      <formula>"BEV"</formula>
      <formula>"BEV/Fuel"</formula>
    </cfRule>
    <cfRule type="cellIs" dxfId="1" priority="7" operator="between">
      <formula>"HEV"</formula>
      <formula>"HEV/Fuel"</formula>
    </cfRule>
    <cfRule type="cellIs" dxfId="2" priority="6" operator="between">
      <formula>"PHEV"</formula>
      <formula>"PHEV/Fuel"</formula>
    </cfRule>
    <cfRule type="cellIs" dxfId="3" priority="5" operator="equal">
      <formula>"E-REV"</formula>
    </cfRule>
  </conditionalFormatting>
  <conditionalFormatting sqref="D44">
    <cfRule type="cellIs" dxfId="0" priority="4" operator="between">
      <formula>"BEV"</formula>
      <formula>"BEV/Fuel"</formula>
    </cfRule>
    <cfRule type="cellIs" dxfId="1" priority="3" operator="between">
      <formula>"HEV"</formula>
      <formula>"HEV/Fuel"</formula>
    </cfRule>
    <cfRule type="cellIs" dxfId="2" priority="2" operator="between">
      <formula>"PHEV"</formula>
      <formula>"PHEV/Fuel"</formula>
    </cfRule>
    <cfRule type="cellIs" dxfId="3" priority="1" operator="equal">
      <formula>"E-REV"</formula>
    </cfRule>
  </conditionalFormatting>
  <conditionalFormatting sqref="R69:S69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{795009a5-d0a0-4102-8c38-d52f346d3778}</x14:id>
        </ext>
      </extLst>
    </cfRule>
  </conditionalFormatting>
  <conditionalFormatting sqref="T6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{afbc00b1-7554-46af-b9eb-71add03bfd87}</x14:id>
        </ext>
      </extLst>
    </cfRule>
  </conditionalFormatting>
  <conditionalFormatting sqref="X69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{04b5b465-2cc7-43a6-b87f-6898479b52dc}</x14:id>
        </ext>
      </extLst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{df168ae9-b329-4ac6-ba81-8cb3dae557ac}</x14:id>
        </ext>
      </extLst>
    </cfRule>
  </conditionalFormatting>
  <conditionalFormatting sqref="W95:X9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{f8538aea-5aa1-49f4-81d4-0e324bb27f4d}</x14:id>
        </ext>
      </extLst>
    </cfRule>
  </conditionalFormatting>
  <conditionalFormatting sqref="W99:X9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{369e0787-1183-40a0-85df-1308314f3e99}</x14:id>
        </ext>
      </extLst>
    </cfRule>
  </conditionalFormatting>
  <conditionalFormatting sqref="G274">
    <cfRule type="cellIs" dxfId="4" priority="16" operator="between">
      <formula>"BEV"</formula>
      <formula>"BEV/Fuel"</formula>
    </cfRule>
    <cfRule type="cellIs" dxfId="5" priority="15" operator="between">
      <formula>"PHEV/Fuel"</formula>
      <formula>"PHEV"</formula>
    </cfRule>
    <cfRule type="cellIs" dxfId="6" priority="14" operator="between">
      <formula>"HEV/Fuel"</formula>
      <formula>"HEV"</formula>
    </cfRule>
    <cfRule type="cellIs" dxfId="7" priority="13" operator="equal">
      <formula>"FCV"</formula>
    </cfRule>
  </conditionalFormatting>
  <conditionalFormatting sqref="Q367">
    <cfRule type="cellIs" dxfId="0" priority="21" operator="between">
      <formula>"BEV"</formula>
      <formula>"BEV/Fuel"</formula>
    </cfRule>
    <cfRule type="cellIs" dxfId="1" priority="20" operator="between">
      <formula>"HEV"</formula>
      <formula>"HEV/Fuel"</formula>
    </cfRule>
    <cfRule type="cellIs" dxfId="2" priority="19" operator="between">
      <formula>"PHEV"</formula>
      <formula>"PHEV/Fuel"</formula>
    </cfRule>
    <cfRule type="cellIs" dxfId="3" priority="18" operator="equal">
      <formula>"E-REV"</formula>
    </cfRule>
  </conditionalFormatting>
  <conditionalFormatting sqref="H123:H144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{f06c52a4-f63e-4a35-9d35-b4f70211e23c}</x14:id>
        </ext>
      </extLst>
    </cfRule>
  </conditionalFormatting>
  <conditionalFormatting sqref="H180:H190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{745c42f1-2443-4cc1-ae45-2a81738a72f3}</x14:id>
        </ext>
      </extLst>
    </cfRule>
  </conditionalFormatting>
  <conditionalFormatting sqref="J180:J190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{92c3a68a-68d1-4adf-9588-e2dd77e5bc5f}</x14:id>
        </ext>
      </extLst>
    </cfRule>
  </conditionalFormatting>
  <conditionalFormatting sqref="L105:L11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{9c6366b4-747b-4dee-8457-5ae22f4a88d5}</x14:id>
        </ext>
      </extLst>
    </cfRule>
  </conditionalFormatting>
  <conditionalFormatting sqref="L198:L20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{5cac8dff-6307-487e-8cdf-1c8adacdf67e}</x14:id>
        </ext>
      </extLst>
    </cfRule>
  </conditionalFormatting>
  <conditionalFormatting sqref="L332:L34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{a5319ffc-91e8-42f2-a832-61dbbc1f8322}</x14:id>
        </ext>
      </extLst>
    </cfRule>
  </conditionalFormatting>
  <conditionalFormatting sqref="L397:L40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{223a2237-dc6d-4b75-b488-184f5b7bb359}</x14:id>
        </ext>
      </extLst>
    </cfRule>
  </conditionalFormatting>
  <conditionalFormatting sqref="T5:T1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{88d20c0a-fcef-4b31-a0e1-333e03e3ae5a}</x14:id>
        </ext>
      </extLst>
    </cfRule>
  </conditionalFormatting>
  <conditionalFormatting sqref="T33:T38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{b39798d7-5a5b-4579-ad9f-40915adad168}</x14:id>
        </ext>
      </extLst>
    </cfRule>
  </conditionalFormatting>
  <conditionalFormatting sqref="T61:T6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{a16baab0-b3c5-40d6-8f04-c2f4a41428b4}</x14:id>
        </ext>
      </extLst>
    </cfRule>
  </conditionalFormatting>
  <conditionalFormatting sqref="T91:T9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{29ea6fa1-9458-4fee-a0c1-285ab5cc9360}</x14:id>
        </ext>
      </extLst>
    </cfRule>
  </conditionalFormatting>
  <conditionalFormatting sqref="U5:U1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{fe7d887e-8aea-4f5f-aa93-55459688912a}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{cf4e3b90-e7ce-4840-aca6-c855f1745fac}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{a500f24d-18d6-4c9a-af1d-1505eed5ea01}</x14:id>
        </ext>
      </extLst>
    </cfRule>
  </conditionalFormatting>
  <conditionalFormatting sqref="U11:U12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{1ccc73a3-52e5-48d2-8e81-7653939920d1}</x14:id>
        </ext>
      </extLst>
    </cfRule>
  </conditionalFormatting>
  <conditionalFormatting sqref="U33:U38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{22b9c43c-03e5-4f65-a5c7-348394872d02}</x14:id>
        </ext>
      </extLst>
    </cfRule>
  </conditionalFormatting>
  <conditionalFormatting sqref="U61:U6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{1fc65af7-fd00-4748-b668-309cee459f92}</x14:id>
        </ext>
      </extLst>
    </cfRule>
  </conditionalFormatting>
  <conditionalFormatting sqref="U91:U99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{67138fe8-44a8-4118-b4c9-08d6341322b3}</x14:id>
        </ext>
      </extLst>
    </cfRule>
  </conditionalFormatting>
  <conditionalFormatting sqref="V91:V9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{72511db9-aa89-4386-9c3f-9b8ec17d348e}</x14:id>
        </ext>
      </extLst>
    </cfRule>
  </conditionalFormatting>
  <conditionalFormatting sqref="Y123:Y144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{2ece3376-e412-402e-bd07-2d0342839f92}</x14:id>
        </ext>
      </extLst>
    </cfRule>
  </conditionalFormatting>
  <conditionalFormatting sqref="Y270:Y28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{d03809e6-43e0-49c3-90f0-acbee19fc535}</x14:id>
        </ext>
      </extLst>
    </cfRule>
  </conditionalFormatting>
  <conditionalFormatting sqref="Y313:Y326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{fe572c46-5396-4a72-9b66-053bc94ca984}</x14:id>
        </ext>
      </extLst>
    </cfRule>
  </conditionalFormatting>
  <conditionalFormatting sqref="Y352:Y36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{8ee9800f-2d1f-4761-aabe-4c6197860c11}</x14:id>
        </ext>
      </extLst>
    </cfRule>
  </conditionalFormatting>
  <conditionalFormatting sqref="V6:X6 W7:X10 V5:V1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{3fae0721-22c0-4aec-a3a3-7285d6fd6bbd}</x14:id>
        </ext>
      </extLst>
    </cfRule>
  </conditionalFormatting>
  <conditionalFormatting sqref="V6:X12 V5:V1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{6fde8c4a-c848-439d-84ce-c95935151494}</x14:id>
        </ext>
      </extLst>
    </cfRule>
  </conditionalFormatting>
  <conditionalFormatting sqref="W11:X12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{13b236c4-5aeb-45e0-80ac-5667e3b1067d}</x14:id>
        </ext>
      </extLst>
    </cfRule>
  </conditionalFormatting>
  <conditionalFormatting sqref="V35:X35 W34:X34 V33:V34 W36:X37 V36:V3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{bc9c6c9c-b616-4d48-b4b5-4e829d53c3f4}</x14:id>
        </ext>
      </extLst>
    </cfRule>
  </conditionalFormatting>
  <conditionalFormatting sqref="W62:X65 V61:V6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{501f8724-7b8c-400c-b1f5-6c2f4aad2d64}</x14:id>
        </ext>
      </extLst>
    </cfRule>
  </conditionalFormatting>
  <conditionalFormatting sqref="W66:X68 U69:W69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{1fc8ef5d-0e9a-4547-96d8-9b4268fd2189}</x14:id>
        </ext>
      </extLst>
    </cfRule>
  </conditionalFormatting>
  <conditionalFormatting sqref="T123:V123 T124:X14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{ea02a178-a920-4143-a3a9-1dab7974de66}</x14:id>
        </ext>
      </extLst>
    </cfRule>
  </conditionalFormatting>
  <conditionalFormatting sqref="P152:Q17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{9fcde508-572d-4c87-be83-c0962edab752}</x14:id>
        </ext>
      </extLst>
    </cfRule>
  </conditionalFormatting>
  <conditionalFormatting sqref="T180:V180 T181:X19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{c31508bd-506a-4020-969a-a4bc40df82c9}</x14:id>
        </ext>
      </extLst>
    </cfRule>
  </conditionalFormatting>
  <conditionalFormatting sqref="P199:Q209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{7391420b-a16f-4963-8bc0-8cf80085bc68}</x14:id>
        </ext>
      </extLst>
    </cfRule>
  </conditionalFormatting>
  <conditionalFormatting sqref="T217:X223 T215:V2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{d8cb9e8f-d4b9-405e-85f7-3ef32668135b}</x14:id>
        </ext>
      </extLst>
    </cfRule>
  </conditionalFormatting>
  <conditionalFormatting sqref="T244:V25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{23ba92d1-8681-48c7-8bc6-b4e3e9196c02}</x14:id>
        </ext>
      </extLst>
    </cfRule>
  </conditionalFormatting>
  <conditionalFormatting sqref="W245:X25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{a91376b8-0921-4696-8698-09a1fde57792}</x14:id>
        </ext>
      </extLst>
    </cfRule>
  </conditionalFormatting>
  <conditionalFormatting sqref="T270:V270 T271:X285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{0d01d89f-5d63-46ae-9085-86c8afbd8411}</x14:id>
        </ext>
      </extLst>
    </cfRule>
  </conditionalFormatting>
  <conditionalFormatting sqref="G285 E286 M320:N320">
    <cfRule type="cellIs" dxfId="4" priority="25" operator="between">
      <formula>"BEV"</formula>
      <formula>"BEV/Fuel"</formula>
    </cfRule>
    <cfRule type="cellIs" dxfId="5" priority="24" operator="between">
      <formula>"PHEV/Fuel"</formula>
      <formula>"PHEV"</formula>
    </cfRule>
    <cfRule type="cellIs" dxfId="6" priority="23" operator="between">
      <formula>"HEV/Fuel"</formula>
      <formula>"HEV"</formula>
    </cfRule>
    <cfRule type="cellIs" dxfId="7" priority="22" operator="equal">
      <formula>"FCV"</formula>
    </cfRule>
  </conditionalFormatting>
  <conditionalFormatting sqref="L291:L294 L298:L306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{bc1defee-82ee-4569-a8d3-a7316d3d454c}</x14:id>
        </ext>
      </extLst>
    </cfRule>
  </conditionalFormatting>
  <conditionalFormatting sqref="L292:L294 L298:L306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{5fdeced4-2013-4301-b4f4-04a701d990fa}</x14:id>
        </ext>
      </extLst>
    </cfRule>
  </conditionalFormatting>
  <conditionalFormatting sqref="T313:V313 T314:X32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{6644b7e0-c74a-4299-903b-46e4c69906af}</x14:id>
        </ext>
      </extLst>
    </cfRule>
  </conditionalFormatting>
  <conditionalFormatting sqref="R352:S36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{5e6b764b-8463-4c91-8c88-5b0ed00de98d}</x14:id>
        </ext>
      </extLst>
    </cfRule>
  </conditionalFormatting>
  <conditionalFormatting sqref="T352:X36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{9cf722de-437f-4d5d-936f-4faa363902d8}</x14:id>
        </ext>
      </extLst>
    </cfRule>
  </conditionalFormatting>
  <conditionalFormatting sqref="T388:X391 T387:V38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{f8eb9f1d-0c15-4849-9287-5122a1c71cbf}</x14:id>
        </ext>
      </extLst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5009a5-d0a0-4102-8c38-d52f346d37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R69:S69</xm:sqref>
        </x14:conditionalFormatting>
        <x14:conditionalFormatting xmlns:xm="http://schemas.microsoft.com/office/excel/2006/main">
          <x14:cfRule type="dataBar" id="{afbc00b1-7554-46af-b9eb-71add03bfd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T69</xm:sqref>
        </x14:conditionalFormatting>
        <x14:conditionalFormatting xmlns:xm="http://schemas.microsoft.com/office/excel/2006/main">
          <x14:cfRule type="dataBar" id="{04b5b465-2cc7-43a6-b87f-6898479b5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f168ae9-b329-4ac6-ba81-8cb3dae55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X69</xm:sqref>
        </x14:conditionalFormatting>
        <x14:conditionalFormatting xmlns:xm="http://schemas.microsoft.com/office/excel/2006/main">
          <x14:cfRule type="dataBar" id="{f8538aea-5aa1-49f4-81d4-0e324bb27f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W95:X95</xm:sqref>
        </x14:conditionalFormatting>
        <x14:conditionalFormatting xmlns:xm="http://schemas.microsoft.com/office/excel/2006/main">
          <x14:cfRule type="dataBar" id="{369e0787-1183-40a0-85df-1308314f3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W99:X99</xm:sqref>
        </x14:conditionalFormatting>
        <x14:conditionalFormatting xmlns:xm="http://schemas.microsoft.com/office/excel/2006/main">
          <x14:cfRule type="dataBar" id="{f06c52a4-f63e-4a35-9d35-b4f70211e2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H123:H144</xm:sqref>
        </x14:conditionalFormatting>
        <x14:conditionalFormatting xmlns:xm="http://schemas.microsoft.com/office/excel/2006/main">
          <x14:cfRule type="dataBar" id="{745c42f1-2443-4cc1-ae45-2a81738a72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H180:H190</xm:sqref>
        </x14:conditionalFormatting>
        <x14:conditionalFormatting xmlns:xm="http://schemas.microsoft.com/office/excel/2006/main">
          <x14:cfRule type="dataBar" id="{92c3a68a-68d1-4adf-9588-e2dd77e5bc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J180:J190</xm:sqref>
        </x14:conditionalFormatting>
        <x14:conditionalFormatting xmlns:xm="http://schemas.microsoft.com/office/excel/2006/main">
          <x14:cfRule type="dataBar" id="{9c6366b4-747b-4dee-8457-5ae22f4a88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L105:L113</xm:sqref>
        </x14:conditionalFormatting>
        <x14:conditionalFormatting xmlns:xm="http://schemas.microsoft.com/office/excel/2006/main">
          <x14:cfRule type="dataBar" id="{5cac8dff-6307-487e-8cdf-1c8adacdf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L198:L208</xm:sqref>
        </x14:conditionalFormatting>
        <x14:conditionalFormatting xmlns:xm="http://schemas.microsoft.com/office/excel/2006/main">
          <x14:cfRule type="dataBar" id="{a5319ffc-91e8-42f2-a832-61dbbc1f8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L332:L345</xm:sqref>
        </x14:conditionalFormatting>
        <x14:conditionalFormatting xmlns:xm="http://schemas.microsoft.com/office/excel/2006/main">
          <x14:cfRule type="dataBar" id="{223a2237-dc6d-4b75-b488-184f5b7bb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L397:L401</xm:sqref>
        </x14:conditionalFormatting>
        <x14:conditionalFormatting xmlns:xm="http://schemas.microsoft.com/office/excel/2006/main">
          <x14:cfRule type="dataBar" id="{88d20c0a-fcef-4b31-a0e1-333e03e3a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T5:T12</xm:sqref>
        </x14:conditionalFormatting>
        <x14:conditionalFormatting xmlns:xm="http://schemas.microsoft.com/office/excel/2006/main">
          <x14:cfRule type="dataBar" id="{b39798d7-5a5b-4579-ad9f-40915adad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T33:T38</xm:sqref>
        </x14:conditionalFormatting>
        <x14:conditionalFormatting xmlns:xm="http://schemas.microsoft.com/office/excel/2006/main">
          <x14:cfRule type="dataBar" id="{a16baab0-b3c5-40d6-8f04-c2f4a4142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T61:T68</xm:sqref>
        </x14:conditionalFormatting>
        <x14:conditionalFormatting xmlns:xm="http://schemas.microsoft.com/office/excel/2006/main">
          <x14:cfRule type="dataBar" id="{29ea6fa1-9458-4fee-a0c1-285ab5cc9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T91:T99</xm:sqref>
        </x14:conditionalFormatting>
        <x14:conditionalFormatting xmlns:xm="http://schemas.microsoft.com/office/excel/2006/main">
          <x14:cfRule type="dataBar" id="{fe7d887e-8aea-4f5f-aa93-554596889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f4e3b90-e7ce-4840-aca6-c855f1745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500f24d-18d6-4c9a-af1d-1505eed5ea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U5:U12</xm:sqref>
        </x14:conditionalFormatting>
        <x14:conditionalFormatting xmlns:xm="http://schemas.microsoft.com/office/excel/2006/main">
          <x14:cfRule type="dataBar" id="{1ccc73a3-52e5-48d2-8e81-765393992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U11:U12</xm:sqref>
        </x14:conditionalFormatting>
        <x14:conditionalFormatting xmlns:xm="http://schemas.microsoft.com/office/excel/2006/main">
          <x14:cfRule type="dataBar" id="{22b9c43c-03e5-4f65-a5c7-348394872d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U33:U38</xm:sqref>
        </x14:conditionalFormatting>
        <x14:conditionalFormatting xmlns:xm="http://schemas.microsoft.com/office/excel/2006/main">
          <x14:cfRule type="dataBar" id="{1fc65af7-fd00-4748-b668-309cee459f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U61:U68</xm:sqref>
        </x14:conditionalFormatting>
        <x14:conditionalFormatting xmlns:xm="http://schemas.microsoft.com/office/excel/2006/main">
          <x14:cfRule type="dataBar" id="{67138fe8-44a8-4118-b4c9-08d634132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U91:U99</xm:sqref>
        </x14:conditionalFormatting>
        <x14:conditionalFormatting xmlns:xm="http://schemas.microsoft.com/office/excel/2006/main">
          <x14:cfRule type="dataBar" id="{72511db9-aa89-4386-9c3f-9b8ec17d34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V91:V99</xm:sqref>
        </x14:conditionalFormatting>
        <x14:conditionalFormatting xmlns:xm="http://schemas.microsoft.com/office/excel/2006/main">
          <x14:cfRule type="dataBar" id="{2ece3376-e412-402e-bd07-2d0342839f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Y123:Y144</xm:sqref>
        </x14:conditionalFormatting>
        <x14:conditionalFormatting xmlns:xm="http://schemas.microsoft.com/office/excel/2006/main">
          <x14:cfRule type="dataBar" id="{d03809e6-43e0-49c3-90f0-acbee19fc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Y270:Y285</xm:sqref>
        </x14:conditionalFormatting>
        <x14:conditionalFormatting xmlns:xm="http://schemas.microsoft.com/office/excel/2006/main">
          <x14:cfRule type="dataBar" id="{fe572c46-5396-4a72-9b66-053bc94ca9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Y313:Y326</xm:sqref>
        </x14:conditionalFormatting>
        <x14:conditionalFormatting xmlns:xm="http://schemas.microsoft.com/office/excel/2006/main">
          <x14:cfRule type="dataBar" id="{8ee9800f-2d1f-4761-aabe-4c6197860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Y352:Y362</xm:sqref>
        </x14:conditionalFormatting>
        <x14:conditionalFormatting xmlns:xm="http://schemas.microsoft.com/office/excel/2006/main">
          <x14:cfRule type="dataBar" id="{3fae0721-22c0-4aec-a3a3-7285d6fd6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V6:X6 W7:X10 V5:V12</xm:sqref>
        </x14:conditionalFormatting>
        <x14:conditionalFormatting xmlns:xm="http://schemas.microsoft.com/office/excel/2006/main">
          <x14:cfRule type="dataBar" id="{6fde8c4a-c848-439d-84ce-c95935151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V6:X12 V5:V12</xm:sqref>
        </x14:conditionalFormatting>
        <x14:conditionalFormatting xmlns:xm="http://schemas.microsoft.com/office/excel/2006/main">
          <x14:cfRule type="dataBar" id="{13b236c4-5aeb-45e0-80ac-5667e3b10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W11:X12</xm:sqref>
        </x14:conditionalFormatting>
        <x14:conditionalFormatting xmlns:xm="http://schemas.microsoft.com/office/excel/2006/main">
          <x14:cfRule type="dataBar" id="{bc9c6c9c-b616-4d48-b4b5-4e829d53c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V35:X35 W34:X34 V33:V34 W36:X37 V36:V38</xm:sqref>
        </x14:conditionalFormatting>
        <x14:conditionalFormatting xmlns:xm="http://schemas.microsoft.com/office/excel/2006/main">
          <x14:cfRule type="dataBar" id="{501f8724-7b8c-400c-b1f5-6c2f4aad2d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W62:X65 V61:V68</xm:sqref>
        </x14:conditionalFormatting>
        <x14:conditionalFormatting xmlns:xm="http://schemas.microsoft.com/office/excel/2006/main">
          <x14:cfRule type="dataBar" id="{1fc8ef5d-0e9a-4547-96d8-9b4268fd2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W66:X68 U69:W69</xm:sqref>
        </x14:conditionalFormatting>
        <x14:conditionalFormatting xmlns:xm="http://schemas.microsoft.com/office/excel/2006/main">
          <x14:cfRule type="dataBar" id="{ea02a178-a920-4143-a3a9-1dab7974de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T123:V123 T124:X144</xm:sqref>
        </x14:conditionalFormatting>
        <x14:conditionalFormatting xmlns:xm="http://schemas.microsoft.com/office/excel/2006/main">
          <x14:cfRule type="dataBar" id="{9fcde508-572d-4c87-be83-c0962edab7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P152:Q174</xm:sqref>
        </x14:conditionalFormatting>
        <x14:conditionalFormatting xmlns:xm="http://schemas.microsoft.com/office/excel/2006/main">
          <x14:cfRule type="dataBar" id="{c31508bd-506a-4020-969a-a4bc40df8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T180:V180 T181:X190</xm:sqref>
        </x14:conditionalFormatting>
        <x14:conditionalFormatting xmlns:xm="http://schemas.microsoft.com/office/excel/2006/main">
          <x14:cfRule type="dataBar" id="{7391420b-a16f-4963-8bc0-8cf80085b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P199:Q209</xm:sqref>
        </x14:conditionalFormatting>
        <x14:conditionalFormatting xmlns:xm="http://schemas.microsoft.com/office/excel/2006/main">
          <x14:cfRule type="dataBar" id="{d8cb9e8f-d4b9-405e-85f7-3ef3266813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T217:X223 T215:V216</xm:sqref>
        </x14:conditionalFormatting>
        <x14:conditionalFormatting xmlns:xm="http://schemas.microsoft.com/office/excel/2006/main">
          <x14:cfRule type="dataBar" id="{23ba92d1-8681-48c7-8bc6-b4e3e9196c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T244:V250</xm:sqref>
        </x14:conditionalFormatting>
        <x14:conditionalFormatting xmlns:xm="http://schemas.microsoft.com/office/excel/2006/main">
          <x14:cfRule type="dataBar" id="{a91376b8-0921-4696-8698-09a1fde577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W245:X250</xm:sqref>
        </x14:conditionalFormatting>
        <x14:conditionalFormatting xmlns:xm="http://schemas.microsoft.com/office/excel/2006/main">
          <x14:cfRule type="dataBar" id="{0d01d89f-5d63-46ae-9085-86c8afbd8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T270:V270 T271:X285</xm:sqref>
        </x14:conditionalFormatting>
        <x14:conditionalFormatting xmlns:xm="http://schemas.microsoft.com/office/excel/2006/main">
          <x14:cfRule type="dataBar" id="{bc1defee-82ee-4569-a8d3-a7316d3d45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L291:L294 L298:L306</xm:sqref>
        </x14:conditionalFormatting>
        <x14:conditionalFormatting xmlns:xm="http://schemas.microsoft.com/office/excel/2006/main">
          <x14:cfRule type="dataBar" id="{5fdeced4-2013-4301-b4f4-04a701d99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L292:L294 L298:L306</xm:sqref>
        </x14:conditionalFormatting>
        <x14:conditionalFormatting xmlns:xm="http://schemas.microsoft.com/office/excel/2006/main">
          <x14:cfRule type="dataBar" id="{6644b7e0-c74a-4299-903b-46e4c6990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T313:V313 T314:X326</xm:sqref>
        </x14:conditionalFormatting>
        <x14:conditionalFormatting xmlns:xm="http://schemas.microsoft.com/office/excel/2006/main">
          <x14:cfRule type="dataBar" id="{5e6b764b-8463-4c91-8c88-5b0ed00de9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R352:S362</xm:sqref>
        </x14:conditionalFormatting>
        <x14:conditionalFormatting xmlns:xm="http://schemas.microsoft.com/office/excel/2006/main">
          <x14:cfRule type="dataBar" id="{9cf722de-437f-4d5d-936f-4faa36390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T352:X363</xm:sqref>
        </x14:conditionalFormatting>
        <x14:conditionalFormatting xmlns:xm="http://schemas.microsoft.com/office/excel/2006/main">
          <x14:cfRule type="dataBar" id="{f8eb9f1d-0c15-4849-9287-5122a1c71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T388:X391 T387:V387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C4" rgbClr="FD9D78"/>
    <comment s:ref="R4" rgbClr="FD9D78"/>
    <comment s:ref="Y5" rgbClr="FD9D78"/>
    <comment s:ref="A26" rgbClr="FD9D78"/>
    <comment s:ref="A54" rgbClr="FD9D78"/>
    <comment s:ref="K64" rgbClr="FD9D78"/>
    <comment s:ref="K65" rgbClr="FD9D78"/>
    <comment s:ref="L91" rgbClr="FD9D78"/>
    <comment s:ref="J97" rgbClr="FD9D78"/>
    <comment s:ref="K97" rgbClr="FD9D78"/>
    <comment s:ref="D152" rgbClr="FD9D78"/>
    <comment s:ref="O291" rgbClr="FD9D78"/>
    <comment s:ref="D332" rgbClr="FD9D78"/>
    <comment s:ref="D397" rgbClr="FD9D78"/>
    <comment s:ref="G493" rgbClr="FD9D7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Tesla-Demand  FC detail-22 Full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CHEN</dc:creator>
  <cp:lastModifiedBy>PNCMS</cp:lastModifiedBy>
  <dcterms:created xsi:type="dcterms:W3CDTF">2024-09-02T10:51:00Z</dcterms:created>
  <dcterms:modified xsi:type="dcterms:W3CDTF">2024-09-02T10:52:03Z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75FC93CBA6954BA79688C7AB46A8EECF</vt:lpwstr>
  </property>
  <property fmtid="{D5CDD505-2E9C-101B-9397-08002B2CF9AE}" pid="3" name="KSOProductBuildVer">
    <vt:lpwstr>2052-11.1.0.12165</vt:lpwstr>
  </property>
</Properties>
</file>