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threadedComments/threadedComment7.xml" ContentType="application/vnd.ms-excel.threaded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9.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0.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11.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12.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13.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14.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5.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16.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7.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18.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9.xml" ContentType="application/vnd.openxmlformats-officedocument.themeOverrid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20.xml" ContentType="application/vnd.openxmlformats-officedocument.themeOverrid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21.xml" ContentType="application/vnd.openxmlformats-officedocument.themeOverrid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22.xml" ContentType="application/vnd.openxmlformats-officedocument.themeOverrid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23.xml" ContentType="application/vnd.openxmlformats-officedocument.themeOverrid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24.xml" ContentType="application/vnd.openxmlformats-officedocument.themeOverrid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heme/themeOverride25.xml" ContentType="application/vnd.openxmlformats-officedocument.themeOverride+xml"/>
  <Override PartName="/xl/drawings/drawing3.xml" ContentType="application/vnd.openxmlformats-officedocument.drawing+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hreadedComments/threadedComment8.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comments13.xml" ContentType="application/vnd.openxmlformats-officedocument.spreadsheetml.comments+xml"/>
  <Override PartName="/xl/comments14.xml" ContentType="application/vnd.openxmlformats-officedocument.spreadsheetml.comments+xml"/>
  <Override PartName="/xl/threadedComments/threadedComment9.xml" ContentType="application/vnd.ms-excel.threadedcomments+xml"/>
  <Override PartName="/xl/comments15.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3516\Desktop\GFHK\"/>
    </mc:Choice>
  </mc:AlternateContent>
  <xr:revisionPtr revIDLastSave="0" documentId="8_{F08D5FEA-2042-4A8E-8A41-E08E968EF697}" xr6:coauthVersionLast="47" xr6:coauthVersionMax="47" xr10:uidLastSave="{00000000-0000-0000-0000-000000000000}"/>
  <bookViews>
    <workbookView xWindow="-110" yWindow="-110" windowWidth="25820" windowHeight="14620" activeTab="5" xr2:uid="{9D12B1F9-93A9-4065-8781-FB8F70B0C2DA}"/>
  </bookViews>
  <sheets>
    <sheet name="Everything" sheetId="9" r:id="rId1"/>
    <sheet name="Growth model" sheetId="29" r:id="rId2"/>
    <sheet name="Model An 21A" sheetId="14" r:id="rId3"/>
    <sheet name="Esti. Record" sheetId="28" r:id="rId4"/>
    <sheet name="Valuation" sheetId="20" r:id="rId5"/>
    <sheet name="Operating Analysis" sheetId="27" r:id="rId6"/>
    <sheet name="BS as rep." sheetId="19" r:id="rId7"/>
    <sheet name="IS as rep." sheetId="18" r:id="rId8"/>
    <sheet name="CF as rep." sheetId="17" r:id="rId9"/>
    <sheet name="Chart" sheetId="10" r:id="rId10"/>
    <sheet name="Inc Sta SP" sheetId="15" r:id="rId11"/>
    <sheet name="Bal Sta SP" sheetId="16" r:id="rId12"/>
    <sheet name="CF SP" sheetId="12" r:id="rId13"/>
    <sheet name="Model An 19A" sheetId="25" r:id="rId14"/>
    <sheet name="2020 actual vs forecast" sheetId="26" r:id="rId15"/>
    <sheet name="Model Quar. 20Q4" sheetId="22" r:id="rId16"/>
    <sheet name="Quar. as rep." sheetId="23" r:id="rId17"/>
    <sheet name="Price" sheetId="24" r:id="rId18"/>
    <sheet name="Same Store" sheetId="11" r:id="rId19"/>
    <sheet name="Annual" sheetId="7" r:id="rId20"/>
    <sheet name="Quarter Matrix" sheetId="8" r:id="rId21"/>
    <sheet name="Annual Matrix" sheetId="4" r:id="rId22"/>
    <sheet name="Income Sta Yh" sheetId="3" r:id="rId23"/>
    <sheet name="Cashflow Yh" sheetId="1" r:id="rId24"/>
    <sheet name="Balance Sheet" sheetId="2" r:id="rId25"/>
    <sheet name="Instruc" sheetId="13" r:id="rId26"/>
  </sheets>
  <definedNames>
    <definedName name="_xlnm._FilterDatabase" localSheetId="20" hidden="1">'Quarter Matrix'!$A$1:$O$109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5" i="9" l="1"/>
  <c r="O49" i="9"/>
  <c r="H32" i="29"/>
  <c r="H31" i="29"/>
  <c r="I31" i="29" s="1"/>
  <c r="J31" i="29" s="1"/>
  <c r="K31" i="29" s="1"/>
  <c r="H27" i="29"/>
  <c r="I27" i="29" s="1"/>
  <c r="J27" i="29" s="1"/>
  <c r="K27" i="29" s="1"/>
  <c r="H28" i="29"/>
  <c r="AE196" i="9"/>
  <c r="AE192" i="9"/>
  <c r="H22" i="29"/>
  <c r="H18" i="29"/>
  <c r="H19" i="29"/>
  <c r="I19" i="29" s="1"/>
  <c r="J19" i="29" s="1"/>
  <c r="K19" i="29" s="1"/>
  <c r="AE187" i="9"/>
  <c r="H11" i="29"/>
  <c r="AE170" i="9"/>
  <c r="AE176" i="9"/>
  <c r="J4" i="20"/>
  <c r="AD176" i="9"/>
  <c r="C15" i="20"/>
  <c r="D15" i="20"/>
  <c r="E15" i="20"/>
  <c r="F15" i="20"/>
  <c r="B15" i="20"/>
  <c r="C32" i="29"/>
  <c r="D32" i="29"/>
  <c r="E32" i="29"/>
  <c r="F32" i="29"/>
  <c r="G32" i="29"/>
  <c r="B32" i="29"/>
  <c r="F22" i="20"/>
  <c r="C16" i="20"/>
  <c r="D16" i="20"/>
  <c r="E16" i="20"/>
  <c r="B16" i="20"/>
  <c r="F3" i="20"/>
  <c r="H52" i="14"/>
  <c r="I52" i="14"/>
  <c r="J52" i="14"/>
  <c r="G52" i="14"/>
  <c r="J42" i="14"/>
  <c r="J46" i="14" s="1"/>
  <c r="J43" i="14"/>
  <c r="J48" i="14"/>
  <c r="J53" i="14"/>
  <c r="J9" i="14"/>
  <c r="J11" i="14"/>
  <c r="J15" i="14"/>
  <c r="J14" i="14" s="1"/>
  <c r="J16" i="14"/>
  <c r="J17" i="14"/>
  <c r="J24" i="14"/>
  <c r="J25" i="14"/>
  <c r="J27" i="14"/>
  <c r="J32" i="14"/>
  <c r="J35" i="14"/>
  <c r="J37" i="14"/>
  <c r="J125" i="14" s="1"/>
  <c r="H23" i="14"/>
  <c r="G35" i="14"/>
  <c r="H35" i="14"/>
  <c r="H124" i="14" s="1"/>
  <c r="I35" i="14"/>
  <c r="I124" i="14" s="1"/>
  <c r="H93" i="14"/>
  <c r="I93" i="14"/>
  <c r="J93" i="14"/>
  <c r="G93" i="14"/>
  <c r="H99" i="14"/>
  <c r="I99" i="14"/>
  <c r="J99" i="14"/>
  <c r="T99" i="14" s="1"/>
  <c r="G99" i="14"/>
  <c r="H96" i="14"/>
  <c r="I96" i="14"/>
  <c r="J96" i="14"/>
  <c r="H97" i="14"/>
  <c r="I97" i="14"/>
  <c r="I100" i="14" s="1"/>
  <c r="J97" i="14"/>
  <c r="T97" i="14" s="1"/>
  <c r="U97" i="14" s="1"/>
  <c r="H90" i="14"/>
  <c r="I90" i="14"/>
  <c r="J90" i="14"/>
  <c r="H92" i="14"/>
  <c r="I92" i="14"/>
  <c r="J92" i="14"/>
  <c r="H75" i="14"/>
  <c r="H78" i="14" s="1"/>
  <c r="I75" i="14"/>
  <c r="I78" i="14" s="1"/>
  <c r="J75" i="14"/>
  <c r="J78" i="14" s="1"/>
  <c r="H79" i="14"/>
  <c r="I79" i="14"/>
  <c r="J79" i="14"/>
  <c r="H81" i="14"/>
  <c r="I81" i="14"/>
  <c r="J81" i="14"/>
  <c r="H82" i="14"/>
  <c r="I82" i="14"/>
  <c r="J82" i="14"/>
  <c r="H83" i="14"/>
  <c r="I83" i="14"/>
  <c r="J83" i="14"/>
  <c r="H84" i="14"/>
  <c r="I84" i="14"/>
  <c r="J84" i="14"/>
  <c r="H86" i="14"/>
  <c r="I86" i="14"/>
  <c r="J86" i="14"/>
  <c r="K86" i="14" s="1"/>
  <c r="H87" i="14"/>
  <c r="I87" i="14"/>
  <c r="J87" i="14"/>
  <c r="G83" i="14"/>
  <c r="J65" i="14"/>
  <c r="J66" i="14"/>
  <c r="J67" i="14"/>
  <c r="J68" i="14"/>
  <c r="J69" i="14"/>
  <c r="J61" i="14"/>
  <c r="J62" i="14"/>
  <c r="J56" i="14"/>
  <c r="J57" i="14"/>
  <c r="H56" i="14"/>
  <c r="H59" i="14" s="1"/>
  <c r="H48" i="14"/>
  <c r="I48" i="14"/>
  <c r="H53" i="14"/>
  <c r="I53" i="14"/>
  <c r="H42" i="14"/>
  <c r="I42" i="14"/>
  <c r="H43" i="14"/>
  <c r="H46" i="14" s="1"/>
  <c r="I43" i="14"/>
  <c r="H37" i="14"/>
  <c r="I37" i="14"/>
  <c r="I125" i="14" s="1"/>
  <c r="H32" i="14"/>
  <c r="I32" i="14"/>
  <c r="I122" i="14" s="1"/>
  <c r="H24" i="14"/>
  <c r="I24" i="14"/>
  <c r="H25" i="14"/>
  <c r="I25" i="14"/>
  <c r="H27" i="14"/>
  <c r="I27" i="14"/>
  <c r="W19" i="14"/>
  <c r="X19" i="14" s="1"/>
  <c r="N19" i="14" s="1"/>
  <c r="V19" i="14"/>
  <c r="H15" i="14"/>
  <c r="I15" i="14"/>
  <c r="H16" i="14"/>
  <c r="I16" i="14"/>
  <c r="H17" i="14"/>
  <c r="H14" i="14" s="1"/>
  <c r="I17" i="14"/>
  <c r="X8" i="14"/>
  <c r="X9" i="14" s="1"/>
  <c r="X11" i="14" s="1"/>
  <c r="H9" i="14"/>
  <c r="S9" i="14" s="1"/>
  <c r="I9" i="14"/>
  <c r="T9" i="14"/>
  <c r="H11" i="14"/>
  <c r="I11" i="14"/>
  <c r="T11" i="14" s="1"/>
  <c r="G8" i="14"/>
  <c r="C31" i="29"/>
  <c r="D31" i="29"/>
  <c r="E31" i="29"/>
  <c r="F31" i="29"/>
  <c r="G31" i="29"/>
  <c r="B31" i="29"/>
  <c r="C28" i="29"/>
  <c r="D28" i="29"/>
  <c r="E28" i="29"/>
  <c r="F28" i="29"/>
  <c r="G28" i="29"/>
  <c r="B28" i="29"/>
  <c r="G27" i="29"/>
  <c r="F27" i="29"/>
  <c r="E27" i="29"/>
  <c r="D27" i="29"/>
  <c r="C27" i="29"/>
  <c r="B27" i="29"/>
  <c r="AD187" i="9"/>
  <c r="C22" i="29"/>
  <c r="D22" i="29"/>
  <c r="E22" i="29"/>
  <c r="F22" i="29"/>
  <c r="G22" i="29"/>
  <c r="B22" i="29"/>
  <c r="C19" i="29"/>
  <c r="D19" i="29"/>
  <c r="E19" i="29"/>
  <c r="F19" i="29"/>
  <c r="G19" i="29"/>
  <c r="B19" i="29"/>
  <c r="C18" i="29"/>
  <c r="D18" i="29"/>
  <c r="E18" i="29"/>
  <c r="F18" i="29"/>
  <c r="G18" i="29"/>
  <c r="B18" i="29"/>
  <c r="C12" i="29"/>
  <c r="D12" i="29"/>
  <c r="E12" i="29"/>
  <c r="F12" i="29"/>
  <c r="G12" i="29"/>
  <c r="B12" i="29"/>
  <c r="C11" i="29"/>
  <c r="D11" i="29"/>
  <c r="E11" i="29"/>
  <c r="F11" i="29"/>
  <c r="G11" i="29"/>
  <c r="B11" i="29"/>
  <c r="AD190" i="9"/>
  <c r="AD170" i="9"/>
  <c r="AD192" i="9"/>
  <c r="AD196" i="9" s="1"/>
  <c r="G140" i="8"/>
  <c r="H140" i="8"/>
  <c r="I140" i="8"/>
  <c r="J140" i="8"/>
  <c r="G135" i="8"/>
  <c r="H135" i="8"/>
  <c r="I135" i="8"/>
  <c r="J135" i="8"/>
  <c r="Y116" i="8"/>
  <c r="Z121" i="8"/>
  <c r="Z122" i="8"/>
  <c r="Z123" i="8"/>
  <c r="Z124" i="8"/>
  <c r="Z120" i="8"/>
  <c r="H130" i="8"/>
  <c r="I130" i="8"/>
  <c r="J130" i="8"/>
  <c r="K130" i="8"/>
  <c r="L130" i="8"/>
  <c r="G130" i="8"/>
  <c r="G129" i="8"/>
  <c r="L127" i="8"/>
  <c r="L126" i="8"/>
  <c r="V107" i="8"/>
  <c r="V108" i="8"/>
  <c r="V109" i="8"/>
  <c r="V110" i="8"/>
  <c r="V111" i="8"/>
  <c r="V112" i="8"/>
  <c r="V113" i="8"/>
  <c r="V114" i="8"/>
  <c r="V115" i="8"/>
  <c r="V106" i="8"/>
  <c r="C35" i="29"/>
  <c r="I28" i="29"/>
  <c r="J28" i="29" s="1"/>
  <c r="K28" i="29" s="1"/>
  <c r="I22" i="29"/>
  <c r="J22" i="29" s="1"/>
  <c r="K22" i="29" s="1"/>
  <c r="I18" i="29"/>
  <c r="J18" i="29" s="1"/>
  <c r="K18" i="29" s="1"/>
  <c r="U32" i="14"/>
  <c r="T32" i="14"/>
  <c r="AA192" i="9"/>
  <c r="AA196" i="9" s="1"/>
  <c r="AA75" i="27" s="1"/>
  <c r="Z192" i="9"/>
  <c r="Z196" i="9" s="1"/>
  <c r="Z75" i="27" s="1"/>
  <c r="Y192" i="9"/>
  <c r="Y196" i="9" s="1"/>
  <c r="Y75" i="27" s="1"/>
  <c r="R75" i="27"/>
  <c r="S75" i="27"/>
  <c r="T75" i="27"/>
  <c r="Q75" i="27"/>
  <c r="AC196" i="9"/>
  <c r="AC75" i="27" s="1"/>
  <c r="AB196" i="9"/>
  <c r="AB75" i="27" s="1"/>
  <c r="X196" i="9"/>
  <c r="X75" i="27" s="1"/>
  <c r="W196" i="9"/>
  <c r="W75" i="27" s="1"/>
  <c r="V196" i="9"/>
  <c r="V75" i="27" s="1"/>
  <c r="U196" i="9"/>
  <c r="U75" i="27" s="1"/>
  <c r="T196" i="9"/>
  <c r="S196" i="9"/>
  <c r="R68" i="27"/>
  <c r="S68" i="27"/>
  <c r="T68" i="27"/>
  <c r="U68" i="27"/>
  <c r="V68" i="27"/>
  <c r="W68" i="27"/>
  <c r="X68" i="27"/>
  <c r="Y68" i="27"/>
  <c r="Z68" i="27"/>
  <c r="Z69" i="27" s="1"/>
  <c r="AA68" i="27"/>
  <c r="AB68" i="27"/>
  <c r="AC68" i="27"/>
  <c r="Q59" i="27"/>
  <c r="Q68" i="27" s="1"/>
  <c r="R187" i="9"/>
  <c r="R66" i="27" s="1"/>
  <c r="S187" i="9"/>
  <c r="S66" i="27" s="1"/>
  <c r="T187" i="9"/>
  <c r="T66" i="27" s="1"/>
  <c r="U187" i="9"/>
  <c r="U66" i="27" s="1"/>
  <c r="V187" i="9"/>
  <c r="V66" i="27" s="1"/>
  <c r="W187" i="9"/>
  <c r="W66" i="27" s="1"/>
  <c r="X187" i="9"/>
  <c r="X66" i="27" s="1"/>
  <c r="Y187" i="9"/>
  <c r="Y66" i="27" s="1"/>
  <c r="Z187" i="9"/>
  <c r="Z66" i="27" s="1"/>
  <c r="AA187" i="9"/>
  <c r="AA66" i="27" s="1"/>
  <c r="AB187" i="9"/>
  <c r="AB66" i="27" s="1"/>
  <c r="AC187" i="9"/>
  <c r="AC66" i="27" s="1"/>
  <c r="S176" i="9"/>
  <c r="S55" i="27" s="1"/>
  <c r="T176" i="9"/>
  <c r="T55" i="27" s="1"/>
  <c r="U176" i="9"/>
  <c r="U55" i="27" s="1"/>
  <c r="V176" i="9"/>
  <c r="V55" i="27" s="1"/>
  <c r="W176" i="9"/>
  <c r="W55" i="27" s="1"/>
  <c r="X176" i="9"/>
  <c r="X55" i="27" s="1"/>
  <c r="Y176" i="9"/>
  <c r="Y55" i="27" s="1"/>
  <c r="Z176" i="9"/>
  <c r="Z55" i="27" s="1"/>
  <c r="AA176" i="9"/>
  <c r="AA55" i="27" s="1"/>
  <c r="AB176" i="9"/>
  <c r="AB55" i="27" s="1"/>
  <c r="AC176" i="9"/>
  <c r="AC55" i="27" s="1"/>
  <c r="AC57" i="27"/>
  <c r="M30" i="4"/>
  <c r="T114" i="8"/>
  <c r="T115" i="8"/>
  <c r="O110" i="8"/>
  <c r="O111" i="8"/>
  <c r="O112" i="8"/>
  <c r="O113" i="8"/>
  <c r="O114" i="8"/>
  <c r="O115" i="8"/>
  <c r="L129" i="8"/>
  <c r="H129" i="8"/>
  <c r="I129" i="8"/>
  <c r="J129" i="8"/>
  <c r="K129" i="8"/>
  <c r="H128" i="8"/>
  <c r="I128" i="8"/>
  <c r="J128" i="8"/>
  <c r="K128" i="8"/>
  <c r="L128" i="8"/>
  <c r="G128" i="8"/>
  <c r="K127" i="8"/>
  <c r="K126" i="8"/>
  <c r="H3" i="7"/>
  <c r="H4" i="7"/>
  <c r="H5" i="7"/>
  <c r="H6" i="7"/>
  <c r="M6" i="7" s="1"/>
  <c r="H7" i="7"/>
  <c r="M7" i="7" s="1"/>
  <c r="N7" i="7" s="1"/>
  <c r="H8" i="7"/>
  <c r="M8" i="7" s="1"/>
  <c r="N8" i="7" s="1"/>
  <c r="H9" i="7"/>
  <c r="M9" i="7" s="1"/>
  <c r="N9" i="7" s="1"/>
  <c r="H10" i="7"/>
  <c r="I10" i="7" s="1"/>
  <c r="H11" i="7"/>
  <c r="M11" i="7" s="1"/>
  <c r="H12" i="7"/>
  <c r="I12" i="7" s="1"/>
  <c r="H13" i="7"/>
  <c r="M13" i="7" s="1"/>
  <c r="H14" i="7"/>
  <c r="M14" i="7" s="1"/>
  <c r="H15" i="7"/>
  <c r="I15" i="7" s="1"/>
  <c r="H16" i="7"/>
  <c r="I16" i="7" s="1"/>
  <c r="H17" i="7"/>
  <c r="I17" i="7" s="1"/>
  <c r="H18" i="7"/>
  <c r="H19" i="7"/>
  <c r="H20" i="7"/>
  <c r="H21" i="7"/>
  <c r="H22" i="7"/>
  <c r="H23" i="7"/>
  <c r="M23" i="7" s="1"/>
  <c r="N23" i="7" s="1"/>
  <c r="H24" i="7"/>
  <c r="M24" i="7" s="1"/>
  <c r="N24" i="7" s="1"/>
  <c r="H25" i="7"/>
  <c r="I25" i="7" s="1"/>
  <c r="H26" i="7"/>
  <c r="M26" i="7" s="1"/>
  <c r="H27" i="7"/>
  <c r="M27" i="7" s="1"/>
  <c r="N27" i="7" s="1"/>
  <c r="H28" i="7"/>
  <c r="M28" i="7" s="1"/>
  <c r="N28" i="7" s="1"/>
  <c r="H2" i="7"/>
  <c r="M2" i="7" s="1"/>
  <c r="H3" i="8"/>
  <c r="I7" i="8" s="1"/>
  <c r="H4" i="8"/>
  <c r="I8" i="8" s="1"/>
  <c r="H5" i="8"/>
  <c r="M5" i="8" s="1"/>
  <c r="H6" i="8"/>
  <c r="H7" i="8"/>
  <c r="H8" i="8"/>
  <c r="H9" i="8"/>
  <c r="H10" i="8"/>
  <c r="H11" i="8"/>
  <c r="M11" i="8" s="1"/>
  <c r="H12" i="8"/>
  <c r="I12" i="8" s="1"/>
  <c r="H13" i="8"/>
  <c r="I13" i="8" s="1"/>
  <c r="H14" i="8"/>
  <c r="H15" i="8"/>
  <c r="H16" i="8"/>
  <c r="M16" i="8" s="1"/>
  <c r="H17" i="8"/>
  <c r="I17" i="8" s="1"/>
  <c r="H18" i="8"/>
  <c r="M18" i="8" s="1"/>
  <c r="H19" i="8"/>
  <c r="H20" i="8"/>
  <c r="M20" i="8" s="1"/>
  <c r="H21" i="8"/>
  <c r="H22" i="8"/>
  <c r="I26" i="8" s="1"/>
  <c r="H23" i="8"/>
  <c r="M23" i="8" s="1"/>
  <c r="H24" i="8"/>
  <c r="I28" i="8" s="1"/>
  <c r="H25" i="8"/>
  <c r="I25" i="8" s="1"/>
  <c r="H26" i="8"/>
  <c r="H27" i="8"/>
  <c r="H28" i="8"/>
  <c r="H29" i="8"/>
  <c r="H30" i="8"/>
  <c r="H31" i="8"/>
  <c r="H32" i="8"/>
  <c r="H33" i="8"/>
  <c r="I33" i="8" s="1"/>
  <c r="H34" i="8"/>
  <c r="M34" i="8" s="1"/>
  <c r="H35" i="8"/>
  <c r="M35" i="8" s="1"/>
  <c r="H36" i="8"/>
  <c r="M36" i="8" s="1"/>
  <c r="H37" i="8"/>
  <c r="I37" i="8" s="1"/>
  <c r="H38" i="8"/>
  <c r="M38" i="8" s="1"/>
  <c r="H39" i="8"/>
  <c r="M39" i="8" s="1"/>
  <c r="H40" i="8"/>
  <c r="M40" i="8" s="1"/>
  <c r="H41" i="8"/>
  <c r="H42" i="8"/>
  <c r="M42" i="8" s="1"/>
  <c r="H43" i="8"/>
  <c r="I47" i="8" s="1"/>
  <c r="H44" i="8"/>
  <c r="M44" i="8" s="1"/>
  <c r="H45" i="8"/>
  <c r="I49" i="8" s="1"/>
  <c r="H46" i="8"/>
  <c r="H47" i="8"/>
  <c r="H48" i="8"/>
  <c r="H49" i="8"/>
  <c r="H50" i="8"/>
  <c r="M50" i="8" s="1"/>
  <c r="H51" i="8"/>
  <c r="I51" i="8" s="1"/>
  <c r="H52" i="8"/>
  <c r="M52" i="8" s="1"/>
  <c r="H53" i="8"/>
  <c r="H54" i="8"/>
  <c r="H55" i="8"/>
  <c r="H56" i="8"/>
  <c r="I56" i="8" s="1"/>
  <c r="H57" i="8"/>
  <c r="M57" i="8" s="1"/>
  <c r="H58" i="8"/>
  <c r="I58" i="8" s="1"/>
  <c r="H59" i="8"/>
  <c r="H60" i="8"/>
  <c r="I60" i="8" s="1"/>
  <c r="H61" i="8"/>
  <c r="M61" i="8" s="1"/>
  <c r="H62" i="8"/>
  <c r="H63" i="8"/>
  <c r="I67" i="8" s="1"/>
  <c r="H64" i="8"/>
  <c r="I64" i="8" s="1"/>
  <c r="H65" i="8"/>
  <c r="M65" i="8" s="1"/>
  <c r="H66" i="8"/>
  <c r="I66" i="8" s="1"/>
  <c r="H67" i="8"/>
  <c r="H68" i="8"/>
  <c r="H69" i="8"/>
  <c r="H70" i="8"/>
  <c r="I70" i="8" s="1"/>
  <c r="H71" i="8"/>
  <c r="H72" i="8"/>
  <c r="H73" i="8"/>
  <c r="H74" i="8"/>
  <c r="H75" i="8"/>
  <c r="M75" i="8" s="1"/>
  <c r="H76" i="8"/>
  <c r="I76" i="8" s="1"/>
  <c r="H77" i="8"/>
  <c r="I77" i="8" s="1"/>
  <c r="H78" i="8"/>
  <c r="I78" i="8" s="1"/>
  <c r="H79" i="8"/>
  <c r="M79" i="8" s="1"/>
  <c r="H80" i="8"/>
  <c r="H81" i="8"/>
  <c r="H82" i="8"/>
  <c r="M82" i="8" s="1"/>
  <c r="H83" i="8"/>
  <c r="I83" i="8" s="1"/>
  <c r="H84" i="8"/>
  <c r="M84" i="8" s="1"/>
  <c r="H85" i="8"/>
  <c r="I89" i="8" s="1"/>
  <c r="H86" i="8"/>
  <c r="H87" i="8"/>
  <c r="H88" i="8"/>
  <c r="H89" i="8"/>
  <c r="M89" i="8" s="1"/>
  <c r="H90" i="8"/>
  <c r="H91" i="8"/>
  <c r="I91" i="8" s="1"/>
  <c r="H92" i="8"/>
  <c r="H93" i="8"/>
  <c r="H94" i="8"/>
  <c r="H95" i="8"/>
  <c r="M95" i="8" s="1"/>
  <c r="H96" i="8"/>
  <c r="I96" i="8" s="1"/>
  <c r="H97" i="8"/>
  <c r="I97" i="8" s="1"/>
  <c r="H98" i="8"/>
  <c r="I98" i="8" s="1"/>
  <c r="H99" i="8"/>
  <c r="M99" i="8" s="1"/>
  <c r="H100" i="8"/>
  <c r="M100" i="8" s="1"/>
  <c r="H101" i="8"/>
  <c r="M101" i="8" s="1"/>
  <c r="H102" i="8"/>
  <c r="I106" i="8" s="1"/>
  <c r="H103" i="8"/>
  <c r="M103" i="8" s="1"/>
  <c r="H104" i="8"/>
  <c r="M104" i="8" s="1"/>
  <c r="H105" i="8"/>
  <c r="M105" i="8" s="1"/>
  <c r="H106" i="8"/>
  <c r="H107" i="8"/>
  <c r="H108" i="8"/>
  <c r="H109" i="8"/>
  <c r="M109" i="8" s="1"/>
  <c r="H110" i="8"/>
  <c r="I110" i="8" s="1"/>
  <c r="H111" i="8"/>
  <c r="H112" i="8"/>
  <c r="H113" i="8"/>
  <c r="H114" i="8"/>
  <c r="M114" i="8" s="1"/>
  <c r="H115" i="8"/>
  <c r="M115" i="8" s="1"/>
  <c r="H2" i="8"/>
  <c r="I6" i="8" s="1"/>
  <c r="Y114" i="8"/>
  <c r="Y115" i="8"/>
  <c r="J16" i="20"/>
  <c r="A124" i="27"/>
  <c r="C114" i="27"/>
  <c r="C124" i="27" s="1"/>
  <c r="C123" i="27"/>
  <c r="C126" i="27"/>
  <c r="C42" i="27"/>
  <c r="C88" i="27"/>
  <c r="C111" i="27"/>
  <c r="C109" i="27"/>
  <c r="C101" i="27"/>
  <c r="B92" i="27"/>
  <c r="C87" i="27"/>
  <c r="B84" i="27"/>
  <c r="C83" i="27" a="1"/>
  <c r="C83" i="27" s="1"/>
  <c r="B82" i="27"/>
  <c r="B83" i="27" a="1"/>
  <c r="B83" i="27" s="1"/>
  <c r="C100" i="27"/>
  <c r="C113" i="27"/>
  <c r="M86" i="27"/>
  <c r="O57" i="27"/>
  <c r="L57" i="27"/>
  <c r="M57" i="27"/>
  <c r="N57" i="27"/>
  <c r="P57" i="27"/>
  <c r="Q57" i="27"/>
  <c r="R57" i="27"/>
  <c r="S57" i="27"/>
  <c r="T57" i="27"/>
  <c r="U57" i="27"/>
  <c r="V57" i="27"/>
  <c r="W57" i="27"/>
  <c r="X57" i="27"/>
  <c r="Y57" i="27"/>
  <c r="Z57" i="27"/>
  <c r="AA57" i="27"/>
  <c r="AB57" i="27"/>
  <c r="S56"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B42" i="27"/>
  <c r="C117" i="27"/>
  <c r="C118" i="27" s="1"/>
  <c r="L205" i="9"/>
  <c r="M205" i="9"/>
  <c r="L172" i="9"/>
  <c r="L176" i="9" s="1"/>
  <c r="L55" i="27" s="1"/>
  <c r="L171" i="9"/>
  <c r="M169" i="9"/>
  <c r="M170" i="9" s="1"/>
  <c r="M172" i="9"/>
  <c r="N172" i="9"/>
  <c r="M171" i="9"/>
  <c r="N171" i="9"/>
  <c r="Q172" i="9"/>
  <c r="R172" i="9"/>
  <c r="O172" i="9"/>
  <c r="P172" i="9"/>
  <c r="P171" i="9"/>
  <c r="O171" i="9"/>
  <c r="Q171" i="9"/>
  <c r="R171" i="9"/>
  <c r="N205" i="9"/>
  <c r="N169" i="9"/>
  <c r="N176" i="9" s="1"/>
  <c r="N55" i="27" s="1"/>
  <c r="O169" i="9"/>
  <c r="O170" i="9" s="1"/>
  <c r="L190" i="9"/>
  <c r="M190" i="9"/>
  <c r="N190" i="9"/>
  <c r="O190" i="9"/>
  <c r="P190" i="9"/>
  <c r="L170" i="9"/>
  <c r="P169" i="9"/>
  <c r="O205" i="9"/>
  <c r="P205" i="9"/>
  <c r="R192" i="9"/>
  <c r="R196" i="9" s="1"/>
  <c r="Q192" i="9"/>
  <c r="Q196" i="9" s="1"/>
  <c r="Q180" i="9"/>
  <c r="Q187" i="9" s="1"/>
  <c r="Q66" i="27" s="1"/>
  <c r="Q169" i="9"/>
  <c r="Q170" i="9" s="1"/>
  <c r="Q191" i="9"/>
  <c r="R191" i="9"/>
  <c r="R190" i="9"/>
  <c r="Q190" i="9"/>
  <c r="S177" i="9"/>
  <c r="R169" i="9"/>
  <c r="R170" i="9" s="1"/>
  <c r="S190" i="9"/>
  <c r="Q205" i="9"/>
  <c r="R205" i="9"/>
  <c r="S205" i="9"/>
  <c r="R181" i="9"/>
  <c r="S181" i="9"/>
  <c r="T205" i="9"/>
  <c r="U205" i="9"/>
  <c r="V205" i="9"/>
  <c r="W205" i="9"/>
  <c r="T190" i="9"/>
  <c r="U190" i="9"/>
  <c r="V190" i="9"/>
  <c r="T181" i="9"/>
  <c r="U181" i="9"/>
  <c r="V181" i="9"/>
  <c r="X205" i="9"/>
  <c r="X190" i="9"/>
  <c r="X181" i="9"/>
  <c r="X199" i="9"/>
  <c r="Y190" i="9"/>
  <c r="Y181" i="9"/>
  <c r="AA190" i="9"/>
  <c r="AA181" i="9"/>
  <c r="AC190" i="9"/>
  <c r="AC181" i="9"/>
  <c r="S170" i="9"/>
  <c r="T170" i="9"/>
  <c r="U170" i="9"/>
  <c r="V170" i="9"/>
  <c r="X170" i="9"/>
  <c r="Y170" i="9"/>
  <c r="AA170" i="9"/>
  <c r="AC170" i="9"/>
  <c r="C104" i="27"/>
  <c r="C103" i="27"/>
  <c r="AA71" i="27"/>
  <c r="Z71" i="27"/>
  <c r="Y71" i="27"/>
  <c r="AA70" i="27"/>
  <c r="AB69" i="27"/>
  <c r="W69" i="27"/>
  <c r="AB60" i="27"/>
  <c r="Z60" i="27"/>
  <c r="W60" i="27"/>
  <c r="W190" i="9"/>
  <c r="W181" i="9"/>
  <c r="W170" i="9"/>
  <c r="AA199" i="9"/>
  <c r="AA198" i="9"/>
  <c r="AB190" i="9"/>
  <c r="AB181" i="9"/>
  <c r="AB170" i="9"/>
  <c r="Y199" i="9"/>
  <c r="Z199" i="9"/>
  <c r="Z190" i="9"/>
  <c r="Z181" i="9"/>
  <c r="Z170" i="9"/>
  <c r="AD41"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B41" i="27"/>
  <c r="B11" i="9"/>
  <c r="B34" i="9"/>
  <c r="D35" i="9"/>
  <c r="E35" i="9"/>
  <c r="F35" i="9"/>
  <c r="G35" i="9"/>
  <c r="H35" i="9"/>
  <c r="I35" i="9"/>
  <c r="J35" i="9"/>
  <c r="K35" i="9"/>
  <c r="L35" i="9"/>
  <c r="M35" i="9"/>
  <c r="N35" i="9"/>
  <c r="P35" i="9"/>
  <c r="Q35" i="9"/>
  <c r="R35" i="9"/>
  <c r="S35" i="9"/>
  <c r="T35" i="9"/>
  <c r="U35" i="9"/>
  <c r="V35" i="9"/>
  <c r="W35" i="9"/>
  <c r="X35" i="9"/>
  <c r="Y35" i="9"/>
  <c r="Z35" i="9"/>
  <c r="AA35" i="9"/>
  <c r="AB35" i="9"/>
  <c r="B38" i="9"/>
  <c r="D49" i="9"/>
  <c r="E49" i="9"/>
  <c r="F49" i="9"/>
  <c r="G49" i="9"/>
  <c r="H49" i="9"/>
  <c r="I49" i="9"/>
  <c r="J49" i="9"/>
  <c r="K49" i="9"/>
  <c r="L49" i="9"/>
  <c r="M49" i="9"/>
  <c r="N49" i="9"/>
  <c r="P49" i="9"/>
  <c r="Q49" i="9"/>
  <c r="R49" i="9"/>
  <c r="S49" i="9"/>
  <c r="T49" i="9"/>
  <c r="U49" i="9"/>
  <c r="V49" i="9"/>
  <c r="W49" i="9"/>
  <c r="X49" i="9"/>
  <c r="Y49" i="9"/>
  <c r="Z49" i="9"/>
  <c r="AA49" i="9"/>
  <c r="AB49" i="9"/>
  <c r="B50" i="9"/>
  <c r="S50" i="9"/>
  <c r="S144" i="9"/>
  <c r="N165" i="9"/>
  <c r="O165" i="9"/>
  <c r="P165" i="9"/>
  <c r="Q165" i="9"/>
  <c r="R165" i="9"/>
  <c r="S165" i="9"/>
  <c r="T165" i="9"/>
  <c r="U165" i="9"/>
  <c r="V165" i="9"/>
  <c r="W165" i="9"/>
  <c r="X165" i="9"/>
  <c r="Y165" i="9"/>
  <c r="Z165" i="9"/>
  <c r="AA165" i="9"/>
  <c r="AB165" i="9"/>
  <c r="B94" i="27"/>
  <c r="B93"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D83" i="27" a="1"/>
  <c r="D83" i="27" s="1"/>
  <c r="E83" i="27" a="1"/>
  <c r="E83" i="27" s="1"/>
  <c r="F83" i="27" a="1"/>
  <c r="F83" i="27" s="1"/>
  <c r="G83" i="27" a="1"/>
  <c r="G83" i="27" s="1"/>
  <c r="H83" i="27" a="1"/>
  <c r="H83" i="27" s="1"/>
  <c r="I83" i="27" a="1"/>
  <c r="I83" i="27" s="1"/>
  <c r="J83" i="27" a="1"/>
  <c r="J83" i="27" s="1"/>
  <c r="K83" i="27" a="1"/>
  <c r="K83" i="27" s="1"/>
  <c r="L83" i="27" a="1"/>
  <c r="L83" i="27" s="1"/>
  <c r="M83" i="27" a="1"/>
  <c r="M83" i="27" s="1"/>
  <c r="N83" i="27" a="1"/>
  <c r="N83" i="27" s="1"/>
  <c r="O83" i="27" a="1"/>
  <c r="O83" i="27" s="1"/>
  <c r="P83" i="27" a="1"/>
  <c r="P83" i="27" s="1"/>
  <c r="Q83" i="27" a="1"/>
  <c r="Q83" i="27" s="1"/>
  <c r="R83" i="27" a="1"/>
  <c r="R83" i="27" s="1"/>
  <c r="S83" i="27" a="1"/>
  <c r="S83" i="27" s="1"/>
  <c r="T83" i="27" a="1"/>
  <c r="T83" i="27" s="1"/>
  <c r="U83" i="27" a="1"/>
  <c r="U83" i="27" s="1"/>
  <c r="V83" i="27" a="1"/>
  <c r="V83" i="27" s="1"/>
  <c r="W83" i="27" a="1"/>
  <c r="W83" i="27" s="1"/>
  <c r="X83" i="27" a="1"/>
  <c r="X83" i="27" s="1"/>
  <c r="Y83" i="27" a="1"/>
  <c r="Y83" i="27" s="1"/>
  <c r="Z83" i="27" a="1"/>
  <c r="Z83" i="27" s="1"/>
  <c r="AA83" i="27" a="1"/>
  <c r="AA83" i="27" s="1"/>
  <c r="AB83" i="27" a="1"/>
  <c r="AB83" i="27" s="1"/>
  <c r="AC83" i="27" a="1"/>
  <c r="AC83" i="27" s="1"/>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D86" i="27"/>
  <c r="E86" i="27"/>
  <c r="F86" i="27"/>
  <c r="G86" i="27"/>
  <c r="H86" i="27"/>
  <c r="I86" i="27"/>
  <c r="J86" i="27"/>
  <c r="K86" i="27"/>
  <c r="L86" i="27"/>
  <c r="N86" i="27"/>
  <c r="O86" i="27"/>
  <c r="P86" i="27"/>
  <c r="Q86" i="27"/>
  <c r="R86" i="27"/>
  <c r="S86" i="27"/>
  <c r="T86" i="27"/>
  <c r="U86" i="27"/>
  <c r="V86" i="27"/>
  <c r="W86" i="27"/>
  <c r="D88" i="27"/>
  <c r="E88" i="27"/>
  <c r="F88" i="27"/>
  <c r="G88" i="27"/>
  <c r="H88" i="27"/>
  <c r="I88" i="27"/>
  <c r="J88" i="27"/>
  <c r="K88" i="27"/>
  <c r="L88" i="27"/>
  <c r="M88" i="27"/>
  <c r="N88" i="27"/>
  <c r="O88" i="27"/>
  <c r="P88" i="27"/>
  <c r="Q88" i="27"/>
  <c r="R88" i="27"/>
  <c r="S88" i="27"/>
  <c r="T88" i="27"/>
  <c r="U88" i="27"/>
  <c r="U89" i="27" s="1"/>
  <c r="V88" i="27"/>
  <c r="W88" i="27"/>
  <c r="AC88" i="27"/>
  <c r="AB88" i="27"/>
  <c r="AA88" i="27"/>
  <c r="Z88" i="27"/>
  <c r="Y88" i="27"/>
  <c r="X88" i="27"/>
  <c r="AC86" i="27"/>
  <c r="AB86" i="27"/>
  <c r="AA86" i="27"/>
  <c r="Z86" i="27"/>
  <c r="Y86" i="27"/>
  <c r="X86" i="27"/>
  <c r="C86" i="27"/>
  <c r="B8" i="27"/>
  <c r="AB5" i="27"/>
  <c r="AA5" i="27"/>
  <c r="Z5" i="27"/>
  <c r="Y5" i="27"/>
  <c r="X5" i="27"/>
  <c r="W5" i="27"/>
  <c r="V5" i="27"/>
  <c r="U5" i="27"/>
  <c r="T5" i="27"/>
  <c r="S5" i="27"/>
  <c r="R5" i="27"/>
  <c r="Q5" i="27"/>
  <c r="P5" i="27"/>
  <c r="O5" i="27"/>
  <c r="N5" i="27"/>
  <c r="M5" i="27"/>
  <c r="L5" i="27"/>
  <c r="K5" i="27"/>
  <c r="J5" i="27"/>
  <c r="I5" i="27"/>
  <c r="H5" i="27"/>
  <c r="G5" i="27"/>
  <c r="F5" i="27"/>
  <c r="E5" i="27"/>
  <c r="D5" i="27"/>
  <c r="B4" i="27"/>
  <c r="E3" i="20"/>
  <c r="W61" i="14"/>
  <c r="M61" i="14" s="1"/>
  <c r="X61" i="14"/>
  <c r="N61" i="14" s="1"/>
  <c r="G75" i="14"/>
  <c r="G78" i="14" s="1"/>
  <c r="G127" i="8"/>
  <c r="H127" i="8"/>
  <c r="I127" i="8"/>
  <c r="J127" i="8"/>
  <c r="H126" i="8"/>
  <c r="I126" i="8"/>
  <c r="J126" i="8"/>
  <c r="G126" i="8"/>
  <c r="O109" i="8"/>
  <c r="M110" i="8"/>
  <c r="M111" i="8"/>
  <c r="M112" i="8"/>
  <c r="M113" i="8"/>
  <c r="T107" i="8"/>
  <c r="T108" i="8"/>
  <c r="T109" i="8"/>
  <c r="T110" i="8"/>
  <c r="T111" i="8"/>
  <c r="T112" i="8"/>
  <c r="T113" i="8"/>
  <c r="T106" i="8"/>
  <c r="I113" i="8"/>
  <c r="I96" i="22"/>
  <c r="I97" i="22"/>
  <c r="I99" i="22"/>
  <c r="I90" i="22"/>
  <c r="I92" i="22"/>
  <c r="I93" i="22"/>
  <c r="I79" i="22"/>
  <c r="I81" i="22"/>
  <c r="I82" i="22"/>
  <c r="I83" i="22"/>
  <c r="I84" i="22"/>
  <c r="I86" i="22"/>
  <c r="J86" i="22" s="1"/>
  <c r="K86" i="22" s="1"/>
  <c r="L86" i="22" s="1"/>
  <c r="M86" i="22" s="1"/>
  <c r="N86" i="22" s="1"/>
  <c r="I87" i="22"/>
  <c r="I78" i="22"/>
  <c r="C96" i="26"/>
  <c r="C92" i="26"/>
  <c r="C85" i="26"/>
  <c r="C83" i="26"/>
  <c r="C82" i="26"/>
  <c r="C81" i="26"/>
  <c r="C80" i="26"/>
  <c r="E152" i="22"/>
  <c r="F152" i="22"/>
  <c r="I57" i="22"/>
  <c r="I57" i="14"/>
  <c r="C2" i="26"/>
  <c r="C3" i="26"/>
  <c r="C9" i="26"/>
  <c r="C11" i="26"/>
  <c r="C17" i="26"/>
  <c r="C18" i="26"/>
  <c r="C25" i="26"/>
  <c r="C27" i="26"/>
  <c r="C43" i="26"/>
  <c r="C44" i="26"/>
  <c r="C48" i="26"/>
  <c r="C49" i="26"/>
  <c r="C50" i="26"/>
  <c r="C56" i="26"/>
  <c r="C57" i="26"/>
  <c r="C74" i="26"/>
  <c r="C75" i="26"/>
  <c r="C76" i="26"/>
  <c r="C79" i="26"/>
  <c r="C84" i="26"/>
  <c r="C90" i="26"/>
  <c r="C97" i="26"/>
  <c r="C100" i="26"/>
  <c r="C105" i="26"/>
  <c r="B2" i="26"/>
  <c r="B3" i="26"/>
  <c r="B83" i="26"/>
  <c r="B105" i="26"/>
  <c r="S10" i="25"/>
  <c r="R10" i="25"/>
  <c r="Q10" i="25"/>
  <c r="Q8" i="14"/>
  <c r="C104" i="22"/>
  <c r="D99" i="22"/>
  <c r="E99" i="22"/>
  <c r="F99" i="22"/>
  <c r="G99" i="22"/>
  <c r="H99" i="22"/>
  <c r="C99" i="22"/>
  <c r="D96" i="22"/>
  <c r="E96" i="22"/>
  <c r="F96" i="22"/>
  <c r="G96" i="22"/>
  <c r="H96" i="22"/>
  <c r="H100" i="22" s="1"/>
  <c r="D97" i="22"/>
  <c r="E97" i="22"/>
  <c r="F97" i="22"/>
  <c r="F100" i="22" s="1"/>
  <c r="G97" i="22"/>
  <c r="H97" i="22"/>
  <c r="C97" i="22"/>
  <c r="C96" i="22"/>
  <c r="D92" i="22"/>
  <c r="E92" i="22"/>
  <c r="F92" i="22"/>
  <c r="G92" i="22"/>
  <c r="H92" i="22"/>
  <c r="D93" i="22"/>
  <c r="E93" i="22"/>
  <c r="F93" i="22"/>
  <c r="G93" i="22"/>
  <c r="H93" i="22"/>
  <c r="H94" i="22" s="1"/>
  <c r="C93" i="22"/>
  <c r="C90" i="22"/>
  <c r="C92" i="22"/>
  <c r="D90" i="22"/>
  <c r="E90" i="22"/>
  <c r="F90" i="22"/>
  <c r="G90" i="22"/>
  <c r="H90" i="22"/>
  <c r="D87" i="22"/>
  <c r="E87" i="22"/>
  <c r="F87" i="22"/>
  <c r="G87" i="22"/>
  <c r="H87" i="22"/>
  <c r="C87" i="22"/>
  <c r="D86" i="22"/>
  <c r="E86" i="22"/>
  <c r="F86" i="22"/>
  <c r="G86" i="22"/>
  <c r="H86" i="22"/>
  <c r="C86" i="22"/>
  <c r="D81" i="22"/>
  <c r="E81" i="22"/>
  <c r="F81" i="22"/>
  <c r="G81" i="22"/>
  <c r="H81" i="22"/>
  <c r="D82" i="22"/>
  <c r="E82" i="22"/>
  <c r="F82" i="22"/>
  <c r="G82" i="22"/>
  <c r="H82" i="22"/>
  <c r="D83" i="22"/>
  <c r="E83" i="22"/>
  <c r="F83" i="22"/>
  <c r="G83" i="22"/>
  <c r="H83" i="22"/>
  <c r="D84" i="22"/>
  <c r="E84" i="22"/>
  <c r="F84" i="22"/>
  <c r="G84" i="22"/>
  <c r="H84" i="22"/>
  <c r="C84" i="22"/>
  <c r="C83" i="22"/>
  <c r="C82" i="22"/>
  <c r="C81" i="22"/>
  <c r="D78" i="22"/>
  <c r="E78" i="22"/>
  <c r="F78" i="22"/>
  <c r="G78" i="22"/>
  <c r="H78" i="22"/>
  <c r="D79" i="22"/>
  <c r="E79" i="22"/>
  <c r="F79" i="22"/>
  <c r="G79" i="22"/>
  <c r="H79" i="22"/>
  <c r="C79" i="22"/>
  <c r="C78" i="22"/>
  <c r="D65" i="22"/>
  <c r="E65" i="22"/>
  <c r="F65" i="22"/>
  <c r="G65" i="22"/>
  <c r="H65" i="22"/>
  <c r="I65" i="22"/>
  <c r="D66" i="22"/>
  <c r="E66" i="22"/>
  <c r="F66" i="22"/>
  <c r="G66" i="22"/>
  <c r="H66" i="22"/>
  <c r="I66" i="22"/>
  <c r="D67" i="22"/>
  <c r="E67" i="22"/>
  <c r="F67" i="22"/>
  <c r="G67" i="22"/>
  <c r="H67" i="22"/>
  <c r="I67" i="22"/>
  <c r="D68" i="22"/>
  <c r="E68" i="22"/>
  <c r="F68" i="22"/>
  <c r="G68" i="22"/>
  <c r="H68" i="22"/>
  <c r="I68" i="22"/>
  <c r="D69" i="22"/>
  <c r="E69" i="22"/>
  <c r="F69" i="22"/>
  <c r="G69" i="22"/>
  <c r="H69" i="22"/>
  <c r="I69" i="22"/>
  <c r="J69" i="22" s="1"/>
  <c r="K69" i="22" s="1"/>
  <c r="L69" i="22" s="1"/>
  <c r="M69" i="22" s="1"/>
  <c r="N69" i="22" s="1"/>
  <c r="C69" i="22"/>
  <c r="C68" i="22"/>
  <c r="C67" i="22"/>
  <c r="C66" i="22"/>
  <c r="C65" i="22"/>
  <c r="D62" i="22"/>
  <c r="E62" i="22"/>
  <c r="F62" i="22"/>
  <c r="G62" i="22"/>
  <c r="H62" i="22"/>
  <c r="I62" i="22"/>
  <c r="C62" i="22"/>
  <c r="D61" i="22"/>
  <c r="E61" i="22"/>
  <c r="F61" i="22"/>
  <c r="G61" i="22"/>
  <c r="H61" i="22"/>
  <c r="I61" i="22"/>
  <c r="C61" i="22"/>
  <c r="D56" i="22"/>
  <c r="D59" i="22" s="1"/>
  <c r="E56" i="22"/>
  <c r="E59" i="22" s="1"/>
  <c r="F56" i="22"/>
  <c r="G56" i="22"/>
  <c r="H56" i="22"/>
  <c r="H59" i="22" s="1"/>
  <c r="I56" i="22"/>
  <c r="I59" i="22" s="1"/>
  <c r="C56" i="22"/>
  <c r="C59" i="22" s="1"/>
  <c r="D52" i="22"/>
  <c r="E52" i="22"/>
  <c r="F52" i="22"/>
  <c r="G52" i="22"/>
  <c r="H52" i="22"/>
  <c r="I52" i="22"/>
  <c r="D53" i="22"/>
  <c r="E53" i="22"/>
  <c r="F53" i="22"/>
  <c r="G53" i="22"/>
  <c r="H53" i="22"/>
  <c r="I53" i="22"/>
  <c r="C53" i="22"/>
  <c r="C52" i="22"/>
  <c r="D48" i="22"/>
  <c r="E48" i="22"/>
  <c r="F48" i="22"/>
  <c r="G48" i="22"/>
  <c r="H48" i="22"/>
  <c r="I48" i="22"/>
  <c r="C48" i="22"/>
  <c r="D42" i="22"/>
  <c r="E42" i="22"/>
  <c r="F42" i="22"/>
  <c r="G42" i="22"/>
  <c r="H42" i="22"/>
  <c r="I42" i="22"/>
  <c r="D43" i="22"/>
  <c r="E43" i="22"/>
  <c r="E46" i="22" s="1"/>
  <c r="F43" i="22"/>
  <c r="F46" i="22" s="1"/>
  <c r="G43" i="22"/>
  <c r="G46" i="22" s="1"/>
  <c r="H43" i="22"/>
  <c r="I43" i="22"/>
  <c r="C43" i="22"/>
  <c r="C42" i="22"/>
  <c r="C46" i="22" s="1"/>
  <c r="D37" i="22"/>
  <c r="E37" i="22"/>
  <c r="F37" i="22"/>
  <c r="G37" i="22"/>
  <c r="H37" i="22"/>
  <c r="L140" i="22" s="1"/>
  <c r="I37" i="22"/>
  <c r="M140" i="22" s="1"/>
  <c r="C37" i="22"/>
  <c r="G140" i="22" s="1"/>
  <c r="D35" i="22"/>
  <c r="E35" i="22"/>
  <c r="F35" i="22"/>
  <c r="G35" i="22"/>
  <c r="H35" i="22"/>
  <c r="H138" i="22" s="1"/>
  <c r="I35" i="22"/>
  <c r="C35" i="22"/>
  <c r="D32" i="22"/>
  <c r="E32" i="22"/>
  <c r="F32" i="22"/>
  <c r="G32" i="22"/>
  <c r="G135" i="22" s="1"/>
  <c r="H32" i="22"/>
  <c r="H135" i="22" s="1"/>
  <c r="I32" i="22"/>
  <c r="T32" i="22" s="1"/>
  <c r="J32" i="22" s="1"/>
  <c r="J135" i="22" s="1"/>
  <c r="C32" i="22"/>
  <c r="D27" i="22"/>
  <c r="E27" i="22"/>
  <c r="F27" i="22"/>
  <c r="G27" i="22"/>
  <c r="H27" i="22"/>
  <c r="I27" i="22"/>
  <c r="C27" i="22"/>
  <c r="D24" i="22"/>
  <c r="E24" i="22"/>
  <c r="F24" i="22"/>
  <c r="G24" i="22"/>
  <c r="H24" i="22"/>
  <c r="I24" i="22"/>
  <c r="D25" i="22"/>
  <c r="E25" i="22"/>
  <c r="F25" i="22"/>
  <c r="G25" i="22"/>
  <c r="H25" i="22"/>
  <c r="I25" i="22"/>
  <c r="C25" i="22"/>
  <c r="C24" i="22"/>
  <c r="C23" i="22" s="1"/>
  <c r="D15" i="22"/>
  <c r="E15" i="22"/>
  <c r="F15" i="22"/>
  <c r="G15" i="22"/>
  <c r="H15" i="22"/>
  <c r="I15" i="22"/>
  <c r="D16" i="22"/>
  <c r="E16" i="22"/>
  <c r="F16" i="22"/>
  <c r="G16" i="22"/>
  <c r="H16" i="22"/>
  <c r="I16" i="22"/>
  <c r="D17" i="22"/>
  <c r="E17" i="22"/>
  <c r="F17" i="22"/>
  <c r="G17" i="22"/>
  <c r="H17" i="22"/>
  <c r="I17" i="22"/>
  <c r="C17" i="22"/>
  <c r="C16" i="22"/>
  <c r="C15" i="22"/>
  <c r="D11" i="22"/>
  <c r="R11" i="22" s="1"/>
  <c r="E11" i="22"/>
  <c r="F11" i="22"/>
  <c r="J11" i="22" s="1"/>
  <c r="N11" i="22" s="1"/>
  <c r="G11" i="22"/>
  <c r="Q11" i="22" s="1"/>
  <c r="H11" i="22"/>
  <c r="I11" i="22"/>
  <c r="M11" i="22" s="1"/>
  <c r="D8" i="22"/>
  <c r="E8" i="22"/>
  <c r="F8" i="22"/>
  <c r="J8" i="22" s="1"/>
  <c r="G8" i="22"/>
  <c r="H8" i="22"/>
  <c r="L8" i="22" s="1"/>
  <c r="I8" i="22"/>
  <c r="D9" i="22"/>
  <c r="E9" i="22"/>
  <c r="F9" i="22"/>
  <c r="J9" i="22"/>
  <c r="N9" i="22" s="1"/>
  <c r="G9" i="22"/>
  <c r="Q9" i="22" s="1"/>
  <c r="H9" i="22"/>
  <c r="I9" i="22"/>
  <c r="C11" i="22"/>
  <c r="C9" i="22"/>
  <c r="C8" i="22"/>
  <c r="C7" i="22" s="1"/>
  <c r="F104" i="14"/>
  <c r="F79" i="14"/>
  <c r="F81" i="14"/>
  <c r="F82" i="14"/>
  <c r="F83" i="14"/>
  <c r="F84" i="14"/>
  <c r="F86" i="14"/>
  <c r="F87" i="14"/>
  <c r="C98" i="26"/>
  <c r="F99" i="14"/>
  <c r="G96" i="14"/>
  <c r="G97" i="14"/>
  <c r="F97" i="14"/>
  <c r="F96" i="14"/>
  <c r="G92" i="14"/>
  <c r="F93" i="14"/>
  <c r="F92" i="14"/>
  <c r="G90" i="14"/>
  <c r="F90" i="14"/>
  <c r="C86" i="26"/>
  <c r="G87" i="14"/>
  <c r="G86" i="14"/>
  <c r="G84" i="14"/>
  <c r="G81" i="14"/>
  <c r="G82" i="14"/>
  <c r="G79" i="14"/>
  <c r="F78" i="14"/>
  <c r="J99" i="25"/>
  <c r="B98" i="26"/>
  <c r="H99" i="25"/>
  <c r="I99" i="25"/>
  <c r="H96" i="25"/>
  <c r="H100" i="25" s="1"/>
  <c r="I96" i="25"/>
  <c r="H97" i="25"/>
  <c r="I97" i="25"/>
  <c r="G99" i="25"/>
  <c r="G97" i="25"/>
  <c r="G96" i="25"/>
  <c r="G100" i="25" s="1"/>
  <c r="H92" i="25"/>
  <c r="I92" i="25"/>
  <c r="I94" i="25" s="1"/>
  <c r="H93" i="25"/>
  <c r="I93" i="25"/>
  <c r="G93" i="25"/>
  <c r="H90" i="25"/>
  <c r="I90" i="25"/>
  <c r="G92" i="25"/>
  <c r="G90" i="25"/>
  <c r="H87" i="25"/>
  <c r="I87" i="25"/>
  <c r="G87" i="25"/>
  <c r="H86" i="25"/>
  <c r="I86" i="25"/>
  <c r="J86" i="25" s="1"/>
  <c r="K86" i="25" s="1"/>
  <c r="L86" i="25" s="1"/>
  <c r="M86" i="25" s="1"/>
  <c r="N86" i="25" s="1"/>
  <c r="G86" i="25"/>
  <c r="H84" i="25"/>
  <c r="I84" i="25"/>
  <c r="H83" i="25"/>
  <c r="I83" i="25"/>
  <c r="G83" i="25"/>
  <c r="G84" i="25"/>
  <c r="G82" i="25"/>
  <c r="H82" i="25"/>
  <c r="I82" i="25"/>
  <c r="H81" i="25"/>
  <c r="I81" i="25"/>
  <c r="G81" i="25"/>
  <c r="H79" i="25"/>
  <c r="I79" i="25"/>
  <c r="G79" i="25"/>
  <c r="H78" i="25"/>
  <c r="I78" i="25"/>
  <c r="G78" i="25"/>
  <c r="E56" i="25"/>
  <c r="E59" i="25" s="1"/>
  <c r="E63" i="25" s="1"/>
  <c r="F56" i="25"/>
  <c r="F59" i="25" s="1"/>
  <c r="G56" i="25"/>
  <c r="G59" i="25" s="1"/>
  <c r="H56" i="25"/>
  <c r="H59" i="25" s="1"/>
  <c r="I56" i="25"/>
  <c r="I59" i="25" s="1"/>
  <c r="D56" i="25"/>
  <c r="D59" i="25" s="1"/>
  <c r="D63" i="25" s="1"/>
  <c r="D62" i="25"/>
  <c r="E62" i="25"/>
  <c r="F62" i="25"/>
  <c r="G62" i="25"/>
  <c r="H62" i="25"/>
  <c r="I62" i="25"/>
  <c r="C62" i="25"/>
  <c r="D65" i="25"/>
  <c r="E65" i="25"/>
  <c r="F65" i="25"/>
  <c r="G65" i="25"/>
  <c r="H65" i="25"/>
  <c r="I65" i="25"/>
  <c r="D66" i="25"/>
  <c r="E66" i="25"/>
  <c r="F66" i="25"/>
  <c r="G66" i="25"/>
  <c r="H66" i="25"/>
  <c r="I66" i="25"/>
  <c r="D67" i="25"/>
  <c r="E67" i="25"/>
  <c r="F67" i="25"/>
  <c r="G67" i="25"/>
  <c r="H67" i="25"/>
  <c r="I67" i="25"/>
  <c r="D68" i="25"/>
  <c r="E68" i="25"/>
  <c r="F68" i="25"/>
  <c r="G68" i="25"/>
  <c r="H68" i="25"/>
  <c r="I68" i="25"/>
  <c r="D69" i="25"/>
  <c r="E69" i="25"/>
  <c r="F69" i="25"/>
  <c r="G69" i="25"/>
  <c r="H69" i="25"/>
  <c r="I69" i="25"/>
  <c r="C69" i="25"/>
  <c r="C68" i="25"/>
  <c r="C67" i="25"/>
  <c r="C66" i="25"/>
  <c r="C65" i="25"/>
  <c r="C70" i="25" s="1"/>
  <c r="D61" i="25"/>
  <c r="E61" i="25"/>
  <c r="F61" i="25"/>
  <c r="G61" i="25"/>
  <c r="H61" i="25"/>
  <c r="I61" i="25"/>
  <c r="C61" i="25"/>
  <c r="C56" i="25"/>
  <c r="C59" i="25" s="1"/>
  <c r="C52" i="25"/>
  <c r="D53" i="25"/>
  <c r="E53" i="25"/>
  <c r="F53" i="25"/>
  <c r="G53" i="25"/>
  <c r="G54" i="25" s="1"/>
  <c r="H53" i="25"/>
  <c r="H54" i="25" s="1"/>
  <c r="I53" i="25"/>
  <c r="J53" i="25" s="1"/>
  <c r="C53" i="25"/>
  <c r="D52" i="25"/>
  <c r="E52" i="25"/>
  <c r="F52" i="25"/>
  <c r="G52" i="25"/>
  <c r="H52" i="25"/>
  <c r="I52" i="25"/>
  <c r="D48" i="25"/>
  <c r="E48" i="25"/>
  <c r="F48" i="25"/>
  <c r="G48" i="25"/>
  <c r="H48" i="25"/>
  <c r="I48" i="25"/>
  <c r="C48" i="25"/>
  <c r="D42" i="25"/>
  <c r="E42" i="25"/>
  <c r="F42" i="25"/>
  <c r="G42" i="25"/>
  <c r="G46" i="25" s="1"/>
  <c r="H42" i="25"/>
  <c r="I42" i="25"/>
  <c r="D43" i="25"/>
  <c r="E43" i="25"/>
  <c r="F43" i="25"/>
  <c r="F46" i="25" s="1"/>
  <c r="G43" i="25"/>
  <c r="H43" i="25"/>
  <c r="H46" i="25" s="1"/>
  <c r="I43" i="25"/>
  <c r="C43" i="25"/>
  <c r="C42" i="25"/>
  <c r="D37" i="25"/>
  <c r="E37" i="25"/>
  <c r="F37" i="25"/>
  <c r="G37" i="25"/>
  <c r="G140" i="25" s="1"/>
  <c r="H37" i="25"/>
  <c r="H140" i="25"/>
  <c r="I37" i="25"/>
  <c r="C37" i="25"/>
  <c r="D35" i="25"/>
  <c r="E35" i="25"/>
  <c r="F35" i="25"/>
  <c r="G35" i="25"/>
  <c r="G138" i="25"/>
  <c r="H35" i="25"/>
  <c r="H138" i="25"/>
  <c r="I35" i="25"/>
  <c r="I138" i="25" s="1"/>
  <c r="C35" i="25"/>
  <c r="D32" i="25"/>
  <c r="E32" i="25"/>
  <c r="F32" i="25"/>
  <c r="G135" i="25" s="1"/>
  <c r="G32" i="25"/>
  <c r="H32" i="25"/>
  <c r="H135" i="25"/>
  <c r="I32" i="25"/>
  <c r="C32" i="25"/>
  <c r="D27" i="25"/>
  <c r="E27" i="25"/>
  <c r="F27" i="25"/>
  <c r="G27" i="25"/>
  <c r="H27" i="25"/>
  <c r="I27" i="25"/>
  <c r="C27" i="25"/>
  <c r="C23" i="25" s="1"/>
  <c r="D25" i="25"/>
  <c r="E25" i="25"/>
  <c r="F25" i="25"/>
  <c r="G25" i="25"/>
  <c r="H25" i="25"/>
  <c r="I25" i="25"/>
  <c r="C25" i="25"/>
  <c r="D24" i="25"/>
  <c r="E24" i="25"/>
  <c r="F24" i="25"/>
  <c r="G24" i="25"/>
  <c r="H24" i="25"/>
  <c r="I24" i="25"/>
  <c r="C24" i="25"/>
  <c r="D15" i="25"/>
  <c r="E15" i="25"/>
  <c r="F15" i="25"/>
  <c r="G15" i="25"/>
  <c r="H15" i="25"/>
  <c r="I15" i="25"/>
  <c r="D16" i="25"/>
  <c r="E16" i="25"/>
  <c r="F16" i="25"/>
  <c r="G16" i="25"/>
  <c r="H16" i="25"/>
  <c r="I16" i="25"/>
  <c r="D17" i="25"/>
  <c r="E17" i="25"/>
  <c r="F17" i="25"/>
  <c r="G17" i="25"/>
  <c r="H17" i="25"/>
  <c r="I17" i="25"/>
  <c r="C17" i="25"/>
  <c r="C16" i="25"/>
  <c r="C15" i="25"/>
  <c r="C14" i="25" s="1"/>
  <c r="D11" i="25"/>
  <c r="E11" i="25"/>
  <c r="F11" i="25"/>
  <c r="Q11" i="25" s="1"/>
  <c r="G11" i="25"/>
  <c r="R11" i="25"/>
  <c r="H11" i="25"/>
  <c r="S11" i="25"/>
  <c r="I11" i="25"/>
  <c r="C11" i="25"/>
  <c r="D9" i="25"/>
  <c r="E9" i="25"/>
  <c r="F9" i="25"/>
  <c r="Q9" i="25"/>
  <c r="G9" i="25"/>
  <c r="R9" i="25" s="1"/>
  <c r="H9" i="25"/>
  <c r="S9" i="25" s="1"/>
  <c r="I9" i="25"/>
  <c r="C9" i="25"/>
  <c r="H8" i="25"/>
  <c r="H7" i="25" s="1"/>
  <c r="I8" i="25"/>
  <c r="G8" i="25"/>
  <c r="D8" i="25"/>
  <c r="E8" i="25"/>
  <c r="F8" i="25"/>
  <c r="R8" i="25" s="1"/>
  <c r="Q8" i="25"/>
  <c r="C8" i="25"/>
  <c r="D65" i="14"/>
  <c r="E65" i="14"/>
  <c r="F65" i="14"/>
  <c r="G65" i="14"/>
  <c r="H65" i="14"/>
  <c r="I65" i="14"/>
  <c r="C64" i="26"/>
  <c r="D66" i="14"/>
  <c r="E66" i="14"/>
  <c r="F66" i="14"/>
  <c r="G66" i="14"/>
  <c r="H66" i="14"/>
  <c r="I66" i="14"/>
  <c r="C65" i="26"/>
  <c r="D67" i="14"/>
  <c r="D70" i="14" s="1"/>
  <c r="E67" i="14"/>
  <c r="F67" i="14"/>
  <c r="G67" i="14"/>
  <c r="H67" i="14"/>
  <c r="I67" i="14"/>
  <c r="C66" i="26"/>
  <c r="D68" i="14"/>
  <c r="E68" i="14"/>
  <c r="F68" i="14"/>
  <c r="G68" i="14"/>
  <c r="H68" i="14"/>
  <c r="I68" i="14"/>
  <c r="C67" i="26"/>
  <c r="D69" i="14"/>
  <c r="E69" i="14"/>
  <c r="F69" i="14"/>
  <c r="G69" i="14"/>
  <c r="H69" i="14"/>
  <c r="I69" i="14"/>
  <c r="C68" i="26"/>
  <c r="C69" i="14"/>
  <c r="C68" i="14"/>
  <c r="C67" i="14"/>
  <c r="G104" i="25"/>
  <c r="N101" i="25"/>
  <c r="M101" i="25"/>
  <c r="L101" i="25"/>
  <c r="K101" i="25"/>
  <c r="J101" i="25"/>
  <c r="B100" i="26"/>
  <c r="F100" i="25"/>
  <c r="E100" i="25"/>
  <c r="D100" i="25"/>
  <c r="C100" i="25"/>
  <c r="N99" i="25"/>
  <c r="M99" i="25"/>
  <c r="L99" i="25"/>
  <c r="K99" i="25"/>
  <c r="B97" i="26"/>
  <c r="N97" i="25"/>
  <c r="M97" i="25"/>
  <c r="L97" i="25"/>
  <c r="K97" i="25"/>
  <c r="J97" i="25"/>
  <c r="B96" i="26"/>
  <c r="F94" i="25"/>
  <c r="E94" i="25"/>
  <c r="D94" i="25"/>
  <c r="C94" i="25"/>
  <c r="N93" i="25"/>
  <c r="M93" i="25"/>
  <c r="L93" i="25"/>
  <c r="K93" i="25"/>
  <c r="J93" i="25"/>
  <c r="B92" i="26"/>
  <c r="N92" i="25"/>
  <c r="M92" i="25"/>
  <c r="L92" i="25"/>
  <c r="K92" i="25"/>
  <c r="J92" i="25"/>
  <c r="B91" i="26"/>
  <c r="N87" i="25"/>
  <c r="M87" i="25"/>
  <c r="L87" i="25"/>
  <c r="K87" i="25"/>
  <c r="J87" i="25"/>
  <c r="B86" i="26"/>
  <c r="N85" i="25"/>
  <c r="M85" i="25"/>
  <c r="L85" i="25"/>
  <c r="K85" i="25"/>
  <c r="J85" i="25"/>
  <c r="B84" i="26"/>
  <c r="E78" i="25"/>
  <c r="D78" i="25"/>
  <c r="C78" i="25"/>
  <c r="N76" i="25"/>
  <c r="M76" i="25"/>
  <c r="L76" i="25"/>
  <c r="K76" i="25"/>
  <c r="J76" i="25"/>
  <c r="J51" i="25" s="1"/>
  <c r="K51" i="25" s="1"/>
  <c r="B75" i="26"/>
  <c r="W61" i="25"/>
  <c r="X61" i="25"/>
  <c r="N61" i="25" s="1"/>
  <c r="M61" i="25"/>
  <c r="L61" i="25"/>
  <c r="K61" i="25"/>
  <c r="J61" i="25"/>
  <c r="B60" i="26"/>
  <c r="J50" i="25"/>
  <c r="K50" i="25" s="1"/>
  <c r="L50" i="25" s="1"/>
  <c r="M50" i="25" s="1"/>
  <c r="N50" i="25" s="1"/>
  <c r="P37" i="25"/>
  <c r="N37" i="25"/>
  <c r="M37" i="25"/>
  <c r="L37" i="25"/>
  <c r="K37" i="25"/>
  <c r="J37" i="25"/>
  <c r="J140" i="25" s="1"/>
  <c r="P32" i="25"/>
  <c r="N32" i="25"/>
  <c r="N135" i="25" s="1"/>
  <c r="M32" i="25"/>
  <c r="L32" i="25"/>
  <c r="K32" i="25"/>
  <c r="P28" i="25"/>
  <c r="N28" i="25"/>
  <c r="M28" i="25"/>
  <c r="L28" i="25"/>
  <c r="K28" i="25"/>
  <c r="J28" i="25"/>
  <c r="B27" i="26"/>
  <c r="P27" i="25"/>
  <c r="P26" i="25"/>
  <c r="P25" i="25"/>
  <c r="P24" i="25"/>
  <c r="P19" i="25"/>
  <c r="N19" i="25"/>
  <c r="M19" i="25"/>
  <c r="L19" i="25"/>
  <c r="K19" i="25"/>
  <c r="J19" i="25"/>
  <c r="B18" i="26"/>
  <c r="P18" i="25"/>
  <c r="P17" i="25"/>
  <c r="P16" i="25"/>
  <c r="P15" i="25"/>
  <c r="U12" i="25"/>
  <c r="K12" i="25" s="1"/>
  <c r="V12" i="25"/>
  <c r="L12" i="25" s="1"/>
  <c r="W12" i="25"/>
  <c r="M12" i="25" s="1"/>
  <c r="P12" i="25"/>
  <c r="J12" i="25"/>
  <c r="B11" i="26"/>
  <c r="P11" i="25"/>
  <c r="P10" i="25"/>
  <c r="J10" i="25"/>
  <c r="K10" i="25" s="1"/>
  <c r="L10" i="25" s="1"/>
  <c r="M10" i="25" s="1"/>
  <c r="N10" i="25" s="1"/>
  <c r="P9" i="25"/>
  <c r="P8" i="25"/>
  <c r="J8" i="25"/>
  <c r="K8" i="25" s="1"/>
  <c r="X4" i="25"/>
  <c r="W4" i="25"/>
  <c r="V4" i="25"/>
  <c r="U4" i="25"/>
  <c r="T4" i="25"/>
  <c r="S4" i="25"/>
  <c r="R4" i="25"/>
  <c r="Q4" i="25"/>
  <c r="X3" i="25"/>
  <c r="W3" i="25"/>
  <c r="V3" i="25"/>
  <c r="U3" i="25"/>
  <c r="T3" i="25"/>
  <c r="S3" i="25"/>
  <c r="R3" i="25"/>
  <c r="Q3" i="25"/>
  <c r="C66" i="14"/>
  <c r="C65" i="14"/>
  <c r="C70" i="14" s="1"/>
  <c r="D62" i="14"/>
  <c r="E62" i="14"/>
  <c r="F62" i="14"/>
  <c r="G62" i="14"/>
  <c r="H62" i="14"/>
  <c r="I62" i="14"/>
  <c r="C61" i="26"/>
  <c r="C62" i="14"/>
  <c r="D61" i="14"/>
  <c r="E61" i="14"/>
  <c r="F61" i="14"/>
  <c r="G61" i="14"/>
  <c r="H61" i="14"/>
  <c r="I61" i="14"/>
  <c r="C61" i="14"/>
  <c r="C63" i="14" s="1"/>
  <c r="D56" i="14"/>
  <c r="D59" i="14" s="1"/>
  <c r="E56" i="14"/>
  <c r="E59" i="14" s="1"/>
  <c r="E63" i="14" s="1"/>
  <c r="F56" i="14"/>
  <c r="F59" i="14" s="1"/>
  <c r="F63" i="14" s="1"/>
  <c r="G56" i="14"/>
  <c r="G59" i="14" s="1"/>
  <c r="I56" i="14"/>
  <c r="I59" i="14" s="1"/>
  <c r="C55" i="26"/>
  <c r="C56" i="14"/>
  <c r="D52" i="14"/>
  <c r="E52" i="14"/>
  <c r="F52" i="14"/>
  <c r="C51" i="26"/>
  <c r="D53" i="14"/>
  <c r="E53" i="14"/>
  <c r="F53" i="14"/>
  <c r="G53" i="14"/>
  <c r="C52" i="14"/>
  <c r="C53" i="14"/>
  <c r="D48" i="14"/>
  <c r="E48" i="14"/>
  <c r="F48" i="14"/>
  <c r="G48" i="14"/>
  <c r="C48" i="14"/>
  <c r="C54" i="14" s="1"/>
  <c r="D42" i="14"/>
  <c r="D46" i="14" s="1"/>
  <c r="E42" i="14"/>
  <c r="F42" i="14"/>
  <c r="F46" i="14" s="1"/>
  <c r="G42" i="14"/>
  <c r="C41" i="26"/>
  <c r="D43" i="14"/>
  <c r="E43" i="14"/>
  <c r="F43" i="14"/>
  <c r="G43" i="14"/>
  <c r="C43" i="14"/>
  <c r="C46" i="14" s="1"/>
  <c r="C42" i="14"/>
  <c r="C32" i="14"/>
  <c r="D37" i="14"/>
  <c r="E37" i="14"/>
  <c r="F37" i="14"/>
  <c r="G37" i="14"/>
  <c r="G125" i="14"/>
  <c r="H125" i="14"/>
  <c r="C37" i="14"/>
  <c r="D35" i="14"/>
  <c r="E35" i="14"/>
  <c r="F35" i="14"/>
  <c r="C35" i="14"/>
  <c r="D32" i="14"/>
  <c r="E32" i="14"/>
  <c r="F32" i="14"/>
  <c r="G32" i="14"/>
  <c r="H122" i="14" s="1"/>
  <c r="D27" i="14"/>
  <c r="E27" i="14"/>
  <c r="F27" i="14"/>
  <c r="G27" i="14"/>
  <c r="C26" i="26"/>
  <c r="C27" i="14"/>
  <c r="D24" i="14"/>
  <c r="E24" i="14"/>
  <c r="F24" i="14"/>
  <c r="G24" i="14"/>
  <c r="C23" i="26"/>
  <c r="D25" i="14"/>
  <c r="E25" i="14"/>
  <c r="F25" i="14"/>
  <c r="G25" i="14"/>
  <c r="C25" i="14"/>
  <c r="C24" i="14"/>
  <c r="D15" i="14"/>
  <c r="E15" i="14"/>
  <c r="F15" i="14"/>
  <c r="G15" i="14"/>
  <c r="C14" i="26"/>
  <c r="D16" i="14"/>
  <c r="E16" i="14"/>
  <c r="F16" i="14"/>
  <c r="G16" i="14"/>
  <c r="C15" i="26"/>
  <c r="D17" i="14"/>
  <c r="D14" i="14" s="1"/>
  <c r="E17" i="14"/>
  <c r="F17" i="14"/>
  <c r="F14" i="14" s="1"/>
  <c r="G17" i="14"/>
  <c r="C16" i="26"/>
  <c r="C17" i="14"/>
  <c r="C16" i="14"/>
  <c r="C15" i="14"/>
  <c r="C14" i="14" s="1"/>
  <c r="D9" i="14"/>
  <c r="D7" i="14" s="1"/>
  <c r="E9" i="14"/>
  <c r="E7" i="14" s="1"/>
  <c r="E109" i="14" s="1"/>
  <c r="F9" i="14"/>
  <c r="G9" i="14"/>
  <c r="D11" i="14"/>
  <c r="E11" i="14"/>
  <c r="F11" i="14"/>
  <c r="G11" i="14"/>
  <c r="R11" i="14"/>
  <c r="C11" i="14"/>
  <c r="C9" i="14"/>
  <c r="B7" i="26"/>
  <c r="B9" i="26"/>
  <c r="B36" i="26"/>
  <c r="B139" i="26"/>
  <c r="L140" i="25"/>
  <c r="M140" i="25"/>
  <c r="N140" i="25"/>
  <c r="B49" i="26"/>
  <c r="B50" i="26"/>
  <c r="B65" i="26"/>
  <c r="B67" i="26"/>
  <c r="B68" i="26"/>
  <c r="B64" i="26"/>
  <c r="B85" i="26"/>
  <c r="S11" i="14"/>
  <c r="C10" i="26"/>
  <c r="C8" i="26"/>
  <c r="C77" i="26"/>
  <c r="C24" i="26"/>
  <c r="C134" i="26"/>
  <c r="C31" i="26"/>
  <c r="C137" i="26"/>
  <c r="C34" i="26"/>
  <c r="C139" i="26"/>
  <c r="C36" i="26"/>
  <c r="C78" i="26"/>
  <c r="C42" i="26"/>
  <c r="C89" i="26"/>
  <c r="C47" i="26"/>
  <c r="C91" i="26"/>
  <c r="C52" i="26"/>
  <c r="C60" i="26"/>
  <c r="C95" i="26"/>
  <c r="J9" i="25"/>
  <c r="K9" i="25" s="1"/>
  <c r="L9" i="25" s="1"/>
  <c r="M9" i="25" s="1"/>
  <c r="N9" i="25" s="1"/>
  <c r="B8" i="26"/>
  <c r="J11" i="25"/>
  <c r="K11" i="25" s="1"/>
  <c r="L11" i="25" s="1"/>
  <c r="M11" i="25" s="1"/>
  <c r="N11" i="25" s="1"/>
  <c r="B52" i="26"/>
  <c r="J28" i="22"/>
  <c r="K28" i="22"/>
  <c r="L28" i="22"/>
  <c r="M28" i="22"/>
  <c r="N28" i="22"/>
  <c r="N19" i="22"/>
  <c r="M19" i="22"/>
  <c r="L19" i="22"/>
  <c r="K19" i="22"/>
  <c r="J19" i="22"/>
  <c r="J12" i="22"/>
  <c r="L11" i="22"/>
  <c r="L7" i="22" s="1"/>
  <c r="K11" i="22"/>
  <c r="M10" i="22"/>
  <c r="L10" i="22"/>
  <c r="K10" i="22"/>
  <c r="J10" i="22"/>
  <c r="N10" i="22"/>
  <c r="M9" i="22"/>
  <c r="L9" i="22"/>
  <c r="M8" i="22"/>
  <c r="N28" i="14"/>
  <c r="M28" i="14"/>
  <c r="L28" i="14"/>
  <c r="K28" i="14"/>
  <c r="M19" i="14"/>
  <c r="L19" i="14"/>
  <c r="K19" i="14"/>
  <c r="N101" i="22"/>
  <c r="M101" i="22"/>
  <c r="L101" i="22"/>
  <c r="K101" i="22"/>
  <c r="J101" i="22"/>
  <c r="N99" i="22"/>
  <c r="M99" i="22"/>
  <c r="L99" i="22"/>
  <c r="K99" i="22"/>
  <c r="J99" i="22"/>
  <c r="N97" i="22"/>
  <c r="M97" i="22"/>
  <c r="L97" i="22"/>
  <c r="K97" i="22"/>
  <c r="J97" i="22"/>
  <c r="N93" i="22"/>
  <c r="M93" i="22"/>
  <c r="L93" i="22"/>
  <c r="K93" i="22"/>
  <c r="J93" i="22"/>
  <c r="N92" i="22"/>
  <c r="M92" i="22"/>
  <c r="L92" i="22"/>
  <c r="K92" i="22"/>
  <c r="J92" i="22"/>
  <c r="N87" i="22"/>
  <c r="M87" i="22"/>
  <c r="L87" i="22"/>
  <c r="K87" i="22"/>
  <c r="N85" i="22"/>
  <c r="M85" i="22"/>
  <c r="L85" i="22"/>
  <c r="K85" i="22"/>
  <c r="J85" i="22"/>
  <c r="N76" i="22"/>
  <c r="M76" i="22"/>
  <c r="L76" i="22"/>
  <c r="K76" i="22"/>
  <c r="J76" i="22"/>
  <c r="J51" i="22" s="1"/>
  <c r="K51" i="22" s="1"/>
  <c r="L51" i="22" s="1"/>
  <c r="M51" i="22" s="1"/>
  <c r="N51" i="22" s="1"/>
  <c r="J66" i="22"/>
  <c r="K66" i="22" s="1"/>
  <c r="L66" i="22" s="1"/>
  <c r="M66" i="22" s="1"/>
  <c r="N66" i="22" s="1"/>
  <c r="W61" i="22"/>
  <c r="X61" i="22"/>
  <c r="N61" i="22"/>
  <c r="M61" i="22"/>
  <c r="L61" i="22"/>
  <c r="K61" i="22"/>
  <c r="J61" i="22"/>
  <c r="F59" i="22"/>
  <c r="G59" i="22"/>
  <c r="J50" i="22"/>
  <c r="K50" i="22" s="1"/>
  <c r="L50" i="22" s="1"/>
  <c r="M50" i="22" s="1"/>
  <c r="N50" i="22" s="1"/>
  <c r="P37" i="22"/>
  <c r="N37" i="22"/>
  <c r="M37" i="22"/>
  <c r="L37" i="22"/>
  <c r="K37" i="22"/>
  <c r="J37" i="22"/>
  <c r="J140" i="22"/>
  <c r="H140" i="22"/>
  <c r="P32" i="22"/>
  <c r="N32" i="22"/>
  <c r="M32" i="22"/>
  <c r="L32" i="22"/>
  <c r="K32" i="22"/>
  <c r="P28" i="22"/>
  <c r="P27" i="22"/>
  <c r="P26" i="22"/>
  <c r="P25" i="22"/>
  <c r="P24" i="22"/>
  <c r="P19" i="22"/>
  <c r="P18" i="22"/>
  <c r="P17" i="22"/>
  <c r="P16" i="22"/>
  <c r="P15" i="22"/>
  <c r="C14" i="22"/>
  <c r="U12" i="22"/>
  <c r="V12" i="22"/>
  <c r="W12" i="22"/>
  <c r="X12" i="22" s="1"/>
  <c r="N12" i="22" s="1"/>
  <c r="P12" i="22"/>
  <c r="P11" i="22"/>
  <c r="S10" i="22"/>
  <c r="Q10" i="22"/>
  <c r="P10" i="22"/>
  <c r="R10" i="22"/>
  <c r="P9" i="22"/>
  <c r="P8" i="22"/>
  <c r="X4" i="22"/>
  <c r="W4" i="22"/>
  <c r="V4" i="22"/>
  <c r="U4" i="22"/>
  <c r="T4" i="22"/>
  <c r="S4" i="22"/>
  <c r="R4" i="22"/>
  <c r="Q4" i="22"/>
  <c r="X3" i="22"/>
  <c r="W3" i="22"/>
  <c r="V3" i="22"/>
  <c r="U3" i="22"/>
  <c r="T3" i="22"/>
  <c r="S3" i="22"/>
  <c r="R3" i="22"/>
  <c r="Q3" i="22"/>
  <c r="B31" i="26"/>
  <c r="B134" i="26"/>
  <c r="B10" i="26"/>
  <c r="K12" i="22"/>
  <c r="L12" i="22"/>
  <c r="N140" i="22"/>
  <c r="B6" i="26"/>
  <c r="B124" i="26"/>
  <c r="B147" i="26"/>
  <c r="B108" i="26"/>
  <c r="B90" i="26"/>
  <c r="B74" i="26"/>
  <c r="B26" i="26"/>
  <c r="B25" i="26"/>
  <c r="B24" i="26"/>
  <c r="B17" i="26"/>
  <c r="B16" i="26"/>
  <c r="B15" i="26"/>
  <c r="B42" i="26"/>
  <c r="B51" i="26"/>
  <c r="B14" i="26"/>
  <c r="B23" i="26"/>
  <c r="B48" i="26"/>
  <c r="B76" i="26"/>
  <c r="B93" i="26"/>
  <c r="B89" i="26"/>
  <c r="B61" i="26"/>
  <c r="B78" i="26"/>
  <c r="B110" i="26"/>
  <c r="B43" i="26"/>
  <c r="B114" i="26"/>
  <c r="B57" i="26"/>
  <c r="B56" i="26"/>
  <c r="B44" i="26"/>
  <c r="B55" i="26"/>
  <c r="B77" i="26"/>
  <c r="B47" i="26"/>
  <c r="B20" i="26"/>
  <c r="B128" i="26"/>
  <c r="B22" i="26"/>
  <c r="B130" i="26"/>
  <c r="B13" i="26"/>
  <c r="B126" i="26"/>
  <c r="B81" i="26"/>
  <c r="B58" i="26"/>
  <c r="B80" i="26"/>
  <c r="B82" i="26"/>
  <c r="B112" i="26"/>
  <c r="B79" i="26"/>
  <c r="B62" i="26"/>
  <c r="B29" i="26"/>
  <c r="B132" i="26"/>
  <c r="B99" i="26"/>
  <c r="B95" i="26"/>
  <c r="B116" i="26"/>
  <c r="B103" i="26"/>
  <c r="B33" i="26"/>
  <c r="B136" i="26"/>
  <c r="B34" i="26"/>
  <c r="B137" i="26"/>
  <c r="B118" i="26"/>
  <c r="B38" i="26"/>
  <c r="B141" i="26"/>
  <c r="B120" i="26"/>
  <c r="B73" i="26"/>
  <c r="B145" i="26"/>
  <c r="B142" i="26"/>
  <c r="B66" i="26"/>
  <c r="B149" i="26"/>
  <c r="B148" i="26"/>
  <c r="B87" i="26"/>
  <c r="B151" i="26"/>
  <c r="B69" i="26"/>
  <c r="B101" i="26"/>
  <c r="B150" i="26"/>
  <c r="B70" i="26"/>
  <c r="B104" i="26"/>
  <c r="B41" i="26"/>
  <c r="B45" i="26"/>
  <c r="B53" i="26"/>
  <c r="B71" i="26"/>
  <c r="C3" i="20"/>
  <c r="D3" i="20"/>
  <c r="B3" i="20"/>
  <c r="K10" i="14"/>
  <c r="L10" i="14" s="1"/>
  <c r="M10" i="14" s="1"/>
  <c r="N10" i="14" s="1"/>
  <c r="U98" i="14"/>
  <c r="V98" i="14" s="1"/>
  <c r="L98" i="14" s="1"/>
  <c r="K98" i="14"/>
  <c r="K68" i="14"/>
  <c r="L68" i="14" s="1"/>
  <c r="M68" i="14" s="1"/>
  <c r="N68" i="14" s="1"/>
  <c r="N101" i="14"/>
  <c r="M101" i="14"/>
  <c r="L101" i="14"/>
  <c r="K101" i="14"/>
  <c r="J101" i="14"/>
  <c r="C99" i="26"/>
  <c r="E100" i="14"/>
  <c r="D100" i="14"/>
  <c r="C100" i="14"/>
  <c r="N99" i="14"/>
  <c r="M99" i="14"/>
  <c r="L99" i="14"/>
  <c r="K99" i="14"/>
  <c r="N97" i="14"/>
  <c r="C93" i="26"/>
  <c r="E94" i="14"/>
  <c r="D94" i="14"/>
  <c r="C94" i="14"/>
  <c r="N93" i="14"/>
  <c r="M93" i="14"/>
  <c r="L93" i="14"/>
  <c r="K93" i="14"/>
  <c r="N92" i="14"/>
  <c r="M92" i="14"/>
  <c r="L92" i="14"/>
  <c r="K92" i="14"/>
  <c r="N87" i="14"/>
  <c r="M87" i="14"/>
  <c r="L87" i="14"/>
  <c r="K87" i="14"/>
  <c r="N85" i="14"/>
  <c r="M85" i="14"/>
  <c r="L85" i="14"/>
  <c r="K85" i="14"/>
  <c r="E78" i="14"/>
  <c r="D78" i="14"/>
  <c r="C78" i="14"/>
  <c r="N76" i="14"/>
  <c r="M76" i="14"/>
  <c r="L76" i="14"/>
  <c r="L51" i="14" s="1"/>
  <c r="M51" i="14" s="1"/>
  <c r="N51" i="14" s="1"/>
  <c r="K76" i="14"/>
  <c r="C69" i="26"/>
  <c r="L61" i="14"/>
  <c r="K61" i="14"/>
  <c r="C59" i="14"/>
  <c r="K51" i="14"/>
  <c r="K50" i="14"/>
  <c r="L50" i="14" s="1"/>
  <c r="M50" i="14" s="1"/>
  <c r="N50" i="14" s="1"/>
  <c r="P37" i="14"/>
  <c r="N37" i="14"/>
  <c r="M37" i="14"/>
  <c r="M125" i="14" s="1"/>
  <c r="L37" i="14"/>
  <c r="K37" i="14"/>
  <c r="P32" i="14"/>
  <c r="N32" i="14"/>
  <c r="M32" i="14"/>
  <c r="L32" i="14"/>
  <c r="M122" i="14" s="1"/>
  <c r="K32" i="14"/>
  <c r="L122" i="14" s="1"/>
  <c r="P28" i="14"/>
  <c r="P27" i="14"/>
  <c r="P26" i="14"/>
  <c r="P25" i="14"/>
  <c r="P24" i="14"/>
  <c r="C22" i="26"/>
  <c r="P19" i="14"/>
  <c r="P18" i="14"/>
  <c r="P17" i="14"/>
  <c r="P16" i="14"/>
  <c r="P15" i="14"/>
  <c r="C13" i="26"/>
  <c r="U12" i="14"/>
  <c r="P12" i="14"/>
  <c r="P11" i="14"/>
  <c r="P10" i="14"/>
  <c r="P9" i="14"/>
  <c r="P8" i="14"/>
  <c r="X4" i="14"/>
  <c r="W4" i="14"/>
  <c r="V4" i="14"/>
  <c r="U4" i="14"/>
  <c r="T4" i="14"/>
  <c r="S4" i="14"/>
  <c r="R4" i="14"/>
  <c r="Q4" i="14"/>
  <c r="X3" i="14"/>
  <c r="W3" i="14"/>
  <c r="V3" i="14"/>
  <c r="U3" i="14"/>
  <c r="T3" i="14"/>
  <c r="S3" i="14"/>
  <c r="R3" i="14"/>
  <c r="Q3" i="14"/>
  <c r="C62" i="26"/>
  <c r="C58" i="26"/>
  <c r="C126" i="26"/>
  <c r="C130" i="26"/>
  <c r="V12" i="14"/>
  <c r="W12" i="14" s="1"/>
  <c r="K12" i="14"/>
  <c r="K66" i="14"/>
  <c r="L66" i="14" s="1"/>
  <c r="M66" i="14" s="1"/>
  <c r="N66" i="14" s="1"/>
  <c r="C70" i="26"/>
  <c r="G152" i="22"/>
  <c r="C45" i="26"/>
  <c r="C40" i="2"/>
  <c r="C41" i="2" s="1"/>
  <c r="D40" i="2"/>
  <c r="D41" i="2" s="1"/>
  <c r="E40" i="2"/>
  <c r="E41" i="2" s="1"/>
  <c r="F40" i="2"/>
  <c r="F41" i="2" s="1"/>
  <c r="G40" i="2"/>
  <c r="G41" i="2"/>
  <c r="G42" i="2" s="1"/>
  <c r="H40" i="2"/>
  <c r="H41" i="2"/>
  <c r="H42" i="2" s="1"/>
  <c r="I40" i="2"/>
  <c r="I41" i="2"/>
  <c r="J40" i="2"/>
  <c r="J41" i="2"/>
  <c r="I42" i="2" s="1"/>
  <c r="K40" i="2"/>
  <c r="K41" i="2" s="1"/>
  <c r="K42" i="2" s="1"/>
  <c r="L40" i="2"/>
  <c r="L41" i="2"/>
  <c r="M40" i="2"/>
  <c r="M41" i="2" s="1"/>
  <c r="M42" i="2" s="1"/>
  <c r="B40" i="2"/>
  <c r="B41" i="2"/>
  <c r="Y3" i="4"/>
  <c r="Y4" i="4"/>
  <c r="Y5" i="4"/>
  <c r="Y6" i="4"/>
  <c r="Y7" i="4"/>
  <c r="Y8" i="4"/>
  <c r="Y9" i="4"/>
  <c r="Y10" i="4"/>
  <c r="Y11" i="4"/>
  <c r="Y12" i="4"/>
  <c r="Y13" i="4"/>
  <c r="Y14" i="4"/>
  <c r="Y15" i="4"/>
  <c r="Y16" i="4"/>
  <c r="Y17" i="4"/>
  <c r="Y18" i="4"/>
  <c r="Y19" i="4"/>
  <c r="Y20" i="4"/>
  <c r="Y21" i="4"/>
  <c r="Y22" i="4"/>
  <c r="Y23" i="4"/>
  <c r="Y24" i="4"/>
  <c r="Y25" i="4"/>
  <c r="Y26" i="4"/>
  <c r="Y27" i="4"/>
  <c r="Y28" i="4"/>
  <c r="Y29" i="4"/>
  <c r="P15" i="7"/>
  <c r="P16" i="7"/>
  <c r="P17" i="7"/>
  <c r="P18" i="7"/>
  <c r="P19" i="7"/>
  <c r="P20" i="7"/>
  <c r="P21" i="7"/>
  <c r="P22" i="7"/>
  <c r="P23" i="7"/>
  <c r="P24" i="7"/>
  <c r="P25" i="7"/>
  <c r="P26" i="7"/>
  <c r="P27" i="7"/>
  <c r="P28" i="7"/>
  <c r="M3" i="7"/>
  <c r="M4" i="7"/>
  <c r="M5" i="7"/>
  <c r="M17" i="7"/>
  <c r="M18" i="7"/>
  <c r="N18" i="7" s="1"/>
  <c r="M19" i="7"/>
  <c r="N19" i="7" s="1"/>
  <c r="M20" i="7"/>
  <c r="N20" i="7" s="1"/>
  <c r="M21" i="7"/>
  <c r="N21" i="7" s="1"/>
  <c r="M22" i="7"/>
  <c r="N22" i="7" s="1"/>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M9" i="8"/>
  <c r="I10" i="8"/>
  <c r="M13" i="8"/>
  <c r="I14" i="8"/>
  <c r="I16" i="8"/>
  <c r="M17" i="8"/>
  <c r="M19" i="8"/>
  <c r="M27" i="8"/>
  <c r="M29" i="8"/>
  <c r="I30" i="8"/>
  <c r="I32" i="8"/>
  <c r="M33" i="8"/>
  <c r="I34" i="8"/>
  <c r="I40" i="8"/>
  <c r="I46" i="8"/>
  <c r="M49" i="8"/>
  <c r="M51" i="8"/>
  <c r="I52" i="8"/>
  <c r="I53" i="8"/>
  <c r="I54" i="8"/>
  <c r="M55" i="8"/>
  <c r="M67" i="8"/>
  <c r="M71" i="8"/>
  <c r="I72" i="8"/>
  <c r="I73" i="8"/>
  <c r="I74" i="8"/>
  <c r="M87" i="8"/>
  <c r="I90" i="8"/>
  <c r="I92" i="8"/>
  <c r="I93" i="8"/>
  <c r="M108" i="8"/>
  <c r="I112" i="8"/>
  <c r="M107" i="8"/>
  <c r="I111" i="8"/>
  <c r="M91" i="8"/>
  <c r="M47" i="8"/>
  <c r="I39" i="8"/>
  <c r="M31" i="8"/>
  <c r="I31" i="8"/>
  <c r="M15" i="8"/>
  <c r="I15" i="8"/>
  <c r="M7" i="8"/>
  <c r="I71" i="8"/>
  <c r="I35" i="8"/>
  <c r="I19" i="8"/>
  <c r="I11" i="8"/>
  <c r="I95" i="8"/>
  <c r="I79" i="8"/>
  <c r="M106" i="8"/>
  <c r="M94" i="8"/>
  <c r="M90" i="8"/>
  <c r="M86" i="8"/>
  <c r="M74" i="8"/>
  <c r="M70" i="8"/>
  <c r="M66" i="8"/>
  <c r="M54" i="8"/>
  <c r="M46" i="8"/>
  <c r="M30" i="8"/>
  <c r="M26" i="8"/>
  <c r="M14" i="8"/>
  <c r="M10" i="8"/>
  <c r="M6" i="8"/>
  <c r="M93" i="8"/>
  <c r="M73" i="8"/>
  <c r="M69" i="8"/>
  <c r="M53" i="8"/>
  <c r="M92" i="8"/>
  <c r="M88" i="8"/>
  <c r="M76" i="8"/>
  <c r="M72" i="8"/>
  <c r="M68" i="8"/>
  <c r="M60" i="8"/>
  <c r="M56" i="8"/>
  <c r="M48" i="8"/>
  <c r="M32" i="8"/>
  <c r="M28" i="8"/>
  <c r="M12" i="8"/>
  <c r="M8" i="8"/>
  <c r="I100" i="8"/>
  <c r="M5" i="4"/>
  <c r="M6" i="4"/>
  <c r="M7" i="4"/>
  <c r="M8" i="4"/>
  <c r="M9" i="4"/>
  <c r="M10" i="4"/>
  <c r="M11" i="4"/>
  <c r="M12" i="4"/>
  <c r="M13" i="4"/>
  <c r="M14" i="4"/>
  <c r="M15" i="4"/>
  <c r="M16" i="4"/>
  <c r="M17" i="4"/>
  <c r="M18" i="4"/>
  <c r="M19" i="4"/>
  <c r="M20" i="4"/>
  <c r="M21" i="4"/>
  <c r="M22" i="4"/>
  <c r="M23" i="4"/>
  <c r="M24" i="4"/>
  <c r="M25" i="4"/>
  <c r="M26" i="4"/>
  <c r="M27" i="4"/>
  <c r="M28" i="4"/>
  <c r="M29" i="4"/>
  <c r="P20" i="4"/>
  <c r="P21" i="4"/>
  <c r="P22" i="4"/>
  <c r="Q10" i="7"/>
  <c r="Q11" i="7"/>
  <c r="Q12" i="7"/>
  <c r="Q13" i="7"/>
  <c r="Q14" i="7"/>
  <c r="Q15" i="7"/>
  <c r="Q16" i="7"/>
  <c r="Q17" i="7"/>
  <c r="Q18" i="7"/>
  <c r="Q19" i="7"/>
  <c r="Q20" i="7"/>
  <c r="Q21" i="7"/>
  <c r="Q22" i="7"/>
  <c r="Q23" i="7"/>
  <c r="Q24" i="7"/>
  <c r="Q25" i="7"/>
  <c r="Q26" i="7"/>
  <c r="Q27" i="7"/>
  <c r="I23" i="7"/>
  <c r="I14" i="7"/>
  <c r="Q28" i="7"/>
  <c r="I20" i="7"/>
  <c r="I21" i="7"/>
  <c r="I18" i="7"/>
  <c r="I19" i="7"/>
  <c r="I22" i="7"/>
  <c r="P24" i="4"/>
  <c r="P27" i="4"/>
  <c r="P23" i="4"/>
  <c r="P29" i="4"/>
  <c r="P25" i="4"/>
  <c r="P28" i="4"/>
  <c r="P26" i="4"/>
  <c r="D42" i="2" l="1"/>
  <c r="I62" i="8"/>
  <c r="I81" i="8"/>
  <c r="I41" i="8"/>
  <c r="I21" i="8"/>
  <c r="I80" i="8"/>
  <c r="I48" i="8"/>
  <c r="I59" i="8"/>
  <c r="I101" i="8"/>
  <c r="M62" i="8"/>
  <c r="I55" i="8"/>
  <c r="M25" i="8"/>
  <c r="I94" i="8"/>
  <c r="I24" i="8"/>
  <c r="M58" i="8"/>
  <c r="M77" i="8"/>
  <c r="I87" i="8"/>
  <c r="I68" i="8"/>
  <c r="I22" i="8"/>
  <c r="M81" i="8"/>
  <c r="M59" i="8"/>
  <c r="M21" i="8"/>
  <c r="I109" i="8"/>
  <c r="I69" i="8"/>
  <c r="I63" i="8"/>
  <c r="I20" i="8"/>
  <c r="I24" i="7"/>
  <c r="M16" i="7"/>
  <c r="N17" i="7" s="1"/>
  <c r="M25" i="7"/>
  <c r="N25" i="7" s="1"/>
  <c r="N14" i="7"/>
  <c r="I140" i="22"/>
  <c r="K140" i="22"/>
  <c r="E94" i="22"/>
  <c r="E100" i="22"/>
  <c r="D63" i="22"/>
  <c r="F94" i="22"/>
  <c r="E7" i="22"/>
  <c r="E109" i="22" s="1"/>
  <c r="F14" i="22"/>
  <c r="I63" i="22"/>
  <c r="E70" i="22"/>
  <c r="D94" i="22"/>
  <c r="D7" i="22"/>
  <c r="D109" i="22" s="1"/>
  <c r="E14" i="22"/>
  <c r="E23" i="22"/>
  <c r="E115" i="22" s="1"/>
  <c r="D70" i="22"/>
  <c r="I7" i="22"/>
  <c r="S75" i="22" s="1"/>
  <c r="U75" i="22" s="1"/>
  <c r="V75" i="22" s="1"/>
  <c r="W75" i="22" s="1"/>
  <c r="X75" i="22" s="1"/>
  <c r="D23" i="22"/>
  <c r="D115" i="22" s="1"/>
  <c r="G54" i="22"/>
  <c r="Q8" i="22"/>
  <c r="D46" i="22"/>
  <c r="E54" i="22"/>
  <c r="I23" i="22"/>
  <c r="C70" i="22"/>
  <c r="G138" i="22"/>
  <c r="C100" i="22"/>
  <c r="D100" i="22"/>
  <c r="E63" i="22"/>
  <c r="G94" i="22"/>
  <c r="F63" i="22"/>
  <c r="S11" i="22"/>
  <c r="R75" i="25"/>
  <c r="R24" i="25"/>
  <c r="R91" i="25"/>
  <c r="R90" i="25"/>
  <c r="R26" i="25"/>
  <c r="H148" i="25"/>
  <c r="H109" i="25"/>
  <c r="K7" i="25"/>
  <c r="K91" i="25" s="1"/>
  <c r="L8" i="25"/>
  <c r="L7" i="25" s="1"/>
  <c r="F54" i="25"/>
  <c r="K140" i="25"/>
  <c r="K53" i="25"/>
  <c r="X12" i="25"/>
  <c r="N12" i="25" s="1"/>
  <c r="I140" i="25"/>
  <c r="E46" i="25"/>
  <c r="E54" i="25"/>
  <c r="J65" i="25"/>
  <c r="K65" i="25" s="1"/>
  <c r="R17" i="25"/>
  <c r="G23" i="25"/>
  <c r="G115" i="25" s="1"/>
  <c r="G70" i="25"/>
  <c r="G71" i="25" s="1"/>
  <c r="G72" i="25" s="1"/>
  <c r="F23" i="25"/>
  <c r="F70" i="25"/>
  <c r="S8" i="25"/>
  <c r="G7" i="25"/>
  <c r="Q17" i="25" s="1"/>
  <c r="F14" i="25"/>
  <c r="F111" i="25" s="1"/>
  <c r="E23" i="25"/>
  <c r="E70" i="25"/>
  <c r="E14" i="25"/>
  <c r="D23" i="25"/>
  <c r="F7" i="25"/>
  <c r="D14" i="25"/>
  <c r="E7" i="25"/>
  <c r="E109" i="25" s="1"/>
  <c r="I14" i="25"/>
  <c r="I111" i="25" s="1"/>
  <c r="H70" i="25"/>
  <c r="D7" i="25"/>
  <c r="D109" i="25" s="1"/>
  <c r="R25" i="25"/>
  <c r="C46" i="25"/>
  <c r="C54" i="25" s="1"/>
  <c r="D46" i="25"/>
  <c r="D54" i="25" s="1"/>
  <c r="C7" i="25"/>
  <c r="C109" i="25" s="1"/>
  <c r="H94" i="25"/>
  <c r="I7" i="25"/>
  <c r="I46" i="25"/>
  <c r="I94" i="14"/>
  <c r="H94" i="14"/>
  <c r="F23" i="14"/>
  <c r="D23" i="14"/>
  <c r="K125" i="14"/>
  <c r="C7" i="14"/>
  <c r="C110" i="14" s="1"/>
  <c r="Q11" i="14"/>
  <c r="G124" i="14"/>
  <c r="E23" i="14"/>
  <c r="E112" i="14" s="1"/>
  <c r="F54" i="14"/>
  <c r="I63" i="14"/>
  <c r="G63" i="14"/>
  <c r="I70" i="14"/>
  <c r="I71" i="14" s="1"/>
  <c r="I72" i="14" s="1"/>
  <c r="C71" i="26" s="1"/>
  <c r="H70" i="14"/>
  <c r="G70" i="14"/>
  <c r="G46" i="14"/>
  <c r="G54" i="14" s="1"/>
  <c r="E46" i="14"/>
  <c r="E54" i="14" s="1"/>
  <c r="E70" i="14"/>
  <c r="E71" i="14" s="1"/>
  <c r="E72" i="14" s="1"/>
  <c r="F70" i="14"/>
  <c r="F71" i="14" s="1"/>
  <c r="F72" i="14" s="1"/>
  <c r="I46" i="14"/>
  <c r="B97" i="27"/>
  <c r="L12" i="14"/>
  <c r="H63" i="14"/>
  <c r="H71" i="14" s="1"/>
  <c r="H72" i="14" s="1"/>
  <c r="C71" i="14"/>
  <c r="Q181" i="9"/>
  <c r="C42" i="2"/>
  <c r="B42" i="2"/>
  <c r="F42" i="2"/>
  <c r="E42" i="2"/>
  <c r="L42" i="2"/>
  <c r="J42" i="2"/>
  <c r="M64" i="8"/>
  <c r="I105" i="8"/>
  <c r="I44" i="8"/>
  <c r="I86" i="8"/>
  <c r="I65" i="8"/>
  <c r="M43" i="8"/>
  <c r="M97" i="8"/>
  <c r="I85" i="8"/>
  <c r="I42" i="8"/>
  <c r="M80" i="8"/>
  <c r="I103" i="8"/>
  <c r="M78" i="8"/>
  <c r="I27" i="8"/>
  <c r="I23" i="8"/>
  <c r="I84" i="8"/>
  <c r="M63" i="8"/>
  <c r="M41" i="8"/>
  <c r="I18" i="8"/>
  <c r="I43" i="8"/>
  <c r="I61" i="8"/>
  <c r="M85" i="8"/>
  <c r="I88" i="8"/>
  <c r="M83" i="8"/>
  <c r="I82" i="8"/>
  <c r="I102" i="8"/>
  <c r="I36" i="8"/>
  <c r="M98" i="8"/>
  <c r="I57" i="8"/>
  <c r="M24" i="8"/>
  <c r="I107" i="8"/>
  <c r="M22" i="8"/>
  <c r="M102" i="8"/>
  <c r="I99" i="8"/>
  <c r="M37" i="8"/>
  <c r="M96" i="8"/>
  <c r="I104" i="8"/>
  <c r="I9" i="8"/>
  <c r="I108" i="8"/>
  <c r="I29" i="8"/>
  <c r="I38" i="8"/>
  <c r="I75" i="8"/>
  <c r="I45" i="8"/>
  <c r="I50" i="8"/>
  <c r="M45" i="8"/>
  <c r="I13" i="7"/>
  <c r="I11" i="7"/>
  <c r="I7" i="7"/>
  <c r="M15" i="7"/>
  <c r="N15" i="7" s="1"/>
  <c r="I26" i="7"/>
  <c r="I27" i="7"/>
  <c r="M12" i="7"/>
  <c r="N12" i="7" s="1"/>
  <c r="M10" i="7"/>
  <c r="N10" i="7" s="1"/>
  <c r="I9" i="7"/>
  <c r="I8" i="7"/>
  <c r="I28" i="7"/>
  <c r="F54" i="22"/>
  <c r="C109" i="22"/>
  <c r="C21" i="22"/>
  <c r="C115" i="22"/>
  <c r="I94" i="22"/>
  <c r="I100" i="22"/>
  <c r="S8" i="22"/>
  <c r="C94" i="22"/>
  <c r="N135" i="22"/>
  <c r="C63" i="22"/>
  <c r="C71" i="22" s="1"/>
  <c r="E21" i="22"/>
  <c r="E113" i="22" s="1"/>
  <c r="C111" i="22"/>
  <c r="K135" i="22"/>
  <c r="H7" i="22"/>
  <c r="H148" i="22" s="1"/>
  <c r="I131" i="22"/>
  <c r="I115" i="22"/>
  <c r="D71" i="22"/>
  <c r="H14" i="22"/>
  <c r="C54" i="22"/>
  <c r="L135" i="22"/>
  <c r="J53" i="22"/>
  <c r="E71" i="22"/>
  <c r="E72" i="22" s="1"/>
  <c r="M135" i="22"/>
  <c r="K9" i="22"/>
  <c r="E111" i="22"/>
  <c r="H54" i="22"/>
  <c r="E148" i="22"/>
  <c r="S15" i="22"/>
  <c r="T15" i="22" s="1"/>
  <c r="I109" i="22"/>
  <c r="S91" i="22"/>
  <c r="I70" i="22"/>
  <c r="J65" i="22"/>
  <c r="G100" i="22"/>
  <c r="H70" i="22"/>
  <c r="L109" i="22"/>
  <c r="L91" i="22"/>
  <c r="L148" i="22"/>
  <c r="L90" i="22"/>
  <c r="L77" i="22"/>
  <c r="D14" i="22"/>
  <c r="D111" i="22" s="1"/>
  <c r="H63" i="22"/>
  <c r="G70" i="22"/>
  <c r="R9" i="22"/>
  <c r="G63" i="22"/>
  <c r="D54" i="22"/>
  <c r="S9" i="22"/>
  <c r="H46" i="22"/>
  <c r="N8" i="22"/>
  <c r="N7" i="22" s="1"/>
  <c r="J7" i="22"/>
  <c r="I14" i="22"/>
  <c r="I135" i="22"/>
  <c r="H23" i="22"/>
  <c r="I46" i="22"/>
  <c r="I54" i="22" s="1"/>
  <c r="F70" i="22"/>
  <c r="F71" i="22" s="1"/>
  <c r="F23" i="22"/>
  <c r="C113" i="22"/>
  <c r="C30" i="22"/>
  <c r="G14" i="22"/>
  <c r="F7" i="22"/>
  <c r="F111" i="22" s="1"/>
  <c r="G7" i="22"/>
  <c r="Q90" i="22" s="1"/>
  <c r="G23" i="22"/>
  <c r="I138" i="22"/>
  <c r="T98" i="22"/>
  <c r="M12" i="22"/>
  <c r="M7" i="22" s="1"/>
  <c r="R8" i="22"/>
  <c r="K8" i="22"/>
  <c r="L53" i="25"/>
  <c r="H71" i="25"/>
  <c r="H72" i="25" s="1"/>
  <c r="Q23" i="25"/>
  <c r="G131" i="25"/>
  <c r="G148" i="25"/>
  <c r="G109" i="25"/>
  <c r="Q75" i="25"/>
  <c r="G125" i="25"/>
  <c r="Q26" i="25"/>
  <c r="R7" i="25"/>
  <c r="S7" i="25"/>
  <c r="Q25" i="25"/>
  <c r="Q18" i="25"/>
  <c r="E71" i="25"/>
  <c r="F109" i="25"/>
  <c r="F21" i="25"/>
  <c r="Q7" i="25"/>
  <c r="C63" i="25"/>
  <c r="C71" i="25" s="1"/>
  <c r="E21" i="25"/>
  <c r="S17" i="25"/>
  <c r="T17" i="25" s="1"/>
  <c r="U17" i="25" s="1"/>
  <c r="V17" i="25" s="1"/>
  <c r="I148" i="25"/>
  <c r="I109" i="25"/>
  <c r="S91" i="25"/>
  <c r="S27" i="25"/>
  <c r="S75" i="25"/>
  <c r="S26" i="25"/>
  <c r="T26" i="25" s="1"/>
  <c r="U26" i="25" s="1"/>
  <c r="V26" i="25" s="1"/>
  <c r="S24" i="25"/>
  <c r="U24" i="25" s="1"/>
  <c r="V24" i="25" s="1"/>
  <c r="I21" i="25"/>
  <c r="S18" i="25"/>
  <c r="T18" i="25" s="1"/>
  <c r="U18" i="25" s="1"/>
  <c r="V18" i="25" s="1"/>
  <c r="I125" i="25"/>
  <c r="S15" i="25"/>
  <c r="T15" i="25" s="1"/>
  <c r="U15" i="25" s="1"/>
  <c r="V15" i="25" s="1"/>
  <c r="I135" i="25"/>
  <c r="T32" i="25"/>
  <c r="J32" i="25" s="1"/>
  <c r="K77" i="25"/>
  <c r="I100" i="25"/>
  <c r="M135" i="25"/>
  <c r="D70" i="25"/>
  <c r="D71" i="25" s="1"/>
  <c r="K24" i="25"/>
  <c r="Q24" i="25"/>
  <c r="G94" i="25"/>
  <c r="Q90" i="25"/>
  <c r="I23" i="25"/>
  <c r="S25" i="25"/>
  <c r="I63" i="25"/>
  <c r="H14" i="25"/>
  <c r="H63" i="25"/>
  <c r="S90" i="25"/>
  <c r="G14" i="25"/>
  <c r="G63" i="25"/>
  <c r="H23" i="25"/>
  <c r="F63" i="25"/>
  <c r="F71" i="25" s="1"/>
  <c r="F72" i="25" s="1"/>
  <c r="S16" i="25"/>
  <c r="R16" i="25"/>
  <c r="I70" i="25"/>
  <c r="I71" i="25" s="1"/>
  <c r="I72" i="25" s="1"/>
  <c r="T98" i="25"/>
  <c r="Q16" i="25"/>
  <c r="R18" i="25"/>
  <c r="R27" i="25"/>
  <c r="H125" i="25"/>
  <c r="R15" i="25"/>
  <c r="L51" i="25"/>
  <c r="M51" i="25" s="1"/>
  <c r="N51" i="25" s="1"/>
  <c r="L135" i="25"/>
  <c r="J69" i="25"/>
  <c r="K69" i="25" s="1"/>
  <c r="L69" i="25" s="1"/>
  <c r="M69" i="25" s="1"/>
  <c r="N69" i="25" s="1"/>
  <c r="J66" i="25"/>
  <c r="K66" i="25" s="1"/>
  <c r="L66" i="25" s="1"/>
  <c r="M66" i="25" s="1"/>
  <c r="N66" i="25" s="1"/>
  <c r="I54" i="25"/>
  <c r="J7" i="25"/>
  <c r="J43" i="25"/>
  <c r="K65" i="14"/>
  <c r="L86" i="14"/>
  <c r="M86" i="14" s="1"/>
  <c r="N86" i="14" s="1"/>
  <c r="F94" i="14"/>
  <c r="H100" i="14"/>
  <c r="G100" i="14"/>
  <c r="F100" i="14"/>
  <c r="D112" i="14"/>
  <c r="D109" i="14"/>
  <c r="D21" i="14"/>
  <c r="D111" i="14" s="1"/>
  <c r="I14" i="14"/>
  <c r="I118" i="14" s="1"/>
  <c r="D110" i="14"/>
  <c r="G14" i="14"/>
  <c r="G118" i="14" s="1"/>
  <c r="G122" i="14"/>
  <c r="I23" i="14"/>
  <c r="I120" i="14" s="1"/>
  <c r="G7" i="14"/>
  <c r="Q26" i="14" s="1"/>
  <c r="E14" i="14"/>
  <c r="E21" i="14" s="1"/>
  <c r="J23" i="14"/>
  <c r="F7" i="14"/>
  <c r="F110" i="14" s="1"/>
  <c r="C23" i="14"/>
  <c r="C112" i="14" s="1"/>
  <c r="G71" i="14"/>
  <c r="I54" i="14"/>
  <c r="H54" i="14"/>
  <c r="L89" i="27"/>
  <c r="B95" i="27"/>
  <c r="B96" i="27" s="1"/>
  <c r="C21" i="14"/>
  <c r="C109" i="14"/>
  <c r="D63" i="14"/>
  <c r="D71" i="14" s="1"/>
  <c r="D54" i="14"/>
  <c r="Q75" i="14"/>
  <c r="G130" i="14"/>
  <c r="G109" i="14"/>
  <c r="Q15" i="14"/>
  <c r="Q18" i="14"/>
  <c r="Q16" i="14"/>
  <c r="X12" i="14"/>
  <c r="N12" i="14" s="1"/>
  <c r="M12" i="14"/>
  <c r="V97" i="14"/>
  <c r="K97" i="14"/>
  <c r="G3" i="20" s="1"/>
  <c r="G8" i="20" s="1"/>
  <c r="C72" i="14"/>
  <c r="R9" i="14"/>
  <c r="G94" i="14"/>
  <c r="Q9" i="14"/>
  <c r="G23" i="14"/>
  <c r="H120" i="14" s="1"/>
  <c r="L125" i="14"/>
  <c r="J122" i="14"/>
  <c r="K53" i="14"/>
  <c r="L53" i="14" s="1"/>
  <c r="M53" i="14" s="1"/>
  <c r="N53" i="14" s="1"/>
  <c r="B34" i="29"/>
  <c r="B33" i="29" s="1"/>
  <c r="G34" i="29"/>
  <c r="G33" i="29" s="1"/>
  <c r="F34" i="29"/>
  <c r="D34" i="29"/>
  <c r="D33" i="29" s="1"/>
  <c r="D35" i="29"/>
  <c r="E34" i="29"/>
  <c r="E33" i="29" s="1"/>
  <c r="C34" i="29"/>
  <c r="C33" i="29" s="1"/>
  <c r="O176" i="9"/>
  <c r="O55" i="27" s="1"/>
  <c r="Q176" i="9"/>
  <c r="Q55" i="27" s="1"/>
  <c r="N170" i="9"/>
  <c r="R176" i="9"/>
  <c r="R55" i="27" s="1"/>
  <c r="J8" i="14"/>
  <c r="G35" i="29"/>
  <c r="I8" i="14"/>
  <c r="F35" i="29"/>
  <c r="F33" i="29"/>
  <c r="H8" i="14"/>
  <c r="E35" i="29"/>
  <c r="C53" i="26"/>
  <c r="J54" i="14"/>
  <c r="K122" i="14"/>
  <c r="I7" i="29"/>
  <c r="Z89" i="27"/>
  <c r="Q89" i="27"/>
  <c r="P170" i="9"/>
  <c r="P176" i="9"/>
  <c r="P55" i="27" s="1"/>
  <c r="M176" i="9"/>
  <c r="M55" i="27" s="1"/>
  <c r="I115" i="8"/>
  <c r="I114" i="8"/>
  <c r="S89" i="27"/>
  <c r="K89" i="27"/>
  <c r="C108" i="27"/>
  <c r="C120" i="27"/>
  <c r="AB89" i="27"/>
  <c r="C116" i="27"/>
  <c r="I89" i="27"/>
  <c r="O89" i="27"/>
  <c r="M89" i="27"/>
  <c r="E89" i="27"/>
  <c r="Y89" i="27"/>
  <c r="C106" i="27"/>
  <c r="C125" i="27"/>
  <c r="C127" i="27" s="1"/>
  <c r="G89" i="27"/>
  <c r="AC89" i="27"/>
  <c r="T89" i="27"/>
  <c r="C119" i="27"/>
  <c r="C121" i="27" s="1"/>
  <c r="X89" i="27"/>
  <c r="C107" i="27"/>
  <c r="W89" i="27"/>
  <c r="F89" i="27"/>
  <c r="AA89" i="27"/>
  <c r="R89" i="27"/>
  <c r="J89" i="27"/>
  <c r="V89" i="27"/>
  <c r="N89" i="27"/>
  <c r="D89" i="27"/>
  <c r="P89" i="27"/>
  <c r="H89" i="27"/>
  <c r="C89" i="27"/>
  <c r="N26" i="7" l="1"/>
  <c r="S27" i="22"/>
  <c r="D21" i="22"/>
  <c r="S26" i="22"/>
  <c r="T26" i="22" s="1"/>
  <c r="U26" i="22" s="1"/>
  <c r="V26" i="22" s="1"/>
  <c r="L26" i="22" s="1"/>
  <c r="I125" i="22"/>
  <c r="S23" i="22"/>
  <c r="F72" i="22"/>
  <c r="I148" i="22"/>
  <c r="S90" i="22"/>
  <c r="S17" i="22"/>
  <c r="T17" i="22" s="1"/>
  <c r="U17" i="22" s="1"/>
  <c r="H71" i="22"/>
  <c r="S24" i="22"/>
  <c r="U24" i="22" s="1"/>
  <c r="V24" i="22" s="1"/>
  <c r="L24" i="22" s="1"/>
  <c r="I71" i="22"/>
  <c r="I72" i="22" s="1"/>
  <c r="S25" i="22"/>
  <c r="U25" i="22" s="1"/>
  <c r="V25" i="22" s="1"/>
  <c r="L25" i="22" s="1"/>
  <c r="L23" i="22" s="1"/>
  <c r="S7" i="22"/>
  <c r="T75" i="22"/>
  <c r="L75" i="22"/>
  <c r="L78" i="22" s="1"/>
  <c r="S16" i="22"/>
  <c r="U16" i="22" s="1"/>
  <c r="R75" i="22"/>
  <c r="S18" i="22"/>
  <c r="T18" i="22" s="1"/>
  <c r="U18" i="22" s="1"/>
  <c r="C72" i="25"/>
  <c r="S14" i="25"/>
  <c r="K18" i="25"/>
  <c r="D72" i="25"/>
  <c r="E111" i="25"/>
  <c r="K125" i="25"/>
  <c r="Q91" i="25"/>
  <c r="E115" i="25"/>
  <c r="I127" i="25"/>
  <c r="D115" i="25"/>
  <c r="M8" i="25"/>
  <c r="N8" i="25" s="1"/>
  <c r="N7" i="25" s="1"/>
  <c r="C111" i="25"/>
  <c r="K90" i="25"/>
  <c r="K94" i="25" s="1"/>
  <c r="C21" i="25"/>
  <c r="K26" i="25"/>
  <c r="D21" i="25"/>
  <c r="D113" i="25" s="1"/>
  <c r="Q27" i="25"/>
  <c r="E72" i="25"/>
  <c r="C115" i="25"/>
  <c r="D111" i="25"/>
  <c r="Q15" i="25"/>
  <c r="K148" i="25"/>
  <c r="K109" i="25"/>
  <c r="F115" i="25"/>
  <c r="D30" i="14"/>
  <c r="G72" i="14"/>
  <c r="C110" i="27"/>
  <c r="L65" i="14"/>
  <c r="M65" i="14" s="1"/>
  <c r="N65" i="14" s="1"/>
  <c r="H118" i="14"/>
  <c r="G21" i="14"/>
  <c r="Q17" i="14"/>
  <c r="N13" i="7"/>
  <c r="N16" i="7"/>
  <c r="N11" i="7"/>
  <c r="C72" i="22"/>
  <c r="Q25" i="22"/>
  <c r="H125" i="22"/>
  <c r="Q17" i="22"/>
  <c r="R18" i="22"/>
  <c r="R27" i="22"/>
  <c r="H21" i="22"/>
  <c r="R90" i="22"/>
  <c r="Q16" i="22"/>
  <c r="K7" i="22"/>
  <c r="L125" i="22" s="1"/>
  <c r="R17" i="22"/>
  <c r="R15" i="22"/>
  <c r="R7" i="22"/>
  <c r="R25" i="22"/>
  <c r="H109" i="22"/>
  <c r="R91" i="22"/>
  <c r="V7" i="22"/>
  <c r="Q24" i="22"/>
  <c r="R26" i="22"/>
  <c r="R24" i="22"/>
  <c r="R16" i="22"/>
  <c r="E30" i="22"/>
  <c r="L94" i="22"/>
  <c r="R21" i="22"/>
  <c r="H30" i="22"/>
  <c r="W7" i="22"/>
  <c r="M27" i="22"/>
  <c r="M25" i="22"/>
  <c r="M15" i="22"/>
  <c r="M26" i="22"/>
  <c r="M24" i="22"/>
  <c r="M23" i="22" s="1"/>
  <c r="M18" i="22"/>
  <c r="M16" i="22"/>
  <c r="M125" i="22"/>
  <c r="M75" i="22"/>
  <c r="M109" i="22"/>
  <c r="M90" i="22"/>
  <c r="M91" i="22"/>
  <c r="M77" i="22"/>
  <c r="M17" i="22"/>
  <c r="C117" i="22"/>
  <c r="C34" i="22"/>
  <c r="V17" i="22"/>
  <c r="L17" i="22" s="1"/>
  <c r="D72" i="22"/>
  <c r="H115" i="22"/>
  <c r="R23" i="22"/>
  <c r="H131" i="22"/>
  <c r="D113" i="22"/>
  <c r="D30" i="22"/>
  <c r="J91" i="22"/>
  <c r="J26" i="22"/>
  <c r="J77" i="22"/>
  <c r="J24" i="22"/>
  <c r="J90" i="22"/>
  <c r="T7" i="22"/>
  <c r="J52" i="22"/>
  <c r="J148" i="22"/>
  <c r="J125" i="22"/>
  <c r="J75" i="22"/>
  <c r="J109" i="22"/>
  <c r="J98" i="22"/>
  <c r="J68" i="22" s="1"/>
  <c r="U98" i="22"/>
  <c r="G71" i="22"/>
  <c r="G72" i="22" s="1"/>
  <c r="J43" i="22"/>
  <c r="T27" i="22"/>
  <c r="J27" i="22" s="1"/>
  <c r="U27" i="22"/>
  <c r="V27" i="22" s="1"/>
  <c r="L27" i="22" s="1"/>
  <c r="N16" i="22"/>
  <c r="X7" i="22"/>
  <c r="N25" i="22"/>
  <c r="N91" i="22"/>
  <c r="N125" i="22"/>
  <c r="N109" i="22"/>
  <c r="N75" i="22"/>
  <c r="N90" i="22"/>
  <c r="N77" i="22"/>
  <c r="N17" i="22"/>
  <c r="N24" i="22"/>
  <c r="N18" i="22"/>
  <c r="N15" i="22"/>
  <c r="N26" i="22"/>
  <c r="N27" i="22"/>
  <c r="F115" i="22"/>
  <c r="H127" i="22"/>
  <c r="H111" i="22"/>
  <c r="R14" i="22"/>
  <c r="K27" i="22"/>
  <c r="K77" i="22"/>
  <c r="K125" i="22"/>
  <c r="K109" i="22"/>
  <c r="K91" i="22"/>
  <c r="G131" i="22"/>
  <c r="G115" i="22"/>
  <c r="Q23" i="22"/>
  <c r="F21" i="22"/>
  <c r="F109" i="22"/>
  <c r="F148" i="22"/>
  <c r="Q14" i="22"/>
  <c r="G127" i="22"/>
  <c r="G111" i="22"/>
  <c r="J15" i="22"/>
  <c r="U15" i="22"/>
  <c r="S14" i="22"/>
  <c r="I127" i="22"/>
  <c r="I111" i="22"/>
  <c r="H72" i="22"/>
  <c r="I21" i="22"/>
  <c r="Q26" i="22"/>
  <c r="Q75" i="22"/>
  <c r="G125" i="22"/>
  <c r="Q15" i="22"/>
  <c r="Q27" i="22"/>
  <c r="G109" i="22"/>
  <c r="Q91" i="22"/>
  <c r="G148" i="22"/>
  <c r="Q7" i="22"/>
  <c r="Q18" i="22"/>
  <c r="G21" i="22"/>
  <c r="E34" i="22"/>
  <c r="E117" i="22"/>
  <c r="K65" i="22"/>
  <c r="K53" i="22"/>
  <c r="I131" i="25"/>
  <c r="I115" i="25"/>
  <c r="S23" i="25"/>
  <c r="F113" i="25"/>
  <c r="F30" i="25"/>
  <c r="I113" i="25"/>
  <c r="I30" i="25"/>
  <c r="S21" i="25"/>
  <c r="L24" i="25"/>
  <c r="L148" i="25"/>
  <c r="L18" i="25"/>
  <c r="L17" i="25"/>
  <c r="L125" i="25"/>
  <c r="V7" i="25"/>
  <c r="L15" i="25"/>
  <c r="L109" i="25"/>
  <c r="L91" i="25"/>
  <c r="L90" i="25"/>
  <c r="L94" i="25" s="1"/>
  <c r="L77" i="25"/>
  <c r="L26" i="25"/>
  <c r="G127" i="25"/>
  <c r="G111" i="25"/>
  <c r="Q14" i="25"/>
  <c r="U25" i="25"/>
  <c r="T25" i="25"/>
  <c r="J25" i="25" s="1"/>
  <c r="K17" i="25"/>
  <c r="K15" i="25"/>
  <c r="U75" i="25"/>
  <c r="T75" i="25"/>
  <c r="J75" i="25" s="1"/>
  <c r="J79" i="25"/>
  <c r="K43" i="25"/>
  <c r="J109" i="25"/>
  <c r="J15" i="25"/>
  <c r="J91" i="25"/>
  <c r="J90" i="25"/>
  <c r="J94" i="25" s="1"/>
  <c r="J77" i="25"/>
  <c r="J49" i="25" s="1"/>
  <c r="K49" i="25" s="1"/>
  <c r="J27" i="25"/>
  <c r="J26" i="25"/>
  <c r="J18" i="25"/>
  <c r="J125" i="25"/>
  <c r="J148" i="25"/>
  <c r="T7" i="25"/>
  <c r="J24" i="25"/>
  <c r="J17" i="25"/>
  <c r="C113" i="25"/>
  <c r="C30" i="25"/>
  <c r="H127" i="25"/>
  <c r="H111" i="25"/>
  <c r="R14" i="25"/>
  <c r="H21" i="25"/>
  <c r="I129" i="25" s="1"/>
  <c r="U27" i="25"/>
  <c r="T27" i="25"/>
  <c r="L65" i="25"/>
  <c r="J135" i="25"/>
  <c r="K135" i="25"/>
  <c r="E30" i="25"/>
  <c r="E113" i="25"/>
  <c r="H131" i="25"/>
  <c r="H115" i="25"/>
  <c r="R23" i="25"/>
  <c r="J52" i="25"/>
  <c r="U7" i="25"/>
  <c r="G21" i="25"/>
  <c r="M53" i="25"/>
  <c r="T16" i="25"/>
  <c r="J16" i="25" s="1"/>
  <c r="U16" i="25"/>
  <c r="J98" i="25"/>
  <c r="J68" i="25" s="1"/>
  <c r="U98" i="25"/>
  <c r="Q90" i="14"/>
  <c r="Q14" i="14"/>
  <c r="E110" i="14"/>
  <c r="G110" i="14"/>
  <c r="F112" i="14"/>
  <c r="F21" i="14"/>
  <c r="F111" i="14" s="1"/>
  <c r="G117" i="14"/>
  <c r="F109" i="14"/>
  <c r="Q24" i="14"/>
  <c r="Q7" i="14"/>
  <c r="Q25" i="14"/>
  <c r="Q27" i="14"/>
  <c r="Q91" i="14"/>
  <c r="D72" i="14"/>
  <c r="C122" i="27"/>
  <c r="E111" i="14"/>
  <c r="E30" i="14"/>
  <c r="W97" i="14"/>
  <c r="M97" i="14" s="1"/>
  <c r="I3" i="20" s="1"/>
  <c r="L97" i="14"/>
  <c r="H3" i="20" s="1"/>
  <c r="H8" i="20" s="1"/>
  <c r="H20" i="20" s="1"/>
  <c r="G111" i="14"/>
  <c r="G30" i="14"/>
  <c r="Q21" i="14"/>
  <c r="C30" i="14"/>
  <c r="C111" i="14"/>
  <c r="D34" i="14"/>
  <c r="D113" i="14"/>
  <c r="G120" i="14"/>
  <c r="Q23" i="14"/>
  <c r="G112" i="14"/>
  <c r="R8" i="14"/>
  <c r="H7" i="14"/>
  <c r="C7" i="26"/>
  <c r="S8" i="14"/>
  <c r="I7" i="14"/>
  <c r="G20" i="20"/>
  <c r="G9" i="20"/>
  <c r="I11" i="29"/>
  <c r="H34" i="29"/>
  <c r="J7" i="14"/>
  <c r="T8" i="14"/>
  <c r="I8" i="29"/>
  <c r="J7" i="29"/>
  <c r="K7" i="29" s="1"/>
  <c r="L7" i="29"/>
  <c r="K69" i="14"/>
  <c r="F20" i="20"/>
  <c r="F21" i="20" s="1"/>
  <c r="J18" i="22" l="1"/>
  <c r="T25" i="22"/>
  <c r="J25" i="22" s="1"/>
  <c r="J17" i="22"/>
  <c r="T16" i="22"/>
  <c r="J16" i="22" s="1"/>
  <c r="H129" i="22"/>
  <c r="D30" i="25"/>
  <c r="M7" i="25"/>
  <c r="L49" i="25"/>
  <c r="J23" i="25"/>
  <c r="K17" i="22"/>
  <c r="K75" i="22"/>
  <c r="K78" i="22" s="1"/>
  <c r="H113" i="22"/>
  <c r="K24" i="22"/>
  <c r="K26" i="22"/>
  <c r="N94" i="22"/>
  <c r="K148" i="22"/>
  <c r="U7" i="22"/>
  <c r="K90" i="22"/>
  <c r="K94" i="22" s="1"/>
  <c r="J49" i="22"/>
  <c r="K49" i="22" s="1"/>
  <c r="L49" i="22" s="1"/>
  <c r="M49" i="22" s="1"/>
  <c r="N49" i="22" s="1"/>
  <c r="L131" i="22"/>
  <c r="L115" i="22"/>
  <c r="V23" i="22"/>
  <c r="G113" i="22"/>
  <c r="G129" i="22"/>
  <c r="G30" i="22"/>
  <c r="Q21" i="22"/>
  <c r="M78" i="22"/>
  <c r="K68" i="22"/>
  <c r="L68" i="22" s="1"/>
  <c r="M68" i="22" s="1"/>
  <c r="N68" i="22" s="1"/>
  <c r="M14" i="22"/>
  <c r="D117" i="22"/>
  <c r="D34" i="22"/>
  <c r="K52" i="22"/>
  <c r="L52" i="22" s="1"/>
  <c r="M52" i="22" s="1"/>
  <c r="N52" i="22" s="1"/>
  <c r="J62" i="22"/>
  <c r="M115" i="22"/>
  <c r="M131" i="22"/>
  <c r="W23" i="22"/>
  <c r="E39" i="22"/>
  <c r="E119" i="22"/>
  <c r="I129" i="22"/>
  <c r="I113" i="22"/>
  <c r="I30" i="22"/>
  <c r="S21" i="22"/>
  <c r="N78" i="22"/>
  <c r="K18" i="22"/>
  <c r="V18" i="22"/>
  <c r="L18" i="22" s="1"/>
  <c r="H117" i="22"/>
  <c r="H133" i="22"/>
  <c r="H34" i="22"/>
  <c r="R30" i="22"/>
  <c r="F30" i="22"/>
  <c r="F113" i="22"/>
  <c r="K43" i="22"/>
  <c r="J79" i="22"/>
  <c r="K25" i="22"/>
  <c r="K23" i="22" s="1"/>
  <c r="N14" i="22"/>
  <c r="V16" i="22"/>
  <c r="L16" i="22" s="1"/>
  <c r="K16" i="22"/>
  <c r="V15" i="22"/>
  <c r="L15" i="22" s="1"/>
  <c r="K15" i="22"/>
  <c r="M94" i="22"/>
  <c r="V98" i="22"/>
  <c r="L98" i="22" s="1"/>
  <c r="K98" i="22"/>
  <c r="L65" i="22"/>
  <c r="J14" i="22"/>
  <c r="J94" i="22"/>
  <c r="C39" i="22"/>
  <c r="C119" i="22"/>
  <c r="J78" i="22"/>
  <c r="J48" i="22"/>
  <c r="N23" i="22"/>
  <c r="L53" i="22"/>
  <c r="J23" i="22"/>
  <c r="J78" i="25"/>
  <c r="J48" i="25"/>
  <c r="V75" i="25"/>
  <c r="K75" i="25"/>
  <c r="K78" i="25" s="1"/>
  <c r="F117" i="25"/>
  <c r="F34" i="25"/>
  <c r="X7" i="25"/>
  <c r="N109" i="25"/>
  <c r="N91" i="25"/>
  <c r="N125" i="25"/>
  <c r="N90" i="25"/>
  <c r="N94" i="25" s="1"/>
  <c r="N77" i="25"/>
  <c r="N17" i="25"/>
  <c r="N27" i="25"/>
  <c r="N16" i="25"/>
  <c r="N15" i="25"/>
  <c r="N24" i="25"/>
  <c r="N26" i="25"/>
  <c r="N25" i="25"/>
  <c r="N18" i="25"/>
  <c r="K52" i="25"/>
  <c r="J62" i="25"/>
  <c r="V25" i="25"/>
  <c r="L25" i="25" s="1"/>
  <c r="K25" i="25"/>
  <c r="V16" i="25"/>
  <c r="L16" i="25" s="1"/>
  <c r="L14" i="25" s="1"/>
  <c r="K16" i="25"/>
  <c r="K14" i="25" s="1"/>
  <c r="W7" i="25"/>
  <c r="M109" i="25"/>
  <c r="M91" i="25"/>
  <c r="M90" i="25"/>
  <c r="M94" i="25" s="1"/>
  <c r="M77" i="25"/>
  <c r="M49" i="25" s="1"/>
  <c r="M125" i="25"/>
  <c r="M18" i="25"/>
  <c r="M27" i="25"/>
  <c r="M26" i="25"/>
  <c r="M25" i="25"/>
  <c r="M24" i="25"/>
  <c r="M17" i="25"/>
  <c r="M16" i="25"/>
  <c r="M15" i="25"/>
  <c r="G129" i="25"/>
  <c r="G113" i="25"/>
  <c r="G30" i="25"/>
  <c r="Q21" i="25"/>
  <c r="D117" i="25"/>
  <c r="D34" i="25"/>
  <c r="V27" i="25"/>
  <c r="L27" i="25" s="1"/>
  <c r="L23" i="25" s="1"/>
  <c r="K27" i="25"/>
  <c r="K79" i="25"/>
  <c r="L43" i="25"/>
  <c r="E117" i="25"/>
  <c r="E34" i="25"/>
  <c r="M65" i="25"/>
  <c r="K98" i="25"/>
  <c r="V98" i="25"/>
  <c r="L98" i="25" s="1"/>
  <c r="K68" i="25"/>
  <c r="L68" i="25" s="1"/>
  <c r="M68" i="25" s="1"/>
  <c r="N68" i="25" s="1"/>
  <c r="N53" i="25"/>
  <c r="C34" i="25"/>
  <c r="C117" i="25"/>
  <c r="T23" i="25"/>
  <c r="J56" i="25"/>
  <c r="J131" i="25"/>
  <c r="J57" i="25"/>
  <c r="J45" i="25"/>
  <c r="J115" i="25"/>
  <c r="J58" i="25"/>
  <c r="I117" i="25"/>
  <c r="I34" i="25"/>
  <c r="S30" i="25"/>
  <c r="H30" i="25"/>
  <c r="I133" i="25" s="1"/>
  <c r="H113" i="25"/>
  <c r="H129" i="25"/>
  <c r="R21" i="25"/>
  <c r="J14" i="25"/>
  <c r="F30" i="14"/>
  <c r="G119" i="14"/>
  <c r="I7" i="20"/>
  <c r="I8" i="20"/>
  <c r="I20" i="20" s="1"/>
  <c r="F113" i="14"/>
  <c r="F34" i="14"/>
  <c r="C113" i="14"/>
  <c r="C34" i="14"/>
  <c r="G121" i="14"/>
  <c r="G113" i="14"/>
  <c r="Q30" i="14"/>
  <c r="G34" i="14"/>
  <c r="E34" i="14"/>
  <c r="E113" i="14"/>
  <c r="D39" i="14"/>
  <c r="D114" i="14"/>
  <c r="H35" i="29"/>
  <c r="U8" i="14" s="1"/>
  <c r="U9" i="14" s="1"/>
  <c r="U11" i="14" s="1"/>
  <c r="K11" i="14" s="1"/>
  <c r="L11" i="14" s="1"/>
  <c r="H33" i="29"/>
  <c r="I33" i="29" s="1"/>
  <c r="J33" i="29" s="1"/>
  <c r="K33" i="29" s="1"/>
  <c r="C6" i="26"/>
  <c r="I117" i="14"/>
  <c r="C124" i="26" s="1"/>
  <c r="S7" i="14"/>
  <c r="S25" i="14"/>
  <c r="I130" i="14"/>
  <c r="C147" i="26" s="1"/>
  <c r="S18" i="14"/>
  <c r="S17" i="14"/>
  <c r="S24" i="14"/>
  <c r="S14" i="14"/>
  <c r="I110" i="14"/>
  <c r="C110" i="26" s="1"/>
  <c r="I109" i="14"/>
  <c r="C108" i="26" s="1"/>
  <c r="I21" i="14"/>
  <c r="I112" i="14"/>
  <c r="C114" i="26" s="1"/>
  <c r="S15" i="14"/>
  <c r="S26" i="14"/>
  <c r="S16" i="14"/>
  <c r="S27" i="14"/>
  <c r="S91" i="14"/>
  <c r="S90" i="14"/>
  <c r="S75" i="14"/>
  <c r="S23" i="14"/>
  <c r="R7" i="14"/>
  <c r="H117" i="14"/>
  <c r="H130" i="14"/>
  <c r="R25" i="14"/>
  <c r="R18" i="14"/>
  <c r="R15" i="14"/>
  <c r="H21" i="14"/>
  <c r="H112" i="14"/>
  <c r="R26" i="14"/>
  <c r="H109" i="14"/>
  <c r="R16" i="14"/>
  <c r="R27" i="14"/>
  <c r="H110" i="14"/>
  <c r="R14" i="14"/>
  <c r="R17" i="14"/>
  <c r="R24" i="14"/>
  <c r="R91" i="14"/>
  <c r="R90" i="14"/>
  <c r="R75" i="14"/>
  <c r="R23" i="14"/>
  <c r="I34" i="29"/>
  <c r="I32" i="29" s="1"/>
  <c r="I35" i="29" s="1"/>
  <c r="J11" i="29"/>
  <c r="K11" i="29" s="1"/>
  <c r="J8" i="29"/>
  <c r="K8" i="29" s="1"/>
  <c r="K34" i="29" s="1"/>
  <c r="V8" i="14"/>
  <c r="V9" i="14" s="1"/>
  <c r="V11" i="14" s="1"/>
  <c r="J21" i="14"/>
  <c r="J30" i="14" s="1"/>
  <c r="J34" i="14" s="1"/>
  <c r="J39" i="14" s="1"/>
  <c r="T25" i="14"/>
  <c r="U25" i="14" s="1"/>
  <c r="V25" i="14" s="1"/>
  <c r="W25" i="14" s="1"/>
  <c r="T17" i="14"/>
  <c r="U17" i="14" s="1"/>
  <c r="V17" i="14" s="1"/>
  <c r="W17" i="14" s="1"/>
  <c r="X17" i="14" s="1"/>
  <c r="T75" i="14"/>
  <c r="U75" i="14" s="1"/>
  <c r="V75" i="14" s="1"/>
  <c r="W75" i="14" s="1"/>
  <c r="T15" i="14"/>
  <c r="U15" i="14" s="1"/>
  <c r="V15" i="14" s="1"/>
  <c r="W15" i="14" s="1"/>
  <c r="X15" i="14" s="1"/>
  <c r="T26" i="14"/>
  <c r="U26" i="14" s="1"/>
  <c r="V26" i="14" s="1"/>
  <c r="W26" i="14" s="1"/>
  <c r="T24" i="14"/>
  <c r="T16" i="14"/>
  <c r="U16" i="14" s="1"/>
  <c r="V16" i="14" s="1"/>
  <c r="W16" i="14" s="1"/>
  <c r="X16" i="14" s="1"/>
  <c r="T27" i="14"/>
  <c r="T7" i="14"/>
  <c r="L69" i="14"/>
  <c r="G21" i="20"/>
  <c r="K48" i="22" l="1"/>
  <c r="L48" i="22" s="1"/>
  <c r="M48" i="22" s="1"/>
  <c r="N48" i="22" s="1"/>
  <c r="N49" i="25"/>
  <c r="N23" i="25"/>
  <c r="N14" i="25"/>
  <c r="N21" i="25" s="1"/>
  <c r="N30" i="25" s="1"/>
  <c r="K131" i="22"/>
  <c r="K115" i="22"/>
  <c r="U23" i="22"/>
  <c r="T23" i="22"/>
  <c r="J56" i="22"/>
  <c r="J131" i="22"/>
  <c r="J45" i="22"/>
  <c r="J115" i="22"/>
  <c r="J57" i="22"/>
  <c r="J58" i="22"/>
  <c r="N115" i="22"/>
  <c r="N131" i="22"/>
  <c r="X23" i="22"/>
  <c r="H39" i="22"/>
  <c r="R34" i="22"/>
  <c r="H137" i="22"/>
  <c r="R35" i="22"/>
  <c r="H119" i="22"/>
  <c r="G34" i="22"/>
  <c r="Q30" i="22"/>
  <c r="G133" i="22"/>
  <c r="G117" i="22"/>
  <c r="K62" i="22"/>
  <c r="M65" i="22"/>
  <c r="S30" i="22"/>
  <c r="I34" i="22"/>
  <c r="I117" i="22"/>
  <c r="I133" i="22"/>
  <c r="D39" i="22"/>
  <c r="D119" i="22"/>
  <c r="W14" i="22"/>
  <c r="M111" i="22"/>
  <c r="M127" i="22"/>
  <c r="M21" i="22"/>
  <c r="J44" i="22"/>
  <c r="T14" i="22"/>
  <c r="J127" i="22"/>
  <c r="J111" i="22"/>
  <c r="J21" i="22"/>
  <c r="E121" i="22"/>
  <c r="E74" i="22"/>
  <c r="E88" i="22" s="1"/>
  <c r="E102" i="22" s="1"/>
  <c r="E151" i="22"/>
  <c r="E146" i="22"/>
  <c r="K14" i="22"/>
  <c r="N111" i="22"/>
  <c r="N127" i="22"/>
  <c r="X14" i="22"/>
  <c r="N21" i="22"/>
  <c r="M53" i="22"/>
  <c r="K79" i="22"/>
  <c r="L43" i="22"/>
  <c r="F117" i="22"/>
  <c r="F34" i="22"/>
  <c r="C121" i="22"/>
  <c r="C74" i="22"/>
  <c r="C88" i="22" s="1"/>
  <c r="C102" i="22" s="1"/>
  <c r="C105" i="22" s="1"/>
  <c r="D104" i="22" s="1"/>
  <c r="L14" i="22"/>
  <c r="N113" i="25"/>
  <c r="X21" i="25"/>
  <c r="L115" i="25"/>
  <c r="V23" i="25"/>
  <c r="N115" i="25"/>
  <c r="X23" i="25"/>
  <c r="J83" i="25"/>
  <c r="J81" i="25"/>
  <c r="J96" i="25"/>
  <c r="J100" i="25" s="1"/>
  <c r="N111" i="25"/>
  <c r="X14" i="25"/>
  <c r="F39" i="25"/>
  <c r="F119" i="25"/>
  <c r="E39" i="25"/>
  <c r="E119" i="25"/>
  <c r="K111" i="25"/>
  <c r="U14" i="25"/>
  <c r="K127" i="25"/>
  <c r="K21" i="25"/>
  <c r="J82" i="25"/>
  <c r="J59" i="25"/>
  <c r="J63" i="25"/>
  <c r="K62" i="25"/>
  <c r="L79" i="25"/>
  <c r="M43" i="25"/>
  <c r="L111" i="25"/>
  <c r="L127" i="25"/>
  <c r="V14" i="25"/>
  <c r="L21" i="25"/>
  <c r="K23" i="25"/>
  <c r="M14" i="25"/>
  <c r="N127" i="25" s="1"/>
  <c r="L52" i="25"/>
  <c r="W75" i="25"/>
  <c r="L75" i="25"/>
  <c r="L78" i="25" s="1"/>
  <c r="C39" i="25"/>
  <c r="C119" i="25"/>
  <c r="H133" i="25"/>
  <c r="R30" i="25"/>
  <c r="H34" i="25"/>
  <c r="I137" i="25" s="1"/>
  <c r="H117" i="25"/>
  <c r="N65" i="25"/>
  <c r="K48" i="25"/>
  <c r="I39" i="25"/>
  <c r="S35" i="25"/>
  <c r="T35" i="25" s="1"/>
  <c r="U35" i="25" s="1"/>
  <c r="V35" i="25" s="1"/>
  <c r="S34" i="25"/>
  <c r="I119" i="25"/>
  <c r="D119" i="25"/>
  <c r="D39" i="25"/>
  <c r="G117" i="25"/>
  <c r="G34" i="25"/>
  <c r="Q30" i="25"/>
  <c r="G133" i="25"/>
  <c r="J44" i="25"/>
  <c r="J111" i="25"/>
  <c r="J127" i="25"/>
  <c r="T14" i="25"/>
  <c r="J21" i="25"/>
  <c r="M23" i="25"/>
  <c r="G7" i="20"/>
  <c r="H7" i="20"/>
  <c r="K8" i="14"/>
  <c r="L8" i="14" s="1"/>
  <c r="G114" i="14"/>
  <c r="G39" i="14"/>
  <c r="Q35" i="14"/>
  <c r="Q34" i="14"/>
  <c r="G123" i="14"/>
  <c r="C114" i="14"/>
  <c r="C39" i="14"/>
  <c r="K9" i="14"/>
  <c r="L9" i="14" s="1"/>
  <c r="D115" i="14"/>
  <c r="D74" i="14"/>
  <c r="D88" i="14" s="1"/>
  <c r="D102" i="14" s="1"/>
  <c r="E39" i="14"/>
  <c r="E114" i="14"/>
  <c r="F114" i="14"/>
  <c r="F39" i="14"/>
  <c r="U27" i="14"/>
  <c r="V27" i="14" s="1"/>
  <c r="W27" i="14" s="1"/>
  <c r="K32" i="29"/>
  <c r="H119" i="14"/>
  <c r="H30" i="14"/>
  <c r="H111" i="14"/>
  <c r="R21" i="14"/>
  <c r="I119" i="14"/>
  <c r="C128" i="26" s="1"/>
  <c r="C20" i="26"/>
  <c r="I111" i="14"/>
  <c r="C112" i="26" s="1"/>
  <c r="S21" i="14"/>
  <c r="I30" i="14"/>
  <c r="J34" i="29"/>
  <c r="J32" i="29" s="1"/>
  <c r="J35" i="29" s="1"/>
  <c r="U24" i="14"/>
  <c r="V24" i="14" s="1"/>
  <c r="W24" i="14" s="1"/>
  <c r="W8" i="14"/>
  <c r="W9" i="14" s="1"/>
  <c r="J117" i="14"/>
  <c r="J130" i="14"/>
  <c r="J109" i="14"/>
  <c r="M69" i="14"/>
  <c r="H21" i="20"/>
  <c r="I21" i="20" s="1"/>
  <c r="H9" i="20"/>
  <c r="L48" i="25" l="1"/>
  <c r="K7" i="14"/>
  <c r="K43" i="14" s="1"/>
  <c r="J96" i="22"/>
  <c r="J100" i="22" s="1"/>
  <c r="K57" i="22"/>
  <c r="R39" i="22"/>
  <c r="H142" i="22"/>
  <c r="H151" i="22"/>
  <c r="H146" i="22"/>
  <c r="H74" i="22"/>
  <c r="H88" i="22" s="1"/>
  <c r="H102" i="22" s="1"/>
  <c r="H121" i="22"/>
  <c r="M30" i="22"/>
  <c r="M113" i="22"/>
  <c r="W21" i="22"/>
  <c r="N53" i="22"/>
  <c r="J81" i="22"/>
  <c r="K45" i="22"/>
  <c r="J80" i="22"/>
  <c r="K44" i="22"/>
  <c r="G119" i="22"/>
  <c r="G137" i="22"/>
  <c r="G39" i="22"/>
  <c r="Q34" i="22"/>
  <c r="Q35" i="22"/>
  <c r="F39" i="22"/>
  <c r="F119" i="22"/>
  <c r="N129" i="22"/>
  <c r="X21" i="22"/>
  <c r="N30" i="22"/>
  <c r="N113" i="22"/>
  <c r="I137" i="22"/>
  <c r="S34" i="22"/>
  <c r="I39" i="22"/>
  <c r="S35" i="22"/>
  <c r="T35" i="22" s="1"/>
  <c r="U35" i="22" s="1"/>
  <c r="V35" i="22" s="1"/>
  <c r="I119" i="22"/>
  <c r="N65" i="22"/>
  <c r="D105" i="22"/>
  <c r="E104" i="22" s="1"/>
  <c r="E105" i="22" s="1"/>
  <c r="F104" i="22" s="1"/>
  <c r="L79" i="22"/>
  <c r="M43" i="22"/>
  <c r="K111" i="22"/>
  <c r="K127" i="22"/>
  <c r="U14" i="22"/>
  <c r="K21" i="22"/>
  <c r="J59" i="22"/>
  <c r="J63" i="22" s="1"/>
  <c r="J82" i="22"/>
  <c r="K56" i="22"/>
  <c r="L111" i="22"/>
  <c r="L127" i="22"/>
  <c r="V14" i="22"/>
  <c r="L21" i="22"/>
  <c r="T21" i="22"/>
  <c r="J113" i="22"/>
  <c r="J30" i="22"/>
  <c r="J129" i="22"/>
  <c r="D74" i="22"/>
  <c r="D88" i="22" s="1"/>
  <c r="D102" i="22" s="1"/>
  <c r="D121" i="22"/>
  <c r="J83" i="22"/>
  <c r="K58" i="22"/>
  <c r="E149" i="22"/>
  <c r="E150" i="22"/>
  <c r="L62" i="22"/>
  <c r="K131" i="25"/>
  <c r="K115" i="25"/>
  <c r="U23" i="25"/>
  <c r="F121" i="25"/>
  <c r="F74" i="25"/>
  <c r="F88" i="25" s="1"/>
  <c r="F102" i="25" s="1"/>
  <c r="K56" i="25"/>
  <c r="M79" i="25"/>
  <c r="N43" i="25"/>
  <c r="N79" i="25" s="1"/>
  <c r="J129" i="25"/>
  <c r="J113" i="25"/>
  <c r="J30" i="25"/>
  <c r="T21" i="25"/>
  <c r="G39" i="25"/>
  <c r="Q34" i="25"/>
  <c r="G119" i="25"/>
  <c r="Q35" i="25"/>
  <c r="G137" i="25"/>
  <c r="X75" i="25"/>
  <c r="N75" i="25" s="1"/>
  <c r="N78" i="25" s="1"/>
  <c r="M75" i="25"/>
  <c r="M78" i="25" s="1"/>
  <c r="L113" i="25"/>
  <c r="L30" i="25"/>
  <c r="V21" i="25"/>
  <c r="L129" i="25"/>
  <c r="S39" i="25"/>
  <c r="I151" i="25"/>
  <c r="I146" i="25"/>
  <c r="I121" i="25"/>
  <c r="I74" i="25"/>
  <c r="I88" i="25" s="1"/>
  <c r="I102" i="25" s="1"/>
  <c r="K45" i="25"/>
  <c r="M131" i="25"/>
  <c r="M115" i="25"/>
  <c r="W23" i="25"/>
  <c r="K30" i="25"/>
  <c r="U21" i="25"/>
  <c r="K113" i="25"/>
  <c r="K129" i="25"/>
  <c r="K57" i="25"/>
  <c r="K58" i="25"/>
  <c r="J80" i="25"/>
  <c r="K44" i="25"/>
  <c r="C121" i="25"/>
  <c r="C74" i="25"/>
  <c r="C88" i="25" s="1"/>
  <c r="C102" i="25" s="1"/>
  <c r="C105" i="25" s="1"/>
  <c r="D104" i="25" s="1"/>
  <c r="D121" i="25"/>
  <c r="D74" i="25"/>
  <c r="D88" i="25" s="1"/>
  <c r="D102" i="25" s="1"/>
  <c r="M52" i="25"/>
  <c r="E121" i="25"/>
  <c r="E74" i="25"/>
  <c r="E88" i="25" s="1"/>
  <c r="E102" i="25" s="1"/>
  <c r="N117" i="25"/>
  <c r="N34" i="25"/>
  <c r="X30" i="25"/>
  <c r="L62" i="25"/>
  <c r="H137" i="25"/>
  <c r="H39" i="25"/>
  <c r="I142" i="25" s="1"/>
  <c r="R34" i="25"/>
  <c r="H119" i="25"/>
  <c r="R35" i="25"/>
  <c r="N131" i="25"/>
  <c r="L131" i="25"/>
  <c r="M127" i="25"/>
  <c r="M111" i="25"/>
  <c r="W14" i="25"/>
  <c r="M21" i="25"/>
  <c r="F115" i="14"/>
  <c r="F74" i="14"/>
  <c r="F88" i="14" s="1"/>
  <c r="F102" i="14" s="1"/>
  <c r="F105" i="14" s="1"/>
  <c r="G104" i="14" s="1"/>
  <c r="E115" i="14"/>
  <c r="E74" i="14"/>
  <c r="E88" i="14" s="1"/>
  <c r="E102" i="14" s="1"/>
  <c r="C74" i="14"/>
  <c r="C88" i="14" s="1"/>
  <c r="C102" i="14" s="1"/>
  <c r="C105" i="14" s="1"/>
  <c r="D104" i="14" s="1"/>
  <c r="D105" i="14" s="1"/>
  <c r="E104" i="14" s="1"/>
  <c r="E105" i="14" s="1"/>
  <c r="C115" i="14"/>
  <c r="G126" i="14"/>
  <c r="G74" i="14"/>
  <c r="G88" i="14" s="1"/>
  <c r="G102" i="14" s="1"/>
  <c r="G133" i="14"/>
  <c r="G115" i="14"/>
  <c r="G128" i="14"/>
  <c r="Q39" i="14"/>
  <c r="K35" i="29"/>
  <c r="S30" i="14"/>
  <c r="C29" i="26"/>
  <c r="I121" i="14"/>
  <c r="C132" i="26" s="1"/>
  <c r="I113" i="14"/>
  <c r="C116" i="26" s="1"/>
  <c r="I34" i="14"/>
  <c r="R30" i="14"/>
  <c r="H121" i="14"/>
  <c r="H113" i="14"/>
  <c r="H34" i="14"/>
  <c r="W11" i="14"/>
  <c r="M11" i="14" s="1"/>
  <c r="N11" i="14" s="1"/>
  <c r="M9" i="14"/>
  <c r="N9" i="14" s="1"/>
  <c r="I9" i="20"/>
  <c r="U7" i="14"/>
  <c r="K117" i="14"/>
  <c r="K130" i="14"/>
  <c r="K26" i="14"/>
  <c r="K24" i="14"/>
  <c r="K15" i="14"/>
  <c r="K25" i="14"/>
  <c r="K17" i="14"/>
  <c r="K91" i="14"/>
  <c r="K75" i="14"/>
  <c r="K109" i="14"/>
  <c r="K77" i="14"/>
  <c r="K27" i="14"/>
  <c r="K16" i="14"/>
  <c r="M8" i="14"/>
  <c r="L7" i="14"/>
  <c r="L43" i="14" s="1"/>
  <c r="K52" i="14"/>
  <c r="N69" i="14"/>
  <c r="M48" i="25" l="1"/>
  <c r="N48" i="25" s="1"/>
  <c r="M133" i="22"/>
  <c r="M34" i="22"/>
  <c r="W30" i="22"/>
  <c r="M117" i="22"/>
  <c r="N43" i="22"/>
  <c r="N79" i="22" s="1"/>
  <c r="M79" i="22"/>
  <c r="K81" i="22"/>
  <c r="L45" i="22"/>
  <c r="T30" i="22"/>
  <c r="J133" i="22"/>
  <c r="J117" i="22"/>
  <c r="J34" i="22"/>
  <c r="L129" i="22"/>
  <c r="L113" i="22"/>
  <c r="V21" i="22"/>
  <c r="L30" i="22"/>
  <c r="H150" i="22"/>
  <c r="H149" i="22"/>
  <c r="K113" i="22"/>
  <c r="K129" i="22"/>
  <c r="K30" i="22"/>
  <c r="U21" i="22"/>
  <c r="L44" i="22"/>
  <c r="K80" i="22"/>
  <c r="M129" i="22"/>
  <c r="F74" i="22"/>
  <c r="F88" i="22" s="1"/>
  <c r="F102" i="22" s="1"/>
  <c r="F105" i="22" s="1"/>
  <c r="G104" i="22" s="1"/>
  <c r="F121" i="22"/>
  <c r="F146" i="22"/>
  <c r="F151" i="22"/>
  <c r="M62" i="22"/>
  <c r="G151" i="22"/>
  <c r="G74" i="22"/>
  <c r="G88" i="22" s="1"/>
  <c r="G102" i="22" s="1"/>
  <c r="G146" i="22"/>
  <c r="G142" i="22"/>
  <c r="G121" i="22"/>
  <c r="Q39" i="22"/>
  <c r="L57" i="22"/>
  <c r="K96" i="22"/>
  <c r="K100" i="22" s="1"/>
  <c r="K83" i="22"/>
  <c r="L58" i="22"/>
  <c r="I142" i="22"/>
  <c r="I151" i="22"/>
  <c r="I146" i="22"/>
  <c r="S39" i="22"/>
  <c r="I121" i="22"/>
  <c r="I74" i="22"/>
  <c r="I88" i="22" s="1"/>
  <c r="I102" i="22" s="1"/>
  <c r="N133" i="22"/>
  <c r="N117" i="22"/>
  <c r="N34" i="22"/>
  <c r="X30" i="22"/>
  <c r="K82" i="22"/>
  <c r="K59" i="22"/>
  <c r="K63" i="22" s="1"/>
  <c r="L56" i="22"/>
  <c r="M62" i="25"/>
  <c r="K81" i="25"/>
  <c r="L45" i="25"/>
  <c r="M113" i="25"/>
  <c r="M30" i="25"/>
  <c r="W21" i="25"/>
  <c r="M129" i="25"/>
  <c r="N129" i="25"/>
  <c r="K82" i="25"/>
  <c r="K59" i="25"/>
  <c r="K63" i="25" s="1"/>
  <c r="L56" i="25"/>
  <c r="G142" i="25"/>
  <c r="G146" i="25"/>
  <c r="G121" i="25"/>
  <c r="G74" i="25"/>
  <c r="G88" i="25" s="1"/>
  <c r="G102" i="25" s="1"/>
  <c r="G105" i="25" s="1"/>
  <c r="H104" i="25" s="1"/>
  <c r="Q39" i="25"/>
  <c r="G151" i="25"/>
  <c r="D105" i="25"/>
  <c r="E104" i="25" s="1"/>
  <c r="E105" i="25" s="1"/>
  <c r="F104" i="25" s="1"/>
  <c r="F105" i="25" s="1"/>
  <c r="L34" i="25"/>
  <c r="V30" i="25"/>
  <c r="L133" i="25"/>
  <c r="L117" i="25"/>
  <c r="I150" i="25"/>
  <c r="I152" i="25" s="1"/>
  <c r="I149" i="25"/>
  <c r="K80" i="25"/>
  <c r="L44" i="25"/>
  <c r="K83" i="25"/>
  <c r="L58" i="25"/>
  <c r="U30" i="25"/>
  <c r="K133" i="25"/>
  <c r="K117" i="25"/>
  <c r="K34" i="25"/>
  <c r="K96" i="25"/>
  <c r="K100" i="25" s="1"/>
  <c r="L57" i="25"/>
  <c r="N35" i="25"/>
  <c r="X34" i="25"/>
  <c r="T30" i="25"/>
  <c r="J133" i="25"/>
  <c r="J34" i="25"/>
  <c r="J117" i="25"/>
  <c r="N52" i="25"/>
  <c r="H142" i="25"/>
  <c r="H146" i="25"/>
  <c r="H151" i="25"/>
  <c r="H121" i="25"/>
  <c r="H74" i="25"/>
  <c r="H88" i="25" s="1"/>
  <c r="H102" i="25" s="1"/>
  <c r="R39" i="25"/>
  <c r="G105" i="14"/>
  <c r="H104" i="14" s="1"/>
  <c r="G132" i="14"/>
  <c r="G131" i="14"/>
  <c r="H123" i="14"/>
  <c r="H114" i="14"/>
  <c r="H39" i="14"/>
  <c r="R35" i="14"/>
  <c r="R34" i="14"/>
  <c r="I123" i="14"/>
  <c r="C136" i="26" s="1"/>
  <c r="C33" i="26"/>
  <c r="S35" i="14"/>
  <c r="S34" i="14"/>
  <c r="I114" i="14"/>
  <c r="C118" i="26" s="1"/>
  <c r="I39" i="14"/>
  <c r="I11" i="20"/>
  <c r="I12" i="20"/>
  <c r="K49" i="14"/>
  <c r="L52" i="14"/>
  <c r="K62" i="14"/>
  <c r="K79" i="14"/>
  <c r="V7" i="14"/>
  <c r="L117" i="14"/>
  <c r="L130" i="14"/>
  <c r="L25" i="14"/>
  <c r="L27" i="14"/>
  <c r="L26" i="14"/>
  <c r="L15" i="14"/>
  <c r="L17" i="14"/>
  <c r="L24" i="14"/>
  <c r="L16" i="14"/>
  <c r="L91" i="14"/>
  <c r="L109" i="14"/>
  <c r="L75" i="14"/>
  <c r="L77" i="14"/>
  <c r="L90" i="14"/>
  <c r="N8" i="14"/>
  <c r="N7" i="14" s="1"/>
  <c r="M7" i="14"/>
  <c r="K78" i="14"/>
  <c r="K23" i="14"/>
  <c r="U23" i="14" s="1"/>
  <c r="H105" i="25" l="1"/>
  <c r="I104" i="25" s="1"/>
  <c r="I105" i="25" s="1"/>
  <c r="J104" i="25" s="1"/>
  <c r="G105" i="22"/>
  <c r="H104" i="22" s="1"/>
  <c r="H105" i="22" s="1"/>
  <c r="I104" i="22" s="1"/>
  <c r="I105" i="22" s="1"/>
  <c r="J104" i="22" s="1"/>
  <c r="X34" i="22"/>
  <c r="N137" i="22"/>
  <c r="N35" i="22"/>
  <c r="N39" i="22" s="1"/>
  <c r="G149" i="22"/>
  <c r="G150" i="22"/>
  <c r="F149" i="22"/>
  <c r="F150" i="22"/>
  <c r="L81" i="22"/>
  <c r="M45" i="22"/>
  <c r="L117" i="22"/>
  <c r="L133" i="22"/>
  <c r="V30" i="22"/>
  <c r="L34" i="22"/>
  <c r="J35" i="22"/>
  <c r="J137" i="22"/>
  <c r="T34" i="22"/>
  <c r="L82" i="22"/>
  <c r="M56" i="22"/>
  <c r="L59" i="22"/>
  <c r="L63" i="22" s="1"/>
  <c r="N62" i="22"/>
  <c r="K34" i="22"/>
  <c r="K117" i="22"/>
  <c r="U30" i="22"/>
  <c r="K133" i="22"/>
  <c r="I149" i="22"/>
  <c r="I150" i="22"/>
  <c r="L96" i="22"/>
  <c r="L100" i="22" s="1"/>
  <c r="M57" i="22"/>
  <c r="M137" i="22"/>
  <c r="W34" i="22"/>
  <c r="M35" i="22"/>
  <c r="M39" i="22"/>
  <c r="L80" i="22"/>
  <c r="M44" i="22"/>
  <c r="L83" i="22"/>
  <c r="M58" i="22"/>
  <c r="G150" i="25"/>
  <c r="G152" i="25" s="1"/>
  <c r="G149" i="25"/>
  <c r="M57" i="25"/>
  <c r="L96" i="25"/>
  <c r="L100" i="25" s="1"/>
  <c r="K35" i="25"/>
  <c r="U34" i="25"/>
  <c r="K137" i="25"/>
  <c r="K39" i="25"/>
  <c r="M58" i="25"/>
  <c r="L83" i="25"/>
  <c r="L81" i="25"/>
  <c r="M45" i="25"/>
  <c r="H143" i="25"/>
  <c r="H149" i="25"/>
  <c r="H150" i="25"/>
  <c r="H152" i="25" s="1"/>
  <c r="J137" i="25"/>
  <c r="J35" i="25"/>
  <c r="J39" i="25" s="1"/>
  <c r="T34" i="25"/>
  <c r="L82" i="25"/>
  <c r="L59" i="25"/>
  <c r="L63" i="25" s="1"/>
  <c r="M56" i="25"/>
  <c r="N119" i="25"/>
  <c r="L80" i="25"/>
  <c r="M44" i="25"/>
  <c r="W30" i="25"/>
  <c r="M117" i="25"/>
  <c r="M34" i="25"/>
  <c r="M133" i="25"/>
  <c r="N133" i="25"/>
  <c r="I143" i="25"/>
  <c r="N39" i="25"/>
  <c r="L35" i="25"/>
  <c r="L137" i="25"/>
  <c r="V34" i="25"/>
  <c r="L39" i="25"/>
  <c r="N62" i="25"/>
  <c r="C14" i="20"/>
  <c r="G134" i="14"/>
  <c r="C18" i="20" s="1"/>
  <c r="C38" i="26"/>
  <c r="I128" i="14"/>
  <c r="I126" i="14"/>
  <c r="C141" i="26" s="1"/>
  <c r="I74" i="14"/>
  <c r="I133" i="14"/>
  <c r="C150" i="26" s="1"/>
  <c r="I115" i="14"/>
  <c r="C120" i="26" s="1"/>
  <c r="S39" i="14"/>
  <c r="H126" i="14"/>
  <c r="H74" i="14"/>
  <c r="H88" i="14" s="1"/>
  <c r="H102" i="14" s="1"/>
  <c r="H105" i="14" s="1"/>
  <c r="I104" i="14" s="1"/>
  <c r="H133" i="14"/>
  <c r="H128" i="14"/>
  <c r="H115" i="14"/>
  <c r="R39" i="14"/>
  <c r="W7" i="14"/>
  <c r="M109" i="14"/>
  <c r="M117" i="14"/>
  <c r="M130" i="14"/>
  <c r="L23" i="14"/>
  <c r="V23" i="14" s="1"/>
  <c r="L94" i="14"/>
  <c r="L49" i="14"/>
  <c r="M43" i="14"/>
  <c r="N43" i="14" s="1"/>
  <c r="X7" i="14"/>
  <c r="K112" i="14"/>
  <c r="M16" i="14"/>
  <c r="M15" i="14"/>
  <c r="M17" i="14"/>
  <c r="M25" i="14"/>
  <c r="M26" i="14"/>
  <c r="M24" i="14"/>
  <c r="M27" i="14"/>
  <c r="M91" i="14"/>
  <c r="M90" i="14"/>
  <c r="M75" i="14"/>
  <c r="M77" i="14"/>
  <c r="M52" i="14"/>
  <c r="N52" i="14" s="1"/>
  <c r="N27" i="14"/>
  <c r="N25" i="14"/>
  <c r="N24" i="14"/>
  <c r="N26" i="14"/>
  <c r="N15" i="14"/>
  <c r="N77" i="14"/>
  <c r="N91" i="14"/>
  <c r="N75" i="14"/>
  <c r="N90" i="14"/>
  <c r="N94" i="14" s="1"/>
  <c r="N17" i="14"/>
  <c r="N16" i="14"/>
  <c r="L78" i="14"/>
  <c r="L79" i="14"/>
  <c r="L62" i="14"/>
  <c r="J100" i="14"/>
  <c r="J59" i="14"/>
  <c r="J63" i="14" s="1"/>
  <c r="M94" i="14" l="1"/>
  <c r="M49" i="14"/>
  <c r="M81" i="22"/>
  <c r="N45" i="22"/>
  <c r="N81" i="22" s="1"/>
  <c r="M138" i="22"/>
  <c r="M119" i="22"/>
  <c r="L137" i="22"/>
  <c r="L35" i="22"/>
  <c r="L39" i="22"/>
  <c r="M142" i="22" s="1"/>
  <c r="V34" i="22"/>
  <c r="N119" i="22"/>
  <c r="N138" i="22"/>
  <c r="J138" i="22"/>
  <c r="J119" i="22"/>
  <c r="N57" i="22"/>
  <c r="N96" i="22" s="1"/>
  <c r="N100" i="22" s="1"/>
  <c r="M96" i="22"/>
  <c r="M100" i="22" s="1"/>
  <c r="J39" i="22"/>
  <c r="K35" i="22"/>
  <c r="K39" i="22"/>
  <c r="U34" i="22"/>
  <c r="K137" i="22"/>
  <c r="N142" i="22"/>
  <c r="N121" i="22"/>
  <c r="N74" i="22"/>
  <c r="X39" i="22"/>
  <c r="W39" i="22"/>
  <c r="M121" i="22"/>
  <c r="M74" i="22"/>
  <c r="N58" i="22"/>
  <c r="N83" i="22" s="1"/>
  <c r="M83" i="22"/>
  <c r="M80" i="22"/>
  <c r="N44" i="22"/>
  <c r="N80" i="22" s="1"/>
  <c r="N88" i="22" s="1"/>
  <c r="M82" i="22"/>
  <c r="N56" i="22"/>
  <c r="M59" i="22"/>
  <c r="M63" i="22" s="1"/>
  <c r="J142" i="25"/>
  <c r="T39" i="25"/>
  <c r="J146" i="25"/>
  <c r="J121" i="25"/>
  <c r="J74" i="25"/>
  <c r="J138" i="25"/>
  <c r="J119" i="25"/>
  <c r="N45" i="25"/>
  <c r="N81" i="25" s="1"/>
  <c r="M81" i="25"/>
  <c r="U39" i="25"/>
  <c r="K121" i="25"/>
  <c r="K74" i="25"/>
  <c r="K88" i="25" s="1"/>
  <c r="K102" i="25" s="1"/>
  <c r="K142" i="25"/>
  <c r="K146" i="25"/>
  <c r="M82" i="25"/>
  <c r="M59" i="25"/>
  <c r="M63" i="25" s="1"/>
  <c r="N56" i="25"/>
  <c r="M96" i="25"/>
  <c r="M100" i="25" s="1"/>
  <c r="N57" i="25"/>
  <c r="N96" i="25" s="1"/>
  <c r="N100" i="25" s="1"/>
  <c r="L138" i="25"/>
  <c r="L119" i="25"/>
  <c r="K138" i="25"/>
  <c r="K119" i="25"/>
  <c r="L146" i="25"/>
  <c r="L121" i="25"/>
  <c r="L142" i="25"/>
  <c r="L74" i="25"/>
  <c r="L88" i="25" s="1"/>
  <c r="L102" i="25" s="1"/>
  <c r="V39" i="25"/>
  <c r="X39" i="25"/>
  <c r="N74" i="25"/>
  <c r="N121" i="25"/>
  <c r="M83" i="25"/>
  <c r="N58" i="25"/>
  <c r="N83" i="25" s="1"/>
  <c r="M80" i="25"/>
  <c r="N44" i="25"/>
  <c r="N80" i="25" s="1"/>
  <c r="N88" i="25" s="1"/>
  <c r="M35" i="25"/>
  <c r="W34" i="25"/>
  <c r="M137" i="25"/>
  <c r="N137" i="25"/>
  <c r="L112" i="14"/>
  <c r="H132" i="14"/>
  <c r="H127" i="14"/>
  <c r="H131" i="14"/>
  <c r="C103" i="26"/>
  <c r="I88" i="14"/>
  <c r="C73" i="26"/>
  <c r="I132" i="14"/>
  <c r="I127" i="14"/>
  <c r="C142" i="26" s="1"/>
  <c r="C145" i="26"/>
  <c r="I131" i="14"/>
  <c r="C148" i="26" s="1"/>
  <c r="L120" i="14"/>
  <c r="N78" i="14"/>
  <c r="N49" i="14"/>
  <c r="M62" i="14"/>
  <c r="M79" i="14"/>
  <c r="N79" i="14"/>
  <c r="N23" i="14"/>
  <c r="M78" i="14"/>
  <c r="M23" i="14"/>
  <c r="N102" i="25" l="1"/>
  <c r="N102" i="22"/>
  <c r="K146" i="22"/>
  <c r="K142" i="22"/>
  <c r="K121" i="22"/>
  <c r="U39" i="22"/>
  <c r="K74" i="22"/>
  <c r="K88" i="22" s="1"/>
  <c r="K102" i="22" s="1"/>
  <c r="J142" i="22"/>
  <c r="J146" i="22"/>
  <c r="T39" i="22"/>
  <c r="J74" i="22"/>
  <c r="J121" i="22"/>
  <c r="M88" i="22"/>
  <c r="M102" i="22" s="1"/>
  <c r="L146" i="22"/>
  <c r="L142" i="22"/>
  <c r="L121" i="22"/>
  <c r="L74" i="22"/>
  <c r="L88" i="22" s="1"/>
  <c r="L102" i="22" s="1"/>
  <c r="V39" i="22"/>
  <c r="K138" i="22"/>
  <c r="K119" i="22"/>
  <c r="N82" i="22"/>
  <c r="N59" i="22"/>
  <c r="N63" i="22" s="1"/>
  <c r="L138" i="22"/>
  <c r="L119" i="22"/>
  <c r="M119" i="25"/>
  <c r="M138" i="25"/>
  <c r="N138" i="25"/>
  <c r="J150" i="25"/>
  <c r="J152" i="25" s="1"/>
  <c r="J149" i="25"/>
  <c r="J143" i="25"/>
  <c r="K150" i="25"/>
  <c r="K152" i="25" s="1"/>
  <c r="K149" i="25"/>
  <c r="K143" i="25"/>
  <c r="J67" i="25"/>
  <c r="J88" i="25"/>
  <c r="J102" i="25" s="1"/>
  <c r="J105" i="25" s="1"/>
  <c r="L150" i="25"/>
  <c r="L152" i="25" s="1"/>
  <c r="L143" i="25"/>
  <c r="L149" i="25"/>
  <c r="M39" i="25"/>
  <c r="N82" i="25"/>
  <c r="N59" i="25"/>
  <c r="N63" i="25" s="1"/>
  <c r="E14" i="20"/>
  <c r="C149" i="26"/>
  <c r="I152" i="22"/>
  <c r="I134" i="14"/>
  <c r="I102" i="14"/>
  <c r="C87" i="26"/>
  <c r="D14" i="20"/>
  <c r="H152" i="22"/>
  <c r="H134" i="14"/>
  <c r="D18" i="20" s="1"/>
  <c r="W23" i="14"/>
  <c r="M112" i="14"/>
  <c r="M120" i="14"/>
  <c r="N62" i="14"/>
  <c r="L149" i="22" l="1"/>
  <c r="L150" i="22"/>
  <c r="J149" i="22"/>
  <c r="J150" i="22"/>
  <c r="J67" i="22"/>
  <c r="J88" i="22"/>
  <c r="J102" i="22" s="1"/>
  <c r="J105" i="22" s="1"/>
  <c r="K149" i="22"/>
  <c r="K150" i="22"/>
  <c r="K67" i="25"/>
  <c r="J70" i="25"/>
  <c r="K104" i="25"/>
  <c r="K105" i="25" s="1"/>
  <c r="J42" i="25"/>
  <c r="J46" i="25" s="1"/>
  <c r="J54" i="25" s="1"/>
  <c r="W39" i="25"/>
  <c r="M74" i="25"/>
  <c r="M88" i="25" s="1"/>
  <c r="M102" i="25" s="1"/>
  <c r="M142" i="25"/>
  <c r="M121" i="25"/>
  <c r="N142" i="25"/>
  <c r="C101" i="26"/>
  <c r="I105" i="14"/>
  <c r="E18" i="20"/>
  <c r="E19" i="20" s="1"/>
  <c r="C151" i="26"/>
  <c r="J124" i="14"/>
  <c r="J70" i="14"/>
  <c r="J71" i="14" s="1"/>
  <c r="J72" i="14" s="1"/>
  <c r="K90" i="14"/>
  <c r="K48" i="14" s="1"/>
  <c r="K94" i="14"/>
  <c r="K104" i="22" l="1"/>
  <c r="K105" i="22" s="1"/>
  <c r="J42" i="22"/>
  <c r="J46" i="22" s="1"/>
  <c r="J54" i="22" s="1"/>
  <c r="K67" i="22"/>
  <c r="J70" i="22"/>
  <c r="J71" i="25"/>
  <c r="J72" i="25" s="1"/>
  <c r="J151" i="25"/>
  <c r="K42" i="25"/>
  <c r="K46" i="25" s="1"/>
  <c r="K54" i="25" s="1"/>
  <c r="L104" i="25"/>
  <c r="L105" i="25" s="1"/>
  <c r="L67" i="25"/>
  <c r="K70" i="25"/>
  <c r="K71" i="25" s="1"/>
  <c r="K72" i="25" s="1"/>
  <c r="J104" i="14"/>
  <c r="C104" i="26"/>
  <c r="L48" i="14"/>
  <c r="L67" i="22" l="1"/>
  <c r="K70" i="22"/>
  <c r="J71" i="22"/>
  <c r="J72" i="22" s="1"/>
  <c r="J151" i="22"/>
  <c r="L104" i="22"/>
  <c r="L105" i="22" s="1"/>
  <c r="K42" i="22"/>
  <c r="K46" i="22" s="1"/>
  <c r="K54" i="22" s="1"/>
  <c r="M67" i="25"/>
  <c r="L70" i="25"/>
  <c r="L71" i="25" s="1"/>
  <c r="M104" i="25"/>
  <c r="M105" i="25" s="1"/>
  <c r="L42" i="25"/>
  <c r="L46" i="25" s="1"/>
  <c r="L54" i="25" s="1"/>
  <c r="M48" i="14"/>
  <c r="K71" i="22" l="1"/>
  <c r="K72" i="22" s="1"/>
  <c r="K151" i="22"/>
  <c r="M104" i="22"/>
  <c r="M105" i="22" s="1"/>
  <c r="L42" i="22"/>
  <c r="L46" i="22" s="1"/>
  <c r="L54" i="22" s="1"/>
  <c r="M67" i="22"/>
  <c r="L70" i="22"/>
  <c r="L72" i="25"/>
  <c r="N104" i="25"/>
  <c r="N105" i="25" s="1"/>
  <c r="N42" i="25" s="1"/>
  <c r="N46" i="25" s="1"/>
  <c r="N54" i="25" s="1"/>
  <c r="M42" i="25"/>
  <c r="M46" i="25" s="1"/>
  <c r="M54" i="25" s="1"/>
  <c r="N67" i="25"/>
  <c r="N70" i="25" s="1"/>
  <c r="N71" i="25" s="1"/>
  <c r="M70" i="25"/>
  <c r="M71" i="25" s="1"/>
  <c r="M72" i="25" s="1"/>
  <c r="N48" i="14"/>
  <c r="T90" i="14"/>
  <c r="J94" i="14"/>
  <c r="T91" i="14"/>
  <c r="T23" i="14"/>
  <c r="N72" i="25" l="1"/>
  <c r="N67" i="22"/>
  <c r="N70" i="22" s="1"/>
  <c r="N71" i="22" s="1"/>
  <c r="M70" i="22"/>
  <c r="M71" i="22" s="1"/>
  <c r="M42" i="22"/>
  <c r="M46" i="22" s="1"/>
  <c r="M54" i="22" s="1"/>
  <c r="N104" i="22"/>
  <c r="N105" i="22" s="1"/>
  <c r="N42" i="22" s="1"/>
  <c r="N46" i="22" s="1"/>
  <c r="N54" i="22" s="1"/>
  <c r="L71" i="22"/>
  <c r="L72" i="22" s="1"/>
  <c r="L151" i="22"/>
  <c r="K45" i="14"/>
  <c r="K58" i="14"/>
  <c r="K57" i="14"/>
  <c r="K56" i="14"/>
  <c r="K120" i="14"/>
  <c r="J112" i="14"/>
  <c r="J120" i="14"/>
  <c r="M72" i="22" l="1"/>
  <c r="N72" i="22"/>
  <c r="L56" i="14"/>
  <c r="K82" i="14"/>
  <c r="K59" i="14"/>
  <c r="K63" i="14" s="1"/>
  <c r="L57" i="14"/>
  <c r="K96" i="14"/>
  <c r="K100" i="14" s="1"/>
  <c r="L58" i="14"/>
  <c r="K83" i="14"/>
  <c r="L45" i="14"/>
  <c r="K81" i="14"/>
  <c r="M45" i="14" l="1"/>
  <c r="L81" i="14"/>
  <c r="M58" i="14"/>
  <c r="L83" i="14"/>
  <c r="M57" i="14"/>
  <c r="L96" i="14"/>
  <c r="L100" i="14" s="1"/>
  <c r="M56" i="14"/>
  <c r="L82" i="14"/>
  <c r="L59" i="14"/>
  <c r="L63" i="14" s="1"/>
  <c r="N56" i="14" l="1"/>
  <c r="M82" i="14"/>
  <c r="M59" i="14"/>
  <c r="M63" i="14" s="1"/>
  <c r="N57" i="14"/>
  <c r="N96" i="14" s="1"/>
  <c r="N100" i="14" s="1"/>
  <c r="M96" i="14"/>
  <c r="M100" i="14" s="1"/>
  <c r="M83" i="14"/>
  <c r="N58" i="14"/>
  <c r="N83" i="14" s="1"/>
  <c r="N45" i="14"/>
  <c r="N81" i="14" s="1"/>
  <c r="M81" i="14"/>
  <c r="N82" i="14" l="1"/>
  <c r="N59" i="14"/>
  <c r="N63" i="14" s="1"/>
  <c r="J74" i="14" l="1"/>
  <c r="J88" i="14"/>
  <c r="J102" i="14" s="1"/>
  <c r="J105" i="14" s="1"/>
  <c r="K104" i="14" s="1"/>
  <c r="J119" i="14"/>
  <c r="J111" i="14"/>
  <c r="T21" i="14"/>
  <c r="J110" i="14"/>
  <c r="T14" i="14"/>
  <c r="J118" i="14"/>
  <c r="J133" i="14"/>
  <c r="J126" i="14"/>
  <c r="J115" i="14"/>
  <c r="T39" i="14"/>
  <c r="J128" i="14"/>
  <c r="J131" i="14" s="1"/>
  <c r="J114" i="14"/>
  <c r="T35" i="14"/>
  <c r="J123" i="14"/>
  <c r="T34" i="14"/>
  <c r="J121" i="14"/>
  <c r="J113" i="14"/>
  <c r="T30" i="14"/>
  <c r="T18" i="14"/>
  <c r="U18" i="14" s="1"/>
  <c r="J132" i="14" l="1"/>
  <c r="K18" i="14"/>
  <c r="K14" i="14" s="1"/>
  <c r="V18" i="14"/>
  <c r="J127" i="14"/>
  <c r="J152" i="22" l="1"/>
  <c r="F14" i="20"/>
  <c r="J134" i="14"/>
  <c r="F18" i="20" s="1"/>
  <c r="F19" i="20" s="1"/>
  <c r="F23" i="20" s="1"/>
  <c r="L18" i="14"/>
  <c r="L14" i="14" s="1"/>
  <c r="W18" i="14"/>
  <c r="K118" i="14"/>
  <c r="K21" i="14"/>
  <c r="K44" i="14"/>
  <c r="U14" i="14"/>
  <c r="K110" i="14"/>
  <c r="K80" i="14" l="1"/>
  <c r="L44" i="14"/>
  <c r="K111" i="14"/>
  <c r="K119" i="14"/>
  <c r="U21" i="14"/>
  <c r="K30" i="14"/>
  <c r="M18" i="14"/>
  <c r="M14" i="14" s="1"/>
  <c r="X18" i="14"/>
  <c r="N18" i="14" s="1"/>
  <c r="N14" i="14" s="1"/>
  <c r="N21" i="14" s="1"/>
  <c r="V14" i="14"/>
  <c r="L21" i="14"/>
  <c r="L110" i="14"/>
  <c r="L118" i="14"/>
  <c r="M21" i="14" l="1"/>
  <c r="M110" i="14"/>
  <c r="M118" i="14"/>
  <c r="M30" i="14"/>
  <c r="W21" i="14"/>
  <c r="N30" i="14"/>
  <c r="N34" i="14" s="1"/>
  <c r="X21" i="14"/>
  <c r="U30" i="14"/>
  <c r="K34" i="14"/>
  <c r="K113" i="14"/>
  <c r="K121" i="14"/>
  <c r="L30" i="14"/>
  <c r="V21" i="14"/>
  <c r="L111" i="14"/>
  <c r="L119" i="14"/>
  <c r="M44" i="14"/>
  <c r="L80" i="14"/>
  <c r="M113" i="14" l="1"/>
  <c r="M121" i="14"/>
  <c r="M111" i="14"/>
  <c r="M119" i="14"/>
  <c r="K123" i="14"/>
  <c r="U34" i="14"/>
  <c r="K35" i="14"/>
  <c r="K39" i="14" s="1"/>
  <c r="N44" i="14"/>
  <c r="N80" i="14" s="1"/>
  <c r="M80" i="14"/>
  <c r="N35" i="14"/>
  <c r="N39" i="14" s="1"/>
  <c r="N74" i="14" s="1"/>
  <c r="L113" i="14"/>
  <c r="L121" i="14"/>
  <c r="L34" i="14"/>
  <c r="V30" i="14"/>
  <c r="W30" i="14"/>
  <c r="M34" i="14"/>
  <c r="M123" i="14" s="1"/>
  <c r="W34" i="14" l="1"/>
  <c r="M35" i="14"/>
  <c r="K126" i="14"/>
  <c r="K74" i="14"/>
  <c r="U39" i="14"/>
  <c r="K128" i="14"/>
  <c r="K115" i="14"/>
  <c r="N88" i="14"/>
  <c r="N102" i="14" s="1"/>
  <c r="V34" i="14"/>
  <c r="L35" i="14"/>
  <c r="L123" i="14"/>
  <c r="L39" i="14"/>
  <c r="K114" i="14"/>
  <c r="K124" i="14"/>
  <c r="M39" i="14" l="1"/>
  <c r="M114" i="14"/>
  <c r="M124" i="14"/>
  <c r="K67" i="14"/>
  <c r="K88" i="14"/>
  <c r="K102" i="14" s="1"/>
  <c r="K105" i="14" s="1"/>
  <c r="L124" i="14"/>
  <c r="L114" i="14"/>
  <c r="L128" i="14"/>
  <c r="L126" i="14"/>
  <c r="V39" i="14"/>
  <c r="L115" i="14"/>
  <c r="L74" i="14"/>
  <c r="L88" i="14" s="1"/>
  <c r="L102" i="14" s="1"/>
  <c r="K132" i="14"/>
  <c r="G14" i="20" s="1"/>
  <c r="K127" i="14"/>
  <c r="K131" i="14"/>
  <c r="M74" i="14" l="1"/>
  <c r="M88" i="14" s="1"/>
  <c r="M102" i="14" s="1"/>
  <c r="M115" i="14"/>
  <c r="M126" i="14"/>
  <c r="M128" i="14"/>
  <c r="L127" i="14"/>
  <c r="L132" i="14"/>
  <c r="H14" i="20" s="1"/>
  <c r="L131" i="14"/>
  <c r="G19" i="20"/>
  <c r="G23" i="20" s="1"/>
  <c r="K134" i="14"/>
  <c r="K152" i="22"/>
  <c r="K42" i="14"/>
  <c r="K46" i="14" s="1"/>
  <c r="K54" i="14" s="1"/>
  <c r="L104" i="14"/>
  <c r="L105" i="14" s="1"/>
  <c r="K70" i="14"/>
  <c r="L67" i="14"/>
  <c r="M127" i="14" l="1"/>
  <c r="M131" i="14"/>
  <c r="M132" i="14"/>
  <c r="M104" i="14"/>
  <c r="M105" i="14" s="1"/>
  <c r="L42" i="14"/>
  <c r="L46" i="14" s="1"/>
  <c r="L54" i="14" s="1"/>
  <c r="L152" i="22"/>
  <c r="H19" i="20"/>
  <c r="H23" i="20" s="1"/>
  <c r="L134" i="14"/>
  <c r="L70" i="14"/>
  <c r="M67" i="14"/>
  <c r="K71" i="14"/>
  <c r="K72" i="14" s="1"/>
  <c r="K133" i="14"/>
  <c r="I14" i="20" l="1"/>
  <c r="I19" i="20" s="1"/>
  <c r="I23" i="20" s="1"/>
  <c r="M134" i="14"/>
  <c r="N67" i="14"/>
  <c r="N70" i="14" s="1"/>
  <c r="N71" i="14" s="1"/>
  <c r="M70" i="14"/>
  <c r="L71" i="14"/>
  <c r="L72" i="14" s="1"/>
  <c r="L133" i="14"/>
  <c r="N104" i="14"/>
  <c r="N105" i="14" s="1"/>
  <c r="N42" i="14" s="1"/>
  <c r="N46" i="14" s="1"/>
  <c r="N54" i="14" s="1"/>
  <c r="M42" i="14"/>
  <c r="M46" i="14" s="1"/>
  <c r="M54" i="14" s="1"/>
  <c r="M71" i="14" l="1"/>
  <c r="M133" i="14"/>
  <c r="M72" i="14"/>
  <c r="N72" i="14"/>
  <c r="F7" i="20"/>
  <c r="F11" i="20" s="1"/>
  <c r="G11" i="20"/>
  <c r="E7" i="20"/>
  <c r="H11"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tc={AC89B313-2787-407E-80D3-AB2D17FE2C2E}</author>
    <author>tc={801231CD-2A36-4576-889D-C40B224FC6A1}</author>
    <author>tc={6700A763-28B8-4C5C-9870-12EF5DAFDF89}</author>
    <author>tc={12FD5810-6977-492D-8E91-C35A6895DE86}</author>
    <author>tc={9AE56D0F-679F-412C-9017-1F4DB6E3815F}</author>
    <author>tc={C96D0C6B-4C1C-4665-9705-E12FD9B0831F}</author>
    <author>tc={932F2861-DE35-4AF5-B810-3DEC14B5E076}</author>
    <author>tc={3A022D93-F9DD-42F1-8B29-F54AF1C08746}</author>
    <author>tc={98630220-73B3-4D22-962F-1CEE4E55BBBD}</author>
    <author>tc={D89C7F97-31C1-4270-8AAC-EB1BA280C3CF}</author>
    <author>tc={A11A3CF0-07FF-4766-AF35-1FDBEEB6EB7D}</author>
    <author>tc={AD343F9B-AF32-48AA-8FA7-742A47E4B7DC}</author>
    <author>tc={7EBDE4FB-5FDE-412F-AD0E-DE44A797EA66}</author>
  </authors>
  <commentList>
    <comment ref="AE37" authorId="0" shapeId="0" xr:uid="{AC89B313-2787-407E-80D3-AB2D17FE2C2E}">
      <text>
        <t>[线程批注]
你的Excel版本可读取此线程批注; 但如果在更新版本的Excel中打开文件，则对批注所作的任何改动都将被删除。了解详细信息: https://go.microsoft.com/fwlink/?linkid=870924
注释:
    consolidated portfolio</t>
      </text>
    </comment>
    <comment ref="A173" authorId="1" shapeId="0" xr:uid="{801231CD-2A36-4576-889D-C40B224FC6A1}">
      <text>
        <t>[线程批注]
你的Excel版本可读取此线程批注; 但如果在更新版本的Excel中打开文件，则对批注所作的任何改动都将被删除。了解详细信息: https://go.microsoft.com/fwlink/?linkid=870924
注释:
    Ending Occupancy is the percentage of total owned square footage (GLA) which is leased as of the last day of the reporting period. We include all company owned space except formall anchors, mall majors, mall freestanding and mall outlots in the calculation</t>
      </text>
    </comment>
    <comment ref="A174" authorId="2" shapeId="0" xr:uid="{6700A763-28B8-4C5C-9870-12EF5DAFDF89}">
      <text>
        <t>[线程批注]
你的Excel版本可读取此线程批注; 但如果在更新版本的Excel中打开文件，则对批注所作的任何改动都将被删除。了解详细信息: https://go.microsoft.com/fwlink/?linkid=870924
注释:
    Base Minimum Rent PSF is the average base minimum rent charge in effect for the reporting period for all tenants that would qualify to be included in Ending Occupancy as definedabove.</t>
      </text>
    </comment>
    <comment ref="A175" authorId="3" shapeId="0" xr:uid="{12FD5810-6977-492D-8E91-C35A6895DE86}">
      <text>
        <t>[线程批注]
你的Excel版本可读取此线程批注; 但如果在更新版本的Excel中打开文件，则对批注所作的任何改动都将被删除。了解详细信息: https://go.microsoft.com/fwlink/?linkid=870924
注释:
    Total Sales PSF is defined as total sales as reported of the tenants open and operating in the center during the reporting period divided by the associated company owned andoccupied GLA on a trailing 12-month basis. Includes tenant sales activity for all months a tenant is open within the trailing 12-month period. In accordance with the standarddefinition of sales for regional malls adopted by the International Council of Shopping Centers, stores with less than 10,000 square feet are included for malls and stores with lessthan 20,000 square feet are included for Premium Outlets</t>
      </text>
    </comment>
    <comment ref="AD175" authorId="4" shapeId="0" xr:uid="{9AE56D0F-679F-412C-9017-1F4DB6E3815F}">
      <text>
        <t>[线程批注]
你的Excel版本可读取此线程批注; 但如果在更新版本的Excel中打开文件，则对批注所作的任何改动都将被删除。了解详细信息: https://go.microsoft.com/fwlink/?linkid=870924
注释:
    Mall sales for the fourth quarter were up 8% compared to the fourth quarter of 2019, and up 34% year-over-year.</t>
      </text>
    </comment>
    <comment ref="A177" authorId="5" shapeId="0" xr:uid="{C96D0C6B-4C1C-4665-9705-E12FD9B0831F}">
      <text>
        <t>[线程批注]
你的Excel版本可读取此线程批注; 但如果在更新版本的Excel中打开文件，则对批注所作的任何改动都将被删除。了解详细信息: https://go.microsoft.com/fwlink/?linkid=870924
注释:
    Occupancy Cost as a Percentage of Sales is the trailing 12-month Base Minimum Rent, plus all applicable ancillary charges, plus overage rent, if applicable (based on last 12 monthsof sales), divided by the trailing 12-month Total Sales PSF for the same tena</t>
      </text>
    </comment>
    <comment ref="U177" authorId="6" shapeId="0" xr:uid="{932F2861-DE35-4AF5-B810-3DEC14B5E076}">
      <text>
        <t>[线程批注]
你的Excel版本可读取此线程批注; 但如果在更新版本的Excel中打开文件，则对批注所作的任何改动都将被删除。了解详细信息: https://go.microsoft.com/fwlink/?linkid=870924
注释:
     Releasing Spread is a ‘‘same space’’ measure that compares opening and closing rates on individual spaces, including spaces greater than 10,000 square feet. The Opening Rate is the average of the initial cash Total Rent per Square Foot for spaces leased during the trailing 12-month period, and includes new leases and existing tenant renewals, amendments and relocations (including expansions and downsizings). The Closing Rate is the average of the final cash Total Rent per Square Foot as of the month the tenant terminates or closes. Total Rent per Square Foot includes Base Minimum Rent, common area maintenance (‘‘CAM’’) and base percentage rent. It includes leasing activity on all spaces occupied by tenants that would qualify to be included in Ending Occupancy as defined above as long as the opening and closing dates are within 24 months of one another.</t>
      </text>
    </comment>
    <comment ref="A179" authorId="7" shapeId="0" xr:uid="{3A022D93-F9DD-42F1-8B29-F54AF1C08746}">
      <text>
        <t>[线程批注]
你的Excel版本可读取此线程批注; 但如果在更新版本的Excel中打开文件，则对批注所作的任何改动都将被删除。了解详细信息: https://go.microsoft.com/fwlink/?linkid=870924
注释:
    the Company acquired the Mills portfolio an interest in on March 29, 2007</t>
      </text>
    </comment>
    <comment ref="A191" authorId="8" shapeId="0" xr:uid="{98630220-73B3-4D22-962F-1CEE4E55BBBD}">
      <text>
        <t>[线程批注]
你的Excel版本可读取此线程批注; 但如果在更新版本的Excel中打开文件，则对批注所作的任何改动都将被删除。了解详细信息: https://go.microsoft.com/fwlink/?linkid=870924
注释:
    Europe</t>
      </text>
    </comment>
    <comment ref="T191" authorId="9" shapeId="0" xr:uid="{D89C7F97-31C1-4270-8AAC-EB1BA280C3CF}">
      <text>
        <t>[线程批注]
你的Excel版本可读取此线程批注; 但如果在更新版本的Excel中打开文件，则对批注所作的任何改动都将被删除。了解详细信息: https://go.microsoft.com/fwlink/?linkid=870924
注释:
    Q3</t>
      </text>
    </comment>
    <comment ref="N194" authorId="10" shapeId="0" xr:uid="{A11A3CF0-07FF-4766-AF35-1FDBEEB6EB7D}">
      <text>
        <t>[线程批注]
你的Excel版本可读取此线程批注; 但如果在更新版本的Excel中打开文件，则对批注所作的任何改动都将被删除。了解详细信息: https://go.microsoft.com/fwlink/?linkid=870924
注释:
    euro dollars</t>
      </text>
    </comment>
    <comment ref="A197" authorId="11" shapeId="0" xr:uid="{AD343F9B-AF32-48AA-8FA7-742A47E4B7DC}">
      <text>
        <t>[线程批注]
你的Excel版本可读取此线程批注; 但如果在更新版本的Excel中打开文件，则对批注所作的任何改动都将被删除。了解详细信息: https://go.microsoft.com/fwlink/?linkid=870924
注释:
    Japan</t>
      </text>
    </comment>
    <comment ref="A203" authorId="12" shapeId="0" xr:uid="{7EBDE4FB-5FDE-412F-AD0E-DE44A797EA66}">
      <text>
        <t>[线程批注]
你的Excel版本可读取此线程批注; 但如果在更新版本的Excel中打开文件，则对批注所作的任何改动都将被删除。了解详细信息: https://go.microsoft.com/fwlink/?linkid=870924
注释:
     Prior period has been restated to include community centers previously owned by TMLP, now owned by Simon Property Group, L.P.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tc={7929130D-05C1-447C-8683-8A4171F0B9E9}</author>
    <author>tc={9518CFC9-894F-41CC-B748-1BC9A2D57F4D}</author>
    <author>tc={6BD0906F-A5F1-4269-B5AD-C9E8A8196818}</author>
    <author>tc={162BE5D8-AE78-4F62-8430-D5B78A462F7B}</author>
    <author>tc={0F963FFE-9EBC-4D97-B960-08717856855D}</author>
    <author>tc={F2106BC4-1E0A-4DBF-B7C1-9356592358D6}</author>
    <author>tc={C96282CF-D746-497E-B184-73A44643B09F}</author>
    <author>tc={39A79AA2-EEC5-41C2-ACED-26BC6978326E}</author>
    <author>tc={CEB6E06D-2A47-431E-8490-BCB7314F6827}</author>
    <author>tc={C05217D6-33C9-4D13-A691-DA4D589B8F08}</author>
    <author>tc={5C09FB92-22A3-4EA5-9573-352989F68B2B}</author>
    <author>tc={2E9867BD-BF43-417B-A608-7260F0966EE3}</author>
  </authors>
  <commentList>
    <comment ref="G7" authorId="0" shapeId="0" xr:uid="{7929130D-05C1-447C-8683-8A4171F0B9E9}">
      <text>
        <t>[线程批注]
你的Excel版本可读取此线程批注; 但如果在更新版本的Excel中打开文件，则对批注所作的任何改动都将被删除。了解详细信息: https://go.microsoft.com/fwlink/?linkid=870924
注释:
    in line</t>
      </text>
    </comment>
    <comment ref="H7" authorId="1" shapeId="0" xr:uid="{9518CFC9-894F-41CC-B748-1BC9A2D57F4D}">
      <text>
        <t>[线程批注]
你的Excel版本可读取此线程批注; 但如果在更新版本的Excel中打开文件，则对批注所作的任何改动都将被删除。了解详细信息: https://go.microsoft.com/fwlink/?linkid=870924
注释:
    630 137.6</t>
      </text>
    </comment>
    <comment ref="G8" authorId="2" shapeId="0" xr:uid="{6BD0906F-A5F1-4269-B5AD-C9E8A8196818}">
      <text>
        <t>[线程批注]
你的Excel版本可读取此线程批注; 但如果在更新版本的Excel中打开文件，则对批注所作的任何改动都将被删除。了解详细信息: https://go.microsoft.com/fwlink/?linkid=870924
注释:
    beat</t>
      </text>
    </comment>
    <comment ref="H8" authorId="3" shapeId="0" xr:uid="{162BE5D8-AE78-4F62-8430-D5B78A462F7B}">
      <text>
        <t>[线程批注]
你的Excel版本可读取此线程批注; 但如果在更新版本的Excel中打开文件，则对批注所作的任何改动都将被删除。了解详细信息: https://go.microsoft.com/fwlink/?linkid=870924
注释:
    630 93.9%</t>
      </text>
    </comment>
    <comment ref="G18" authorId="4" shapeId="0" xr:uid="{0F963FFE-9EBC-4D97-B960-08717856855D}">
      <text>
        <t>[线程批注]
你的Excel版本可读取此线程批注; 但如果在更新版本的Excel中打开文件，则对批注所作的任何改动都将被删除。了解详细信息: https://go.microsoft.com/fwlink/?linkid=870924
注释:
    beat</t>
      </text>
    </comment>
    <comment ref="G19" authorId="5" shapeId="0" xr:uid="{F2106BC4-1E0A-4DBF-B7C1-9356592358D6}">
      <text>
        <t>[线程批注]
你的Excel版本可读取此线程批注; 但如果在更新版本的Excel中打开文件，则对批注所作的任何改动都将被删除。了解详细信息: https://go.microsoft.com/fwlink/?linkid=870924
注释:
    beat</t>
      </text>
    </comment>
    <comment ref="G27" authorId="6" shapeId="0" xr:uid="{C96282CF-D746-497E-B184-73A44643B09F}">
      <text>
        <t>[线程批注]
你的Excel版本可读取此线程批注; 但如果在更新版本的Excel中打开文件，则对批注所作的任何改动都将被删除。了解详细信息: https://go.microsoft.com/fwlink/?linkid=870924
注释:
    in line</t>
      </text>
    </comment>
    <comment ref="L27" authorId="7" shapeId="0" xr:uid="{39A79AA2-EEC5-41C2-ACED-26BC6978326E}">
      <text>
        <t>[线程批注]
你的Excel版本可读取此线程批注; 但如果在更新版本的Excel中打开文件，则对批注所作的任何改动都将被删除。了解详细信息: https://go.microsoft.com/fwlink/?linkid=870924
注释:
    lowered to 0.5 as little growth as of 630</t>
      </text>
    </comment>
    <comment ref="A28" authorId="8" shapeId="0" xr:uid="{CEB6E06D-2A47-431E-8490-BCB7314F6827}">
      <text>
        <t>[线程批注]
你的Excel版本可读取此线程批注; 但如果在更新版本的Excel中打开文件，则对批注所作的任何改动都将被删除。了解详细信息: https://go.microsoft.com/fwlink/?linkid=870924
注释:
    Japan</t>
      </text>
    </comment>
    <comment ref="G28" authorId="9" shapeId="0" xr:uid="{C05217D6-33C9-4D13-A691-DA4D589B8F08}">
      <text>
        <t>[线程批注]
你的Excel版本可读取此线程批注; 但如果在更新版本的Excel中打开文件，则对批注所作的任何改动都将被删除。了解详细信息: https://go.microsoft.com/fwlink/?linkid=870924
注释:
    beat</t>
      </text>
    </comment>
    <comment ref="A29" authorId="10" shapeId="0" xr:uid="{5C09FB92-22A3-4EA5-9573-352989F68B2B}">
      <text>
        <t>[线程批注]
你的Excel版本可读取此线程批注; 但如果在更新版本的Excel中打开文件，则对批注所作的任何改动都将被删除。了解详细信息: https://go.microsoft.com/fwlink/?linkid=870924
注释:
    Japan</t>
      </text>
    </comment>
    <comment ref="H31" authorId="11" shapeId="0" xr:uid="{2E9867BD-BF43-417B-A608-7260F0966EE3}">
      <text>
        <t>[线程批注]
你的Excel版本可读取此线程批注; 但如果在更新版本的Excel中打开文件，则对批注所作的任何改动都将被删除。了解详细信息: https://go.microsoft.com/fwlink/?linkid=870924
注释:
    missed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tc={3C6A0484-11FB-4D61-BCAA-0B9848EAFBDF}</author>
    <author>tc={8EA68981-EA44-4A44-9160-290590510873}</author>
    <author>tc={6A249D06-F858-4D10-B280-DAC19F9B0853}</author>
    <author>tc={1005BE92-B30E-4968-B9FB-1E29F386C812}</author>
    <author>熊 航</author>
    <author>tc={A9FBDA45-8D84-4439-AF25-6F95E6A9EF07}</author>
    <author>tc={CB5B1824-EF71-4ABB-B989-71241DC3EB1D}</author>
    <author>tc={AD545E3E-9FD5-48C9-A0FD-5CD15BA51750}</author>
    <author>tc={8EEB7DFC-B047-469C-BEF4-4433530A1215}</author>
  </authors>
  <commentList>
    <comment ref="T24" authorId="0" shapeId="0" xr:uid="{3C6A0484-11FB-4D61-BCAA-0B9848EAFBDF}">
      <text>
        <t>[线程批注]
你的Excel版本可读取此线程批注; 但如果在更新版本的Excel中打开文件，则对批注所作的任何改动都将被删除。了解详细信息: https://go.microsoft.com/fwlink/?linkid=870924
注释:
    huge beat</t>
      </text>
    </comment>
    <comment ref="U27" authorId="1" shapeId="0" xr:uid="{8EA68981-EA44-4A44-9160-290590510873}">
      <text>
        <t>[线程批注]
你的Excel版本可读取此线程批注; 但如果在更新版本的Excel中打开文件，则对批注所作的任何改动都将被删除。了解详细信息: https://go.microsoft.com/fwlink/?linkid=870924
注释:
    missed</t>
      </text>
    </comment>
    <comment ref="T35" authorId="2" shapeId="0" xr:uid="{6A249D06-F858-4D10-B280-DAC19F9B0853}">
      <text>
        <t>[线程批注]
你的Excel版本可读取此线程批注; 但如果在更新版本的Excel中打开文件，则对批注所作的任何改动都将被删除。了解详细信息: https://go.microsoft.com/fwlink/?linkid=870924
注释:
    beat</t>
      </text>
    </comment>
    <comment ref="T37" authorId="3" shapeId="0" xr:uid="{1005BE92-B30E-4968-B9FB-1E29F386C812}">
      <text>
        <t>[线程批注]
你的Excel版本可读取此线程批注; 但如果在更新版本的Excel中打开文件，则对批注所作的任何改动都将被删除。了解详细信息: https://go.microsoft.com/fwlink/?linkid=870924
注释:
    missed</t>
      </text>
    </comment>
    <comment ref="B57" authorId="4" shapeId="0" xr:uid="{D33F0DA0-7BBC-3A4D-AABD-4EA6176858C5}">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accru</t>
        </r>
        <r>
          <rPr>
            <sz val="10"/>
            <color rgb="FF000000"/>
            <rFont val="Tahoma"/>
            <family val="2"/>
          </rPr>
          <t xml:space="preserve"> </t>
        </r>
        <r>
          <rPr>
            <sz val="10"/>
            <color rgb="FF000000"/>
            <rFont val="Tahoma"/>
            <family val="2"/>
          </rPr>
          <t>exp</t>
        </r>
        <r>
          <rPr>
            <sz val="10"/>
            <color rgb="FF000000"/>
            <rFont val="Tahoma"/>
            <family val="2"/>
          </rPr>
          <t xml:space="preserve">
</t>
        </r>
        <r>
          <rPr>
            <sz val="10"/>
            <color rgb="FF000000"/>
            <rFont val="Tahoma"/>
            <family val="2"/>
          </rPr>
          <t>由于</t>
        </r>
        <r>
          <rPr>
            <sz val="10"/>
            <color rgb="FF000000"/>
            <rFont val="Tahoma"/>
            <family val="2"/>
          </rPr>
          <t>as reported</t>
        </r>
        <r>
          <rPr>
            <sz val="10"/>
            <color rgb="FF000000"/>
            <rFont val="Tahoma"/>
            <family val="2"/>
          </rPr>
          <t>无</t>
        </r>
        <r>
          <rPr>
            <sz val="10"/>
            <color rgb="FF000000"/>
            <rFont val="Tahoma"/>
            <family val="2"/>
          </rPr>
          <t>breakdown</t>
        </r>
        <r>
          <rPr>
            <sz val="10"/>
            <color rgb="FF000000"/>
            <rFont val="Tahoma"/>
            <family val="2"/>
          </rPr>
          <t>，因此负债采用</t>
        </r>
        <r>
          <rPr>
            <sz val="10"/>
            <color rgb="FF000000"/>
            <rFont val="Tahoma"/>
            <family val="2"/>
          </rPr>
          <t>sp</t>
        </r>
        <r>
          <rPr>
            <sz val="10"/>
            <color rgb="FF000000"/>
            <rFont val="Tahoma"/>
            <family val="2"/>
          </rPr>
          <t>来源</t>
        </r>
      </text>
    </comment>
    <comment ref="I57" authorId="5" shapeId="0" xr:uid="{A9FBDA45-8D84-4439-AF25-6F95E6A9EF07}">
      <text>
        <t>[线程批注]
你的Excel版本可读取此线程批注; 但如果在更新版本的Excel中打开文件，则对批注所作的任何改动都将被删除。了解详细信息: https://go.microsoft.com/fwlink/?linkid=870924
注释:
    暂未披露
答复:
    disclosed on PPT P31</t>
      </text>
    </comment>
    <comment ref="B68" authorId="4" shapeId="0" xr:uid="{04411263-548A-B846-92EF-88BAED59DEF8}">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T75" authorId="6" shapeId="0" xr:uid="{CB5B1824-EF71-4ABB-B989-71241DC3EB1D}">
      <text>
        <t>[线程批注]
你的Excel版本可读取此线程批注; 但如果在更新版本的Excel中打开文件，则对批注所作的任何改动都将被删除。了解详细信息: https://go.microsoft.com/fwlink/?linkid=870924
注释:
    est. 27.9%</t>
      </text>
    </comment>
    <comment ref="B86" authorId="4" shapeId="0" xr:uid="{6BFF720C-F0B3-914E-ADD2-3D0F1CD730FA}">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text>
    </comment>
    <comment ref="T92" authorId="7" shapeId="0" xr:uid="{AD545E3E-9FD5-48C9-A0FD-5CD15BA51750}">
      <text>
        <t>[线程批注]
你的Excel版本可读取此线程批注; 但如果在更新版本的Excel中打开文件，则对批注所作的任何改动都将被删除。了解详细信息: https://go.microsoft.com/fwlink/?linkid=870924
注释:
    missed</t>
      </text>
    </comment>
    <comment ref="T97" authorId="8" shapeId="0" xr:uid="{8EEB7DFC-B047-469C-BEF4-4433530A1215}">
      <text>
        <t>[线程批注]
你的Excel版本可读取此线程批注; 但如果在更新版本的Excel中打开文件，则对批注所作的任何改动都将被删除。了解详细信息: https://go.microsoft.com/fwlink/?linkid=870924
注释:
    beat</t>
      </text>
    </comment>
    <comment ref="B98" authorId="4" shapeId="0" xr:uid="{6FE05E0F-0559-844C-853C-A9C8198C3F80}">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insert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熊 航</author>
  </authors>
  <commentList>
    <comment ref="A4" authorId="0" shapeId="0" xr:uid="{86049999-3E5A-CA4B-A7BB-9CA1EA80993D}">
      <text>
        <r>
          <rPr>
            <sz val="11"/>
            <color theme="1"/>
            <rFont val="等线"/>
            <family val="2"/>
            <charset val="134"/>
            <scheme val="minor"/>
          </rPr>
          <t>熊 航:
from SP-Estimated NAV-Cap rate</t>
        </r>
      </text>
    </comment>
    <comment ref="A16" authorId="0" shapeId="0" xr:uid="{D4033223-29E4-7B4E-B81F-F3C2C0837F17}">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from SP</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tc={B6BCC43C-3456-4618-AB84-FC942CC96B95}</author>
    <author>tc={E2F91A41-9830-4D51-8130-6AE8424E154C}</author>
    <author>tc={C0A04C1C-D078-4A84-88DA-11A04C3821E6}</author>
    <author>tc={5752EA3E-627C-4C21-9302-8F2FC4177F19}</author>
    <author>tc={ECA5A0E4-4D42-4FAC-93C9-0E81FDAF9D60}</author>
    <author>tc={EB985D7C-A217-4DEE-B8C5-F566F2F118D8}</author>
    <author>tc={8E801103-579D-4B2D-968C-7B93D459B848}</author>
  </authors>
  <commentList>
    <comment ref="AD39" authorId="0" shapeId="0" xr:uid="{B6BCC43C-3456-4618-AB84-FC942CC96B95}">
      <text>
        <t>[线程批注]
你的Excel版本可读取此线程批注; 但如果在更新版本的Excel中打开文件，则对批注所作的任何改动都将被删除。了解详细信息: https://go.microsoft.com/fwlink/?linkid=870924
注释:
    guidance</t>
      </text>
    </comment>
    <comment ref="U56" authorId="1" shapeId="0" xr:uid="{E2F91A41-9830-4D51-8130-6AE8424E154C}">
      <text>
        <t>[线程批注]
你的Excel版本可读取此线程批注; 但如果在更新版本的Excel中打开文件，则对批注所作的任何改动都将被删除。了解详细信息: https://go.microsoft.com/fwlink/?linkid=870924
注释:
     Releasing Spread is a ‘‘same space’’ measure that compares opening and closing rates on individual spaces, including spaces greater than 10,000 square feet. The Opening Rate is the average of the initial cash Total Rent per Square Foot for spaces leased during the trailing 12-month period, and includes new leases and existing tenant renewals, amendments and relocations (including expansions and downsizings). The Closing Rate is the average of the final cash Total Rent per Square Foot as of the month the tenant terminates or closes. Total Rent per Square Foot includes Base Minimum Rent, common area maintenance (‘‘CAM’’) and base percentage rent. It includes leasing activity on all spaces occupied by tenants that would qualify to be included in Ending Occupancy as defined above as long as the opening and closing dates are within 24 months of one another.</t>
      </text>
    </comment>
    <comment ref="A72" authorId="2" shapeId="0" xr:uid="{C0A04C1C-D078-4A84-88DA-11A04C3821E6}">
      <text>
        <t>[线程批注]
你的Excel版本可读取此线程批注; 但如果在更新版本的Excel中打开文件，则对批注所作的任何改动都将被删除。了解详细信息: https://go.microsoft.com/fwlink/?linkid=870924
注释:
    Japan</t>
      </text>
    </comment>
    <comment ref="A73" authorId="3" shapeId="0" xr:uid="{5752EA3E-627C-4C21-9302-8F2FC4177F19}">
      <text>
        <t>[线程批注]
你的Excel版本可读取此线程批注; 但如果在更新版本的Excel中打开文件，则对批注所作的任何改动都将被删除。了解详细信息: https://go.microsoft.com/fwlink/?linkid=870924
注释:
    Japan</t>
      </text>
    </comment>
    <comment ref="A76" authorId="4" shapeId="0" xr:uid="{ECA5A0E4-4D42-4FAC-93C9-0E81FDAF9D60}">
      <text>
        <t>[线程批注]
你的Excel版本可读取此线程批注; 但如果在更新版本的Excel中打开文件，则对批注所作的任何改动都将被删除。了解详细信息: https://go.microsoft.com/fwlink/?linkid=870924
注释:
     Prior period has been restated to include community centers previously owned by TMLP, now owned by Simon Property Group, L.P.</t>
      </text>
    </comment>
    <comment ref="A79" authorId="5" shapeId="0" xr:uid="{EB985D7C-A217-4DEE-B8C5-F566F2F118D8}">
      <text>
        <t>[线程批注]
你的Excel版本可读取此线程批注; 但如果在更新版本的Excel中打开文件，则对批注所作的任何改动都将被删除。了解详细信息: https://go.microsoft.com/fwlink/?linkid=870924
注释:
    Japan</t>
      </text>
    </comment>
    <comment ref="A80" authorId="6" shapeId="0" xr:uid="{8E801103-579D-4B2D-968C-7B93D459B848}">
      <text>
        <t>[线程批注]
你的Excel版本可读取此线程批注; 但如果在更新版本的Excel中打开文件，则对批注所作的任何改动都将被删除。了解详细信息: https://go.microsoft.com/fwlink/?linkid=870924
注释:
    Japan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tc={5D55FFED-7A87-F342-AA82-9507F8834060}</author>
    <author>熊 航</author>
  </authors>
  <commentList>
    <comment ref="A18" authorId="0" shapeId="0" xr:uid="{5D55FFED-7A87-F342-AA82-9507F8834060}">
      <text>
        <t>[线程批注]
你的Excel版本可读取此线程批注; 但如果在更新版本的Excel中打开文件，则对批注所作的任何改动都将被删除。了解详细信息: https://go.microsoft.com/fwlink/?linkid=870924
注释:
    2021 new</t>
      </text>
    </comment>
    <comment ref="B31" authorId="1" shapeId="0" xr:uid="{1B52E0B1-F2D8-5C45-A2DA-A6CB69F96676}">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A36" authorId="1" shapeId="0" xr:uid="{87B43A2E-2DAA-6F46-86EE-1F9290A2AF86}">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prefered</t>
        </r>
        <r>
          <rPr>
            <sz val="10"/>
            <color rgb="FF000000"/>
            <rFont val="Tahoma"/>
            <family val="2"/>
          </rPr>
          <t xml:space="preserve"> </t>
        </r>
        <r>
          <rPr>
            <sz val="10"/>
            <color rgb="FF000000"/>
            <rFont val="Tahoma"/>
            <family val="2"/>
          </rPr>
          <t>share</t>
        </r>
      </text>
    </comment>
    <comment ref="B36" authorId="1" shapeId="0" xr:uid="{1DD6E950-9963-AE44-AB6C-DFA3DC8E106D}">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B45" authorId="1" shapeId="0" xr:uid="{18EF561B-423F-E546-ADD2-89C618D1AD1A}">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tc={33032715-18F4-43B5-B7DC-AC41C7F828F0}</author>
  </authors>
  <commentList>
    <comment ref="A32" authorId="0" shapeId="0" xr:uid="{33032715-18F4-43B5-B7DC-AC41C7F828F0}">
      <text>
        <t>[线程批注]
你的Excel版本可读取此线程批注; 但如果在更新版本的Excel中打开文件，则对批注所作的任何改动都将被删除。了解详细信息: https://go.microsoft.com/fwlink/?linkid=870924
注释:
    2021 new</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tc={63E1201E-6B28-413E-8437-6DED2ADBD4C4}</author>
    <author>tc={77380A17-752E-4BBB-87DD-E22E5FD24BB8}</author>
    <author>tc={AB10BB4D-9C27-49EF-B48E-D2950884AC4B}</author>
    <author>tc={26F440CA-ABB0-499F-BBE0-3C6B131B0BCC}</author>
  </authors>
  <commentList>
    <comment ref="A13" authorId="0" shapeId="0" xr:uid="{63E1201E-6B28-413E-8437-6DED2ADBD4C4}">
      <text>
        <t>[线程批注]
你的Excel版本可读取此线程批注; 但如果在更新版本的Excel中打开文件，则对批注所作的任何改动都将被删除。了解详细信息: https://go.microsoft.com/fwlink/?linkid=870924
注释:
    2021 newly added</t>
      </text>
    </comment>
    <comment ref="A23" authorId="1" shapeId="0" xr:uid="{77380A17-752E-4BBB-87DD-E22E5FD24BB8}">
      <text>
        <t>[线程批注]
你的Excel版本可读取此线程批注; 但如果在更新版本的Excel中打开文件，则对批注所作的任何改动都将被删除。了解详细信息: https://go.microsoft.com/fwlink/?linkid=870924
注释:
    2021 new</t>
      </text>
    </comment>
    <comment ref="A39" authorId="2" shapeId="0" xr:uid="{AB10BB4D-9C27-49EF-B48E-D2950884AC4B}">
      <text>
        <t>[线程批注]
你的Excel版本可读取此线程批注; 但如果在更新版本的Excel中打开文件，则对批注所作的任何改动都将被删除。了解详细信息: https://go.microsoft.com/fwlink/?linkid=870924
注释:
    2021 newly added</t>
      </text>
    </comment>
    <comment ref="A40" authorId="3" shapeId="0" xr:uid="{26F440CA-ABB0-499F-BBE0-3C6B131B0BCC}">
      <text>
        <t>[线程批注]
你的Excel版本可读取此线程批注; 但如果在更新版本的Excel中打开文件，则对批注所作的任何改动都将被删除。了解详细信息: https://go.microsoft.com/fwlink/?linkid=870924
注释:
    2021 newly added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熊 航</author>
  </authors>
  <commentList>
    <comment ref="B57" authorId="0" shapeId="0" xr:uid="{D4ABAADF-2830-4043-A273-84736946276E}">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accru</t>
        </r>
        <r>
          <rPr>
            <sz val="10"/>
            <color rgb="FF000000"/>
            <rFont val="Tahoma"/>
            <family val="2"/>
          </rPr>
          <t xml:space="preserve"> </t>
        </r>
        <r>
          <rPr>
            <sz val="10"/>
            <color rgb="FF000000"/>
            <rFont val="Tahoma"/>
            <family val="2"/>
          </rPr>
          <t>exp</t>
        </r>
        <r>
          <rPr>
            <sz val="10"/>
            <color rgb="FF000000"/>
            <rFont val="Tahoma"/>
            <family val="2"/>
          </rPr>
          <t xml:space="preserve">
</t>
        </r>
        <r>
          <rPr>
            <sz val="10"/>
            <color rgb="FF000000"/>
            <rFont val="Tahoma"/>
            <family val="2"/>
          </rPr>
          <t>由于</t>
        </r>
        <r>
          <rPr>
            <sz val="10"/>
            <color rgb="FF000000"/>
            <rFont val="Tahoma"/>
            <family val="2"/>
          </rPr>
          <t>as reported</t>
        </r>
        <r>
          <rPr>
            <sz val="10"/>
            <color rgb="FF000000"/>
            <rFont val="Tahoma"/>
            <family val="2"/>
          </rPr>
          <t>无</t>
        </r>
        <r>
          <rPr>
            <sz val="10"/>
            <color rgb="FF000000"/>
            <rFont val="Tahoma"/>
            <family val="2"/>
          </rPr>
          <t>breakdown</t>
        </r>
        <r>
          <rPr>
            <sz val="10"/>
            <color rgb="FF000000"/>
            <rFont val="Tahoma"/>
            <family val="2"/>
          </rPr>
          <t>，因此负债采用</t>
        </r>
        <r>
          <rPr>
            <sz val="10"/>
            <color rgb="FF000000"/>
            <rFont val="Tahoma"/>
            <family val="2"/>
          </rPr>
          <t>sp</t>
        </r>
        <r>
          <rPr>
            <sz val="10"/>
            <color rgb="FF000000"/>
            <rFont val="Tahoma"/>
            <family val="2"/>
          </rPr>
          <t>来源</t>
        </r>
      </text>
    </comment>
    <comment ref="B68" authorId="0" shapeId="0" xr:uid="{0750D3E6-DC43-471A-BFA6-1A14A4563A72}">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B86" authorId="0" shapeId="0" xr:uid="{0E42E5DE-6EA5-40AD-A2C4-CD18159E3098}">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text>
    </comment>
    <comment ref="B98" authorId="0" shapeId="0" xr:uid="{4009DE63-FBC4-47B4-AEF8-CDEBF1D227AC}">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insert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熊 航</author>
  </authors>
  <commentList>
    <comment ref="A56" authorId="0" shapeId="0" xr:uid="{FB1BE7EB-4E86-4B1D-AB51-0F5E0D7A9507}">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accru</t>
        </r>
        <r>
          <rPr>
            <sz val="10"/>
            <color rgb="FF000000"/>
            <rFont val="Tahoma"/>
            <family val="2"/>
          </rPr>
          <t xml:space="preserve"> </t>
        </r>
        <r>
          <rPr>
            <sz val="10"/>
            <color rgb="FF000000"/>
            <rFont val="Tahoma"/>
            <family val="2"/>
          </rPr>
          <t>exp</t>
        </r>
        <r>
          <rPr>
            <sz val="10"/>
            <color rgb="FF000000"/>
            <rFont val="Tahoma"/>
            <family val="2"/>
          </rPr>
          <t xml:space="preserve">
</t>
        </r>
        <r>
          <rPr>
            <sz val="10"/>
            <color rgb="FF000000"/>
            <rFont val="Tahoma"/>
            <family val="2"/>
          </rPr>
          <t>由于</t>
        </r>
        <r>
          <rPr>
            <sz val="10"/>
            <color rgb="FF000000"/>
            <rFont val="Tahoma"/>
            <family val="2"/>
          </rPr>
          <t>as reported</t>
        </r>
        <r>
          <rPr>
            <sz val="10"/>
            <color rgb="FF000000"/>
            <rFont val="Tahoma"/>
            <family val="2"/>
          </rPr>
          <t>无</t>
        </r>
        <r>
          <rPr>
            <sz val="10"/>
            <color rgb="FF000000"/>
            <rFont val="Tahoma"/>
            <family val="2"/>
          </rPr>
          <t>breakdown</t>
        </r>
        <r>
          <rPr>
            <sz val="10"/>
            <color rgb="FF000000"/>
            <rFont val="Tahoma"/>
            <family val="2"/>
          </rPr>
          <t>，因此负债采用</t>
        </r>
        <r>
          <rPr>
            <sz val="10"/>
            <color rgb="FF000000"/>
            <rFont val="Tahoma"/>
            <family val="2"/>
          </rPr>
          <t>sp</t>
        </r>
        <r>
          <rPr>
            <sz val="10"/>
            <color rgb="FF000000"/>
            <rFont val="Tahoma"/>
            <family val="2"/>
          </rPr>
          <t>来源</t>
        </r>
      </text>
    </comment>
    <comment ref="A67" authorId="0" shapeId="0" xr:uid="{A7942D01-4CFA-4B8A-B714-28EF59D3AE93}">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A85" authorId="0" shapeId="0" xr:uid="{8782A89C-355E-4539-A741-729310A621F6}">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text>
    </comment>
    <comment ref="A97" authorId="0" shapeId="0" xr:uid="{BCE46241-5432-4F01-9AB8-2D7CFC34B131}">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insert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熊 航</author>
  </authors>
  <commentList>
    <comment ref="B57" authorId="0" shapeId="0" xr:uid="{365D6884-28F2-AC48-AC85-A80373ABADE0}">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 xml:space="preserve">renamed from accru exp
</t>
        </r>
        <r>
          <rPr>
            <sz val="10"/>
            <color rgb="FF000000"/>
            <rFont val="Tahoma"/>
            <family val="2"/>
          </rPr>
          <t>由于</t>
        </r>
        <r>
          <rPr>
            <sz val="10"/>
            <color rgb="FF000000"/>
            <rFont val="Tahoma"/>
            <family val="2"/>
          </rPr>
          <t>as reported</t>
        </r>
        <r>
          <rPr>
            <sz val="10"/>
            <color rgb="FF000000"/>
            <rFont val="Tahoma"/>
            <family val="2"/>
          </rPr>
          <t>无</t>
        </r>
        <r>
          <rPr>
            <sz val="10"/>
            <color rgb="FF000000"/>
            <rFont val="Tahoma"/>
            <family val="2"/>
          </rPr>
          <t>breakdown</t>
        </r>
        <r>
          <rPr>
            <sz val="10"/>
            <color rgb="FF000000"/>
            <rFont val="Tahoma"/>
            <family val="2"/>
          </rPr>
          <t>，因此负债采用</t>
        </r>
        <r>
          <rPr>
            <sz val="10"/>
            <color rgb="FF000000"/>
            <rFont val="Tahoma"/>
            <family val="2"/>
          </rPr>
          <t>sp</t>
        </r>
        <r>
          <rPr>
            <sz val="10"/>
            <color rgb="FF000000"/>
            <rFont val="Tahoma"/>
            <family val="2"/>
          </rPr>
          <t>来源</t>
        </r>
      </text>
    </comment>
    <comment ref="B68" authorId="0" shapeId="0" xr:uid="{7BD6BA10-5C64-924C-AD14-37940A9CF6E6}">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B86" authorId="0" shapeId="0" xr:uid="{8D6FFF58-1500-A141-850D-1C6E3E7D8B97}">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renamed</t>
        </r>
      </text>
    </comment>
    <comment ref="B98" authorId="0" shapeId="0" xr:uid="{72C68966-6D49-B544-8AC1-46E0DFD5910F}">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insert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熊 航</author>
    <author>tc={A6C7D7DA-89BD-4E7B-AA0B-79081595AAE1}</author>
  </authors>
  <commentList>
    <comment ref="B69" authorId="0" shapeId="0" xr:uid="{8E622FE9-A104-4BD7-A9D6-BA5199528164}">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B73" authorId="0" shapeId="0" xr:uid="{EFEC049D-B9A8-4C37-9E31-3D20D6ECDD8E}">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B81" authorId="0" shapeId="0" xr:uid="{6BA85DE6-50F1-4FA8-B905-3AAD0744083F}">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新插入</t>
        </r>
      </text>
    </comment>
    <comment ref="M128" authorId="1" shapeId="0" xr:uid="{A6C7D7DA-89BD-4E7B-AA0B-79081595AAE1}">
      <text>
        <t>[线程批注]
你的Excel版本可读取此线程批注; 但如果在更新版本的Excel中打开文件，则对批注所作的任何改动都将被删除。了解详细信息: https://go.microsoft.com/fwlink/?linkid=870924
注释:
    未找到数据</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熊 航</author>
  </authors>
  <commentList>
    <comment ref="A14" authorId="0" shapeId="0" xr:uid="{1F780412-D795-B145-A717-1603E1EBE844}">
      <text>
        <r>
          <rPr>
            <b/>
            <sz val="10"/>
            <color rgb="FF000000"/>
            <rFont val="Tahoma"/>
            <family val="2"/>
          </rPr>
          <t>熊</t>
        </r>
        <r>
          <rPr>
            <b/>
            <sz val="10"/>
            <color rgb="FF000000"/>
            <rFont val="Tahoma"/>
            <family val="2"/>
          </rPr>
          <t xml:space="preserve"> </t>
        </r>
        <r>
          <rPr>
            <b/>
            <sz val="10"/>
            <color rgb="FF000000"/>
            <rFont val="Tahoma"/>
            <family val="2"/>
          </rPr>
          <t>航</t>
        </r>
        <r>
          <rPr>
            <b/>
            <sz val="10"/>
            <color rgb="FF000000"/>
            <rFont val="Tahoma"/>
            <family val="2"/>
          </rPr>
          <t>:</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matrix</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tc={018234E4-804A-4436-835B-548DE12C6777}</author>
    <author>tc={20E89E93-6846-49C6-AF29-173963DF2D41}</author>
    <author>tc={8BF62A43-66EA-4807-8D89-970241AA2DA8}</author>
    <author>tc={2DE5C593-8A5A-4E7B-8634-B3B0B711A35C}</author>
  </authors>
  <commentList>
    <comment ref="N1" authorId="0" shapeId="0" xr:uid="{018234E4-804A-4436-835B-548DE12C6777}">
      <text>
        <t>[线程批注]
你的Excel版本可读取此线程批注; 但如果在更新版本的Excel中打开文件，则对批注所作的任何改动都将被删除。了解详细信息: https://go.microsoft.com/fwlink/?linkid=870924
注释:
    S&amp;P NAV Estimates</t>
      </text>
    </comment>
    <comment ref="P1" authorId="1" shapeId="0" xr:uid="{20E89E93-6846-49C6-AF29-173963DF2D41}">
      <text>
        <t>[线程批注]
你的Excel版本可读取此线程批注; 但如果在更新版本的Excel中打开文件，则对批注所作的任何改动都将被删除。了解详细信息: https://go.microsoft.com/fwlink/?linkid=870924
注释:
    未找到数据</t>
      </text>
    </comment>
    <comment ref="AB1" authorId="2" shapeId="0" xr:uid="{8BF62A43-66EA-4807-8D89-970241AA2DA8}">
      <text>
        <t>[线程批注]
你的Excel版本可读取此线程批注; 但如果在更新版本的Excel中打开文件，则对批注所作的任何改动都将被删除。了解详细信息: https://go.microsoft.com/fwlink/?linkid=870924
注释:
    未找到数据
答复:
    Comparable lease income in 10-Q</t>
      </text>
    </comment>
    <comment ref="AB116" authorId="3" shapeId="0" xr:uid="{2DE5C593-8A5A-4E7B-8634-B3B0B711A35C}">
      <text>
        <t>[线程批注]
你的Excel版本可读取此线程批注; 但如果在更新版本的Excel中打开文件，则对批注所作的任何改动都将被删除。了解详细信息: https://go.microsoft.com/fwlink/?linkid=870924
注释:
    Mall sales for the third quarter were up 11%, compared to third quarter 2019, up 43% year-over-year</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tc={CE59FEBD-7207-4C34-B9EB-16B13E5B63ED}</author>
  </authors>
  <commentList>
    <comment ref="N2" authorId="0" shapeId="0" xr:uid="{CE59FEBD-7207-4C34-B9EB-16B13E5B63ED}">
      <text>
        <t>[线程批注]
你的Excel版本可读取此线程批注; 但如果在更新版本的Excel中打开文件，则对批注所作的任何改动都将被删除。了解详细信息: https://go.microsoft.com/fwlink/?linkid=870924
注释:
    Diluted FFO per share (actual)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<sst xmlns="http://schemas.openxmlformats.org/spreadsheetml/2006/main" count="7464" uniqueCount="1336">
  <si>
    <t>1993 FY</t>
  </si>
  <si>
    <t>1994 FY</t>
  </si>
  <si>
    <t>1995 FY</t>
  </si>
  <si>
    <t>1996 FY</t>
  </si>
  <si>
    <t>1997 FY</t>
  </si>
  <si>
    <t>1998 FY</t>
  </si>
  <si>
    <t>1999 FY</t>
  </si>
  <si>
    <t>2000 FY</t>
  </si>
  <si>
    <t>2001 FY</t>
  </si>
  <si>
    <t>2002 FY</t>
  </si>
  <si>
    <t>2003 FY</t>
  </si>
  <si>
    <t>2004 FY</t>
  </si>
  <si>
    <t>2005 FY</t>
  </si>
  <si>
    <t>2006 FY</t>
  </si>
  <si>
    <t>2007 FY</t>
  </si>
  <si>
    <t>2008 FY</t>
  </si>
  <si>
    <t>2009 FY</t>
  </si>
  <si>
    <t>2010 FY</t>
  </si>
  <si>
    <t>2011 FY</t>
  </si>
  <si>
    <t>2012 FY</t>
  </si>
  <si>
    <t>2013 FY</t>
  </si>
  <si>
    <t>2014 FY</t>
  </si>
  <si>
    <t>2015 FY</t>
  </si>
  <si>
    <t>2016 FY</t>
  </si>
  <si>
    <t>2017 FY</t>
  </si>
  <si>
    <t>2018 FY</t>
  </si>
  <si>
    <t>2019 FY</t>
  </si>
  <si>
    <t>2020 FY</t>
  </si>
  <si>
    <t>2021 FY</t>
  </si>
  <si>
    <t>2022 FY</t>
  </si>
  <si>
    <t xml:space="preserve"> </t>
  </si>
  <si>
    <t>Current/Restated</t>
  </si>
  <si>
    <t>Fiscal Period Ended</t>
  </si>
  <si>
    <t>Period Restated?</t>
  </si>
  <si>
    <t>No</t>
  </si>
  <si>
    <t>Yes</t>
  </si>
  <si>
    <t>Restatement Date</t>
  </si>
  <si>
    <t>NA</t>
  </si>
  <si>
    <t>Accounting Principle</t>
  </si>
  <si>
    <t>U.S. GAAP</t>
  </si>
  <si>
    <t>Financials Reported Currency Code</t>
  </si>
  <si>
    <t>USD</t>
  </si>
  <si>
    <t>Balance Sheet ($000)</t>
  </si>
  <si>
    <t>Gross Depreciable Property</t>
  </si>
  <si>
    <t>CAGR</t>
  </si>
  <si>
    <t>Net Property Investment</t>
  </si>
  <si>
    <t>Finance Leases</t>
  </si>
  <si>
    <t>Property Held for Sale: Nondepreciable</t>
  </si>
  <si>
    <t>Construction in Progress</t>
  </si>
  <si>
    <t>Mortgage Loans</t>
  </si>
  <si>
    <t>Senior Secured Debt</t>
  </si>
  <si>
    <t>Obligations Under Leases</t>
  </si>
  <si>
    <t>Senior Unsecured Debt</t>
  </si>
  <si>
    <t>Total Subordinated Debt</t>
  </si>
  <si>
    <t>Total Debt</t>
  </si>
  <si>
    <t>Total Liabilities</t>
  </si>
  <si>
    <t>Equity Attributable to Parent Company</t>
  </si>
  <si>
    <t>Noncontrolling Interests</t>
  </si>
  <si>
    <t>Total Equity</t>
  </si>
  <si>
    <t>Market Capitalization ($000)</t>
  </si>
  <si>
    <t>Implied Market Cap ($000)</t>
  </si>
  <si>
    <t>Total Capitalization ($000)</t>
  </si>
  <si>
    <t>Total Enterprise Value ($000)</t>
  </si>
  <si>
    <t>Total Enterprise Value Plus JV Debt ($000)</t>
  </si>
  <si>
    <t>Income Statement ($000)</t>
  </si>
  <si>
    <t>Rental Revenue</t>
  </si>
  <si>
    <t>yoy</t>
  </si>
  <si>
    <t>Rental Net Operating Income</t>
  </si>
  <si>
    <t xml:space="preserve">NOI </t>
  </si>
  <si>
    <t>Gain on Sale of Real Estate</t>
  </si>
  <si>
    <t>Interest Expense</t>
  </si>
  <si>
    <t>Total Revenue</t>
  </si>
  <si>
    <t>Total Expenses</t>
  </si>
  <si>
    <t>Extraordinary Items</t>
  </si>
  <si>
    <t>Net Income</t>
  </si>
  <si>
    <t>Net Income Attributable to Noncontrolling Int</t>
  </si>
  <si>
    <t>Net Income Attributable to Parent</t>
  </si>
  <si>
    <t>Net Income Avail to Common</t>
  </si>
  <si>
    <t>FFO</t>
  </si>
  <si>
    <t>Operating Funds from Operations, as Reported</t>
  </si>
  <si>
    <t>Adjusted FFO</t>
  </si>
  <si>
    <t>Modified FFO</t>
  </si>
  <si>
    <t>CF Statement ($000)</t>
  </si>
  <si>
    <t>Operating Activities ($000)</t>
  </si>
  <si>
    <t>Net Income - CF</t>
  </si>
  <si>
    <t>Depreciation &amp; Amort.</t>
  </si>
  <si>
    <t>Amort. of Goodwill and Intangibles</t>
  </si>
  <si>
    <t xml:space="preserve">        Depreciation &amp; Amort., Total</t>
  </si>
  <si>
    <t>Other Amortization</t>
  </si>
  <si>
    <t>Minority Int. in Earnings</t>
  </si>
  <si>
    <t>(Gain) Loss From Sale Of Assets</t>
  </si>
  <si>
    <t>Loss On Sale Of Investment</t>
  </si>
  <si>
    <t>Asset Writedown &amp; Restructuring Costs</t>
  </si>
  <si>
    <t>Loss on Equity Investment</t>
  </si>
  <si>
    <t>Net Cash From Discontinued Ops.</t>
  </si>
  <si>
    <t>Other Operating Activities</t>
  </si>
  <si>
    <t>Change in Acc. Receivable</t>
  </si>
  <si>
    <t>Change in Acc. Payable</t>
  </si>
  <si>
    <t>Change in Other Net Operating Assets</t>
  </si>
  <si>
    <t xml:space="preserve">        Cash from Ops.</t>
  </si>
  <si>
    <t>Investing Activity ($000)</t>
  </si>
  <si>
    <t>Capital Expenditure</t>
  </si>
  <si>
    <t>Sale of Property, Plant and Equipment</t>
  </si>
  <si>
    <t>Cash Acquisitions</t>
  </si>
  <si>
    <t>Divestitures</t>
  </si>
  <si>
    <t>Invest. in Marketable &amp; Equity Securt.</t>
  </si>
  <si>
    <t>Net (Inc.) Dec. in Loans Orig/Sold: Investing</t>
  </si>
  <si>
    <t>Other Investing Activities</t>
  </si>
  <si>
    <t xml:space="preserve">        Cash from Investing</t>
  </si>
  <si>
    <t>Financing Activity ($000)</t>
  </si>
  <si>
    <t>Long-Term Debt Issued</t>
  </si>
  <si>
    <t xml:space="preserve">        Total Debt Issued</t>
  </si>
  <si>
    <t>Long-Term Debt Repaid</t>
  </si>
  <si>
    <t xml:space="preserve">        Total Debt Repaid</t>
  </si>
  <si>
    <t>Issuance of Common Stock</t>
  </si>
  <si>
    <t>Repurchase of Common Stock</t>
  </si>
  <si>
    <t>Repurchase of Preferred Stock</t>
  </si>
  <si>
    <t>Common Dividends Paid</t>
  </si>
  <si>
    <t>Pref. Dividends Paid</t>
  </si>
  <si>
    <t>Common and/or Pref. Dividends Paid</t>
  </si>
  <si>
    <t xml:space="preserve">        Total Dividends Paid</t>
  </si>
  <si>
    <t>Special Dividend Paid</t>
  </si>
  <si>
    <t>Other Financing Activities</t>
  </si>
  <si>
    <t xml:space="preserve">        Cash from Financing</t>
  </si>
  <si>
    <t>Other Cash Flow ($000)</t>
  </si>
  <si>
    <t xml:space="preserve">        Net Change in Cash</t>
  </si>
  <si>
    <t>Supplemental Items ($000)</t>
  </si>
  <si>
    <t>Cash Interest Paid</t>
  </si>
  <si>
    <t>Levered Free Cash Flow</t>
  </si>
  <si>
    <t>Unlevered Free Cash Flow</t>
  </si>
  <si>
    <t>Change in Net Working Capital</t>
  </si>
  <si>
    <t>Net Debt Issued</t>
  </si>
  <si>
    <t>Net Cash From Discontinued Ops. - Investing</t>
  </si>
  <si>
    <t>CIQ Restatement Type Code</t>
  </si>
  <si>
    <t>RS</t>
  </si>
  <si>
    <t>NCA</t>
  </si>
  <si>
    <t>NC</t>
  </si>
  <si>
    <t>RSA</t>
  </si>
  <si>
    <t>RD</t>
  </si>
  <si>
    <t>O</t>
  </si>
  <si>
    <t>CIQ Calculation Type Code</t>
  </si>
  <si>
    <t>REP</t>
  </si>
  <si>
    <t>Financial Analysis</t>
  </si>
  <si>
    <t>ROAA (%)</t>
  </si>
  <si>
    <t>ROAE (%)</t>
  </si>
  <si>
    <t>Implied Capitalization Rate (%)</t>
  </si>
  <si>
    <t>Dividend Payout Ratio (%)</t>
  </si>
  <si>
    <t>NM</t>
  </si>
  <si>
    <t>Dividend Yield (%)</t>
  </si>
  <si>
    <t>FFO Payout (%)</t>
  </si>
  <si>
    <t>FFO/ Total Revenue (%)</t>
  </si>
  <si>
    <t>Price/ LTM FFO (x)</t>
  </si>
  <si>
    <t>Price/ LTM AFFO (x)</t>
  </si>
  <si>
    <t>Price/ Last-twelve-months EPS (x)</t>
  </si>
  <si>
    <t>Recurring EBITDA/ Interest Expense (x)</t>
  </si>
  <si>
    <t>Recurring EBITDA/ Interest Expense + Pref. Div. (x)</t>
  </si>
  <si>
    <t>Debt and Preferred/ TEV (%)</t>
  </si>
  <si>
    <t>Total Debt/ Gross Properties (%)</t>
  </si>
  <si>
    <t>Loans/ Assets (%)</t>
  </si>
  <si>
    <t>Credit Lines Drawn/ Available (%)</t>
  </si>
  <si>
    <t>Changes and Trends (%)</t>
  </si>
  <si>
    <t>Same-store NOI: Change</t>
  </si>
  <si>
    <t>Same-store Revenue: Change from Prior</t>
  </si>
  <si>
    <t>FFO Growth</t>
  </si>
  <si>
    <t>FFO/Share Growth</t>
  </si>
  <si>
    <t>EPS Growth, before Extraordinary</t>
  </si>
  <si>
    <t>Real Estate Investment Growth</t>
  </si>
  <si>
    <t>Per Share Information (actual)</t>
  </si>
  <si>
    <t>Common Shares Outstanding</t>
  </si>
  <si>
    <t>Price per share at period end</t>
  </si>
  <si>
    <t>Basic EPS before Extra</t>
  </si>
  <si>
    <t>Diluted EPS before Extra</t>
  </si>
  <si>
    <t>FFO/ Share</t>
  </si>
  <si>
    <t>Operating FFO per Share, as Reported</t>
  </si>
  <si>
    <t>AFFO per Share</t>
  </si>
  <si>
    <t>Modified FFO per Share</t>
  </si>
  <si>
    <t>Common Dividends Declared per Share</t>
  </si>
  <si>
    <t>CAGR 10</t>
  </si>
  <si>
    <t>NAV per Share, as Reported</t>
  </si>
  <si>
    <t>Debt Maturity Schedule ($000)</t>
  </si>
  <si>
    <t>Debt Maturing: Current FY</t>
  </si>
  <si>
    <t>Debt Maturing: Next FY</t>
  </si>
  <si>
    <t>Debt Maturing: FY2</t>
  </si>
  <si>
    <t>Debt Maturing: FY3</t>
  </si>
  <si>
    <t>Debt Maturing: FY4</t>
  </si>
  <si>
    <t>Debt Maturing: Thereafter</t>
  </si>
  <si>
    <t>Principal Payments Schedule ($000)</t>
  </si>
  <si>
    <t>Debt Due this Fiscal Year</t>
  </si>
  <si>
    <t>Debt Due during Next Fiscal Year</t>
  </si>
  <si>
    <t>Debt Due during Second Fiscal Year</t>
  </si>
  <si>
    <t>Debt Due during Third Fiscal Year</t>
  </si>
  <si>
    <t>Debt Due during Fourth Fiscal Year</t>
  </si>
  <si>
    <t>Debt Due Thereafter</t>
  </si>
  <si>
    <t>Adjustments to Debt Principal Schedule</t>
  </si>
  <si>
    <t>Liqudity</t>
  </si>
  <si>
    <t>Cash flow from operation/debt muturing</t>
  </si>
  <si>
    <t>Operating metrics</t>
  </si>
  <si>
    <t>US malls and Premium Outlets</t>
  </si>
  <si>
    <t>NOI as in total%(US Malls and Outlets)</t>
  </si>
  <si>
    <t>NOI</t>
  </si>
  <si>
    <t>Number of properties(US Malls and Outlets)</t>
  </si>
  <si>
    <t>Total Square Footage of Properties in millions(US Malls and Outlets)</t>
  </si>
  <si>
    <t>Ending Occupancy</t>
  </si>
  <si>
    <t>Base Minimum Rent PSF</t>
  </si>
  <si>
    <t>Total sales PSF</t>
  </si>
  <si>
    <t>ND</t>
  </si>
  <si>
    <t>Implied Rent PSF</t>
  </si>
  <si>
    <t>Rental income/actual rented area</t>
  </si>
  <si>
    <t>Occupancy Cost As Percentage Sales</t>
  </si>
  <si>
    <t>US Mills</t>
  </si>
  <si>
    <t>NOI as in total%</t>
  </si>
  <si>
    <t>number of properties</t>
  </si>
  <si>
    <t>Total Square Footage of Properties in millions</t>
  </si>
  <si>
    <t>Base Minimum Rent</t>
  </si>
  <si>
    <t>International Proterties</t>
  </si>
  <si>
    <t>NOI as in total%(International Properties)</t>
  </si>
  <si>
    <t>Number of properties</t>
  </si>
  <si>
    <t>Average  rent  per  square  foot</t>
  </si>
  <si>
    <t xml:space="preserve">€ 25.72 </t>
  </si>
  <si>
    <t>Number of properties(International Properties)</t>
  </si>
  <si>
    <t xml:space="preserve">JPY 4,512 </t>
  </si>
  <si>
    <t xml:space="preserve">JPY 4,646 </t>
  </si>
  <si>
    <t xml:space="preserve"> JPY 84,792</t>
  </si>
  <si>
    <t>JPY 89,239</t>
  </si>
  <si>
    <t>Community/Lifestyle  Centers(5)</t>
  </si>
  <si>
    <t>total Square Footage of Properties</t>
  </si>
  <si>
    <t>others</t>
  </si>
  <si>
    <t>NOI(%)</t>
  </si>
  <si>
    <t>S&amp;P Global Market Intelligence uses a variety of sources to retrieve financial information for each company we cover. For Real Estate, Homebuilder and Gaming companies, S&amp;P Global Market Intelligence mines data from documents filed by the company, surveys, and other sources of public information.</t>
  </si>
  <si>
    <t>Simon Property Group, Inc. | Financial Highlights</t>
  </si>
  <si>
    <t>NYSE:SPG, BOVESPA:SIMN34 (MI KEY: 103117; SPCIQ KEY: 34378)</t>
  </si>
  <si>
    <t>Source: SNL Financial</t>
  </si>
  <si>
    <t>Periods: Custom</t>
  </si>
  <si>
    <t>Magnitude: Thousands (K)</t>
  </si>
  <si>
    <t>Native Currency: USD</t>
  </si>
  <si>
    <t>Current Currency: Reported Currency</t>
  </si>
  <si>
    <t>2016A</t>
  </si>
  <si>
    <t>2017A</t>
  </si>
  <si>
    <t>2018A</t>
  </si>
  <si>
    <t>2019A</t>
  </si>
  <si>
    <t>2020A</t>
  </si>
  <si>
    <t>2021A</t>
  </si>
  <si>
    <t>2022E</t>
  </si>
  <si>
    <t>2023E</t>
  </si>
  <si>
    <t>2024E</t>
  </si>
  <si>
    <t>2025E</t>
  </si>
  <si>
    <t>US Malls and Premium Outlets</t>
  </si>
  <si>
    <t>1h20 dropped to 138; continous decline</t>
  </si>
  <si>
    <t>Ending Occupancy(US Malls and Outlets)</t>
  </si>
  <si>
    <t>2020 bottom</t>
  </si>
  <si>
    <t>Base Minimum Rent PSF(US Malls and Premium Outlets)</t>
  </si>
  <si>
    <t>Total sales PSF(US Malls and Premium Outlets)</t>
  </si>
  <si>
    <t>2020 bottom; changed to 2021 bottom due to fall of base rent in 2021</t>
  </si>
  <si>
    <t>Occupancy Cost As Percentage Sales(US Malls and Premium Outlets)</t>
  </si>
  <si>
    <t>Implied Space Occupied by Anchors</t>
  </si>
  <si>
    <t>Total Square Footage of Properties in millions(US Mills)</t>
  </si>
  <si>
    <t>1h20 dropped</t>
  </si>
  <si>
    <t>Ending Occupancy(US Mills)</t>
  </si>
  <si>
    <t>2020 bottom; reduced to 0.5% due to 97.8% at Q3</t>
  </si>
  <si>
    <t>total Square Footage of Properties in millions</t>
  </si>
  <si>
    <t>in growth</t>
  </si>
  <si>
    <t>stable</t>
  </si>
  <si>
    <t>Reported Rental income(000)</t>
  </si>
  <si>
    <t>Model Income+Adj</t>
  </si>
  <si>
    <t>Adjustment</t>
  </si>
  <si>
    <t>balance item</t>
  </si>
  <si>
    <t>Implied Rental income(000)</t>
  </si>
  <si>
    <t>from above model</t>
  </si>
  <si>
    <t>Growth (reported rental income)</t>
  </si>
  <si>
    <t>[Company] Financial Forecast</t>
  </si>
  <si>
    <t>ver. 1.0</t>
  </si>
  <si>
    <t>CQ + 4</t>
  </si>
  <si>
    <t>$ Thousands</t>
  </si>
  <si>
    <t>Actual</t>
  </si>
  <si>
    <t>Forecast</t>
  </si>
  <si>
    <t>Income Statement</t>
  </si>
  <si>
    <t>Assumptions:</t>
  </si>
  <si>
    <t>Revenue</t>
  </si>
  <si>
    <t>Revenue Y/Y growth</t>
  </si>
  <si>
    <t>Lease income</t>
  </si>
  <si>
    <t>from growth model</t>
  </si>
  <si>
    <t>Management fee &amp;etc</t>
  </si>
  <si>
    <t>Other income</t>
  </si>
  <si>
    <t>-</t>
  </si>
  <si>
    <t>Other Revenue</t>
  </si>
  <si>
    <t>Other/Manual Adjustments</t>
  </si>
  <si>
    <t>($)</t>
  </si>
  <si>
    <t>COGS</t>
  </si>
  <si>
    <t>COGS %</t>
  </si>
  <si>
    <t>Property operating</t>
  </si>
  <si>
    <t>1h20 quite down</t>
  </si>
  <si>
    <t>Real estate tax</t>
  </si>
  <si>
    <t>1h20 is mostly unchanged</t>
  </si>
  <si>
    <t xml:space="preserve">Repairs and maintenance </t>
  </si>
  <si>
    <t>Implementation</t>
  </si>
  <si>
    <t>Fixed</t>
  </si>
  <si>
    <t>Gross profit</t>
  </si>
  <si>
    <t>GM %</t>
  </si>
  <si>
    <t>Operating expense</t>
  </si>
  <si>
    <t>OpEx %</t>
  </si>
  <si>
    <t>Selling General &amp; Admin Exp.</t>
  </si>
  <si>
    <t>MA3</t>
  </si>
  <si>
    <t>2021 flat given rising rev, offset by increasing acquired properties; 22-23 gradually back to 18-19 normal with 0.95 coefficent</t>
  </si>
  <si>
    <t>R&amp;D</t>
  </si>
  <si>
    <t>Other</t>
  </si>
  <si>
    <t>1h20 flat; MA3 from 2022</t>
  </si>
  <si>
    <t>Manual Adjustments</t>
  </si>
  <si>
    <t>Operating income</t>
  </si>
  <si>
    <t>OI %</t>
  </si>
  <si>
    <t>Other income/(expense), net</t>
  </si>
  <si>
    <t>equity income from TRG and brands contributed 3.6m in 1h20 and 783m for 2021, with book value at equity of 8b</t>
  </si>
  <si>
    <t>Pre-tax income</t>
  </si>
  <si>
    <t>Pre-tax margin</t>
  </si>
  <si>
    <t>Tax expense</t>
  </si>
  <si>
    <t>Tax rate %</t>
  </si>
  <si>
    <t>rise due to brands investment</t>
  </si>
  <si>
    <t>Minority interest+Prefered share dividend</t>
  </si>
  <si>
    <t>1h20 down 1/3</t>
  </si>
  <si>
    <t>Net income attr. To owner</t>
  </si>
  <si>
    <t>Net margin</t>
  </si>
  <si>
    <t>Balance Sheet</t>
  </si>
  <si>
    <t>Cash, equivalents, &amp; securities</t>
  </si>
  <si>
    <t>From CF</t>
  </si>
  <si>
    <t>Accounts receivable</t>
  </si>
  <si>
    <t>PQ * seq. revenue growth</t>
  </si>
  <si>
    <t xml:space="preserve"> 21-23 in decline to 18-19 normal with 0.8 cofficient;from 22 normalize</t>
  </si>
  <si>
    <t>Inventory</t>
  </si>
  <si>
    <t>PQ * seq. COGS growth</t>
  </si>
  <si>
    <t>Other current assets</t>
  </si>
  <si>
    <t>PQ * seq. OpEx growth</t>
  </si>
  <si>
    <t>Total current assets</t>
  </si>
  <si>
    <t>PP&amp;E, net</t>
  </si>
  <si>
    <t>PQ - depreciation - CapEx</t>
  </si>
  <si>
    <t>Software development, net</t>
  </si>
  <si>
    <t>PQ - SW amortization - SW development</t>
  </si>
  <si>
    <t>Goodwill</t>
  </si>
  <si>
    <t>PQ</t>
  </si>
  <si>
    <t>Intangible assets</t>
  </si>
  <si>
    <t>PQ - amortization of intangibles</t>
  </si>
  <si>
    <t>Other assets</t>
  </si>
  <si>
    <t>Investment in equity interests</t>
  </si>
  <si>
    <t>Total assets</t>
  </si>
  <si>
    <t>Accounts payable</t>
  </si>
  <si>
    <t>Debt due within 1 year</t>
  </si>
  <si>
    <t>Other current liabilities</t>
  </si>
  <si>
    <t>Total current liabilities</t>
  </si>
  <si>
    <t>Long-term debt</t>
  </si>
  <si>
    <t>1h20 25bil and 4.9bil available credit;2021 down from 28/25 due to excessive cash</t>
  </si>
  <si>
    <t>Other liabilities</t>
  </si>
  <si>
    <t>PQ + change in other assets</t>
  </si>
  <si>
    <t>Total liabilities</t>
  </si>
  <si>
    <t>Common stock &amp; add'tl PIC</t>
  </si>
  <si>
    <t>PQ + SBC</t>
  </si>
  <si>
    <t>Treasury shares</t>
  </si>
  <si>
    <r>
      <t xml:space="preserve">PQ + </t>
    </r>
    <r>
      <rPr>
        <i/>
        <sz val="11"/>
        <color rgb="FFFF0000"/>
        <rFont val="Calibri (Body)"/>
      </rPr>
      <t>other items/2</t>
    </r>
  </si>
  <si>
    <t>Retained earnings</t>
  </si>
  <si>
    <r>
      <t>PQ + NI+</t>
    </r>
    <r>
      <rPr>
        <i/>
        <sz val="11"/>
        <color rgb="FFFF0000"/>
        <rFont val="Calibri (Body)"/>
      </rPr>
      <t>distribution to shareholders</t>
    </r>
  </si>
  <si>
    <t>Prefered shares &amp; minority</t>
  </si>
  <si>
    <r>
      <t xml:space="preserve">PQ + </t>
    </r>
    <r>
      <rPr>
        <i/>
        <sz val="11"/>
        <color rgb="FFFF0000"/>
        <rFont val="Calibri (Body)"/>
      </rPr>
      <t>Net settlement to minorities and prefered</t>
    </r>
  </si>
  <si>
    <t>Accum. other comp. (loss) income</t>
  </si>
  <si>
    <r>
      <t>PQ+</t>
    </r>
    <r>
      <rPr>
        <i/>
        <sz val="11"/>
        <color rgb="FFFF0000"/>
        <rFont val="Calibri (Body)"/>
      </rPr>
      <t>other items/2</t>
    </r>
  </si>
  <si>
    <t>Total shareholders’ equity</t>
  </si>
  <si>
    <t>Total liabilities and shareholders’ equity</t>
  </si>
  <si>
    <t>Cash Flow Statement</t>
  </si>
  <si>
    <t>Net income</t>
  </si>
  <si>
    <t>D&amp;A % of revenue</t>
  </si>
  <si>
    <t>2021 remodelled; 21-23 in decline to 18-19 normal with 0.95 cofficient</t>
  </si>
  <si>
    <t>Amortization of intangibles</t>
  </si>
  <si>
    <t>Amortized software development</t>
  </si>
  <si>
    <t>Amt. of software %</t>
  </si>
  <si>
    <t>D&amp;A</t>
  </si>
  <si>
    <t>Change in B/S</t>
  </si>
  <si>
    <t>Gain/Loss on Equity Investment</t>
  </si>
  <si>
    <t>Strait-line rent</t>
  </si>
  <si>
    <t>Accounted for in other assets</t>
  </si>
  <si>
    <t>Stock-based compensation</t>
  </si>
  <si>
    <t>SBC</t>
  </si>
  <si>
    <t>(Gain) Loss From Sale Of Assets or Inves.</t>
  </si>
  <si>
    <t>Other items or adj.</t>
  </si>
  <si>
    <t>Other items</t>
  </si>
  <si>
    <t>Cash from operating activities</t>
  </si>
  <si>
    <t>Purchases of PP&amp;E</t>
  </si>
  <si>
    <t>Capex % of revenue</t>
  </si>
  <si>
    <t>1h down 1/3</t>
  </si>
  <si>
    <t>Software development</t>
  </si>
  <si>
    <t>Cap. Software %</t>
  </si>
  <si>
    <t>Business acq. &amp; equity inv.</t>
  </si>
  <si>
    <t>investment philosiphy</t>
  </si>
  <si>
    <t>Cash from investing activities</t>
  </si>
  <si>
    <t>Borrowings (repayments) of LTD, net</t>
  </si>
  <si>
    <r>
      <t xml:space="preserve">Change in B/S: </t>
    </r>
    <r>
      <rPr>
        <i/>
        <sz val="11"/>
        <color rgb="FFFF0000"/>
        <rFont val="Calibri (Body)"/>
      </rPr>
      <t>LT+ST</t>
    </r>
  </si>
  <si>
    <t>Distributions to stockholders and preferred dividends</t>
  </si>
  <si>
    <t>return normal in 2022;down from 2/2.3;q2 21 updated 2021 from 1.5b to 2b due to dividend surprise; raised by 5% from 2022 due to beat;lowed to 3% due to q2 miss</t>
  </si>
  <si>
    <t>Net settlement to minorities and prefered</t>
  </si>
  <si>
    <t>Prefered shares &amp; minority average annual decline</t>
  </si>
  <si>
    <t>Other items(mainly repurchase and LP distri)</t>
  </si>
  <si>
    <t>dist to LP half in 1h20</t>
  </si>
  <si>
    <t>Cash from financing activities</t>
  </si>
  <si>
    <t>Effect of exch. rate changes on cash</t>
  </si>
  <si>
    <t>Net (decrease) increase in cash</t>
  </si>
  <si>
    <t>Cash and equiv. at beginning of period</t>
  </si>
  <si>
    <t>Cash and equiv. at end of period</t>
  </si>
  <si>
    <t xml:space="preserve">Income Statement - Common Size </t>
  </si>
  <si>
    <t>Gross margin %</t>
  </si>
  <si>
    <t>Operating expense %</t>
  </si>
  <si>
    <t>Operating income %</t>
  </si>
  <si>
    <t>Effective tax rate</t>
  </si>
  <si>
    <t>Net income %</t>
  </si>
  <si>
    <t>Income Statement - YoY Growth</t>
  </si>
  <si>
    <t>Minority interest</t>
  </si>
  <si>
    <t>Simplified Financial Statement</t>
  </si>
  <si>
    <t>营业收入(千美元）</t>
  </si>
  <si>
    <t>FFO（千美元）</t>
  </si>
  <si>
    <t>摊薄每股FFO（$）</t>
  </si>
  <si>
    <t>摊薄股本回报率（%）</t>
  </si>
  <si>
    <t>市盈率(P/FFO)</t>
  </si>
  <si>
    <t>FFO per share</t>
  </si>
  <si>
    <t>Dividend per share</t>
  </si>
  <si>
    <t>TP(DDM)</t>
  </si>
  <si>
    <t>Implied Rent PSF(US Mall)</t>
  </si>
  <si>
    <t>Occupancy rate (US Mall)</t>
  </si>
  <si>
    <t>Rent area(International)</t>
  </si>
  <si>
    <t>Notes</t>
  </si>
  <si>
    <t>updated growth model; increase other income due to brands and TRG investment</t>
  </si>
  <si>
    <t>international expansion miss; brands miss; TRG looks ok</t>
  </si>
  <si>
    <t>brand miss; mill occupancy rate miss</t>
  </si>
  <si>
    <t>2022F</t>
  </si>
  <si>
    <t>2023F</t>
  </si>
  <si>
    <t>2024F</t>
  </si>
  <si>
    <t>DDM</t>
  </si>
  <si>
    <t>Market Derived Capitalization Rate</t>
  </si>
  <si>
    <t>r</t>
  </si>
  <si>
    <t>terminal growth</t>
  </si>
  <si>
    <t>g</t>
  </si>
  <si>
    <t>Square</t>
  </si>
  <si>
    <t>Valuation</t>
  </si>
  <si>
    <t>D1/(r-g)</t>
  </si>
  <si>
    <t>Dividend Yield</t>
  </si>
  <si>
    <t>Accumulated Yield</t>
  </si>
  <si>
    <t>Current Price</t>
  </si>
  <si>
    <t>Accumulated Return</t>
  </si>
  <si>
    <t>Adj accum return deducting 30% dividend tax</t>
  </si>
  <si>
    <t>Multiples</t>
  </si>
  <si>
    <t>FFO per share (reported)</t>
  </si>
  <si>
    <t>P/FFO</t>
  </si>
  <si>
    <t>since 2000 ranging from 10-20</t>
  </si>
  <si>
    <t>FFO*P/FFO</t>
  </si>
  <si>
    <t>Common Shares Outstanding(shares)</t>
  </si>
  <si>
    <t>Total Dividend Payout</t>
  </si>
  <si>
    <t>Analysis</t>
  </si>
  <si>
    <t>NOI ratio</t>
  </si>
  <si>
    <t>FFO ratio</t>
  </si>
  <si>
    <t>Net income ratio</t>
  </si>
  <si>
    <t>1994-2020</t>
  </si>
  <si>
    <t>2014-2019</t>
  </si>
  <si>
    <t>Incremental Gross Depreciable Property($000)</t>
  </si>
  <si>
    <t>a</t>
  </si>
  <si>
    <t>Incremental Revenue</t>
  </si>
  <si>
    <t>Incremental FFO</t>
  </si>
  <si>
    <t>b</t>
  </si>
  <si>
    <t>ROIC</t>
  </si>
  <si>
    <t>c=b/a</t>
  </si>
  <si>
    <t>Return breakdown</t>
  </si>
  <si>
    <t>Initial Cost</t>
  </si>
  <si>
    <t>Capital Gain</t>
  </si>
  <si>
    <t xml:space="preserve">Dividend </t>
  </si>
  <si>
    <t>Total Return Rate</t>
  </si>
  <si>
    <t>Valuation Contri</t>
  </si>
  <si>
    <t>Growth breakdown</t>
  </si>
  <si>
    <t>Price%(US malls and Premium Outlets)</t>
  </si>
  <si>
    <t>Area%(US malls and Premium Outlets)</t>
  </si>
  <si>
    <t>Price%(US Mills)</t>
  </si>
  <si>
    <t>Area%(US Mills)</t>
  </si>
  <si>
    <t>US Weighted Average</t>
  </si>
  <si>
    <t>Price%</t>
  </si>
  <si>
    <t>Area%</t>
  </si>
  <si>
    <t>FFO Ratio(pct)</t>
  </si>
  <si>
    <t>Common Shares Outstanding shrink(-)</t>
  </si>
  <si>
    <t>Internationalization</t>
  </si>
  <si>
    <t>FFO/S%</t>
  </si>
  <si>
    <t>Investment</t>
  </si>
  <si>
    <t>Total Expanding in Area (mil SPF)</t>
  </si>
  <si>
    <t>d</t>
  </si>
  <si>
    <t>Total Capex</t>
  </si>
  <si>
    <t>Recurring Capex ratio</t>
  </si>
  <si>
    <t>ß</t>
  </si>
  <si>
    <t>Capex per SPF($)</t>
  </si>
  <si>
    <t>e=ß*a/d/1000</t>
  </si>
  <si>
    <t>Annual Average Same-store Growth</t>
  </si>
  <si>
    <t>f</t>
  </si>
  <si>
    <t>Organic FFO Growth</t>
  </si>
  <si>
    <t>Inorganic FFO Growth</t>
  </si>
  <si>
    <t>h=b-g</t>
  </si>
  <si>
    <t>ROIC(Organic)</t>
  </si>
  <si>
    <t>roico=g/a/ß</t>
  </si>
  <si>
    <t>ROIC(Inorganic)</t>
  </si>
  <si>
    <t>roici=h/a/ß</t>
  </si>
  <si>
    <t>Total FFO Growth</t>
  </si>
  <si>
    <t>Accumulative FFO</t>
  </si>
  <si>
    <t>af</t>
  </si>
  <si>
    <t>repeat</t>
  </si>
  <si>
    <t>Total Dividend</t>
  </si>
  <si>
    <t>td</t>
  </si>
  <si>
    <t>Total Buybacks</t>
  </si>
  <si>
    <t>tb</t>
  </si>
  <si>
    <t>Unexplained</t>
  </si>
  <si>
    <t>ue=af-td-tb-a</t>
  </si>
  <si>
    <t>Tenants</t>
  </si>
  <si>
    <t>(in thousands)</t>
  </si>
  <si>
    <t>Transalation</t>
  </si>
  <si>
    <t>As Of Date</t>
  </si>
  <si>
    <t>12/31/2006</t>
  </si>
  <si>
    <t>12/31/2007</t>
  </si>
  <si>
    <t>12/31/2008</t>
  </si>
  <si>
    <t>12/31/2009</t>
  </si>
  <si>
    <t>12/31/2010</t>
  </si>
  <si>
    <t>12/31/2011</t>
  </si>
  <si>
    <t>12/31/2012</t>
  </si>
  <si>
    <t>12/31/2013</t>
  </si>
  <si>
    <t>12/31/2014</t>
  </si>
  <si>
    <t>12/31/2015</t>
  </si>
  <si>
    <t>12/31/2016</t>
  </si>
  <si>
    <t>12/31/2017</t>
  </si>
  <si>
    <t>12/31/2018</t>
  </si>
  <si>
    <t>12/31/2019</t>
  </si>
  <si>
    <t>12/31/2020</t>
  </si>
  <si>
    <t>12/31/2021</t>
  </si>
  <si>
    <t>Source Document: S&amp;P SNL</t>
  </si>
  <si>
    <t>12/31/2007 10-K</t>
  </si>
  <si>
    <t>12/31/2008 10-K</t>
  </si>
  <si>
    <t>12/31/2009 10-K</t>
  </si>
  <si>
    <t>12/31/2010 10-K</t>
  </si>
  <si>
    <t>12/31/2011 10-K</t>
  </si>
  <si>
    <t>12/31/2012 10-K</t>
  </si>
  <si>
    <t>12/31/2013 10-K</t>
  </si>
  <si>
    <t>12/31/2014 10-K</t>
  </si>
  <si>
    <t>12/31/2015 10-K</t>
  </si>
  <si>
    <t>12/31/2016 10-K</t>
  </si>
  <si>
    <t>12/31/2017 10-K</t>
  </si>
  <si>
    <t>12/31/2018 10-K</t>
  </si>
  <si>
    <t>12/31/2019 10-K</t>
  </si>
  <si>
    <t>6/30/2020 10-Q</t>
  </si>
  <si>
    <t>12/31/2020 10-Q</t>
  </si>
  <si>
    <t>12/31/2020 10-K</t>
  </si>
  <si>
    <t>Currency Code</t>
  </si>
  <si>
    <t>ASSETS</t>
  </si>
  <si>
    <t xml:space="preserve">        Investment properties, at cost</t>
  </si>
  <si>
    <t xml:space="preserve">        Less - accumulated depreciation</t>
  </si>
  <si>
    <t xml:space="preserve">        Total</t>
  </si>
  <si>
    <t xml:space="preserve">        Cash and cash equivalents</t>
  </si>
  <si>
    <t xml:space="preserve">        Tenant receivables and accrued revenue, net</t>
  </si>
  <si>
    <t xml:space="preserve">        Investment in unconsolidated entities, at equity</t>
  </si>
  <si>
    <t xml:space="preserve">        Investment in Klépierre, at equity</t>
  </si>
  <si>
    <t>Investment in TRG, at equity</t>
  </si>
  <si>
    <t xml:space="preserve">        Right-of-use assets, net</t>
  </si>
  <si>
    <t xml:space="preserve">        Deferred costs and other assets</t>
  </si>
  <si>
    <t xml:space="preserve">        Notes receivable from related party</t>
  </si>
  <si>
    <t xml:space="preserve">        Total assets of discontinued operations</t>
  </si>
  <si>
    <t xml:space="preserve">        Total assets</t>
  </si>
  <si>
    <t>LIABILITIES</t>
  </si>
  <si>
    <t xml:space="preserve">        Mortgages and unsecured indebtedness</t>
  </si>
  <si>
    <t xml:space="preserve">        Accounts payable, accrued expenses, intangibles, and deferred revenues</t>
  </si>
  <si>
    <t xml:space="preserve">        Cash distributions and losses in unconsolidated entities, at equity</t>
  </si>
  <si>
    <t xml:space="preserve">        Dividend payable</t>
  </si>
  <si>
    <t xml:space="preserve">        Lease liabilities</t>
  </si>
  <si>
    <t xml:space="preserve">        Other liabilities</t>
  </si>
  <si>
    <t xml:space="preserve">        Total liabilities of discontinued operations</t>
  </si>
  <si>
    <t xml:space="preserve">        Total liabilities</t>
  </si>
  <si>
    <t>LIMITED PARTNERS' INTEREST IN THE OPERATING PARTNERSHIP</t>
  </si>
  <si>
    <t>Limited partners' preferred interest in the Operating Partnership and noncontrolling redeemable interests in properties</t>
  </si>
  <si>
    <t>Series I 6% convertible perpetual preferred stock</t>
  </si>
  <si>
    <t>EQUITY</t>
  </si>
  <si>
    <t xml:space="preserve">        Stockholders' Equity</t>
  </si>
  <si>
    <t xml:space="preserve">                Capital stock</t>
  </si>
  <si>
    <t xml:space="preserve">                        Series J</t>
  </si>
  <si>
    <t xml:space="preserve">                        Common stock</t>
  </si>
  <si>
    <t xml:space="preserve">                        Class B common stock</t>
  </si>
  <si>
    <t xml:space="preserve">                        Class C common stock</t>
  </si>
  <si>
    <t xml:space="preserve">                        Capital in excess of par value</t>
  </si>
  <si>
    <t xml:space="preserve">                Accumulated deficit</t>
  </si>
  <si>
    <t xml:space="preserve">                Accumulated other comprehensive loss</t>
  </si>
  <si>
    <t xml:space="preserve">                Common stock held in treasury, at cost</t>
  </si>
  <si>
    <t xml:space="preserve">                Total stockholders' equity</t>
  </si>
  <si>
    <t xml:space="preserve">        Noncontrolling interests</t>
  </si>
  <si>
    <t xml:space="preserve">        Total equity</t>
  </si>
  <si>
    <t>Total liabilities and equity</t>
  </si>
  <si>
    <t>REVENUE</t>
  </si>
  <si>
    <t xml:space="preserve">        Lease income</t>
  </si>
  <si>
    <t xml:space="preserve">        Minimum rent</t>
  </si>
  <si>
    <t xml:space="preserve">        Overage rent</t>
  </si>
  <si>
    <t xml:space="preserve">        Tenant reimbursements</t>
  </si>
  <si>
    <t xml:space="preserve">        Management fees and other revenues</t>
  </si>
  <si>
    <t xml:space="preserve">        Other income</t>
  </si>
  <si>
    <t xml:space="preserve">        Total revenue</t>
  </si>
  <si>
    <t>EXPENSES</t>
  </si>
  <si>
    <t xml:space="preserve">        Property operating</t>
  </si>
  <si>
    <t xml:space="preserve">        Depreciation and amortization</t>
  </si>
  <si>
    <t xml:space="preserve">        Real estate taxes</t>
  </si>
  <si>
    <t xml:space="preserve">        Repairs and maintenance</t>
  </si>
  <si>
    <t xml:space="preserve">        Advertising and promotion</t>
  </si>
  <si>
    <t xml:space="preserve">        Provision for credit losses</t>
  </si>
  <si>
    <t xml:space="preserve">        Home and regional office costs</t>
  </si>
  <si>
    <t xml:space="preserve">        General and administrative</t>
  </si>
  <si>
    <t xml:space="preserve">        Impairment charge</t>
  </si>
  <si>
    <t xml:space="preserve">        Transaction expenses</t>
  </si>
  <si>
    <t xml:space="preserve">        Marketable and non-marketable securities charges and realized gains, net</t>
  </si>
  <si>
    <t xml:space="preserve">        Other</t>
  </si>
  <si>
    <t xml:space="preserve">        Total operating expenses</t>
  </si>
  <si>
    <t>OPERATING INCOME BEFORE OTHER ITEMS</t>
  </si>
  <si>
    <t>Interest expense</t>
  </si>
  <si>
    <t>Loss on extinguishment of debt</t>
  </si>
  <si>
    <t>Income tax (expense) benefit of taxable REIT subsidiaries</t>
  </si>
  <si>
    <t>Income and other tax benefit (expense)</t>
  </si>
  <si>
    <t>Income from unconsolidated entities</t>
  </si>
  <si>
    <t>Impairment charge from investments in unconsolidated entities</t>
  </si>
  <si>
    <t>Unrealized gains (losses) in fair value of equity instruments</t>
  </si>
  <si>
    <t>(Loss) gain on sale or disposal of, or recovery on, assets and interests in unconsolidated entities and impairment, net</t>
  </si>
  <si>
    <t>Consolidated income from continuing operations</t>
  </si>
  <si>
    <t xml:space="preserve">Consolidated income from continuing operations </t>
  </si>
  <si>
    <t>Discontinued operations</t>
  </si>
  <si>
    <t>Loss on sale of discontinued operations</t>
  </si>
  <si>
    <t>Discontinued operations and gain on disposal</t>
  </si>
  <si>
    <t>Discontinued operations transaction expenses</t>
  </si>
  <si>
    <t>CONSOLIDATED NET INCOME</t>
  </si>
  <si>
    <t>Net income attributable to noncontrolling interests</t>
  </si>
  <si>
    <t>Preferred dividends</t>
  </si>
  <si>
    <t>NET INCOME ATTRIBUTABLE TO COMMON STOCKHOLDERS</t>
  </si>
  <si>
    <t>BASIC EARNINGS PER COMMON SHARE</t>
  </si>
  <si>
    <t xml:space="preserve">        Income from continuing operations (actual)</t>
  </si>
  <si>
    <t xml:space="preserve">        Discontinued operations (actual)</t>
  </si>
  <si>
    <t xml:space="preserve">        Net income attributable to common stockholders (actual)</t>
  </si>
  <si>
    <t>DILUTED EARNINGS PER COMMON SHARE</t>
  </si>
  <si>
    <t xml:space="preserve">        Income from continuing operations (actual) </t>
  </si>
  <si>
    <t xml:space="preserve">        Discontinued operations (actual) </t>
  </si>
  <si>
    <t xml:space="preserve">        Net income attributable to common stockholders (actual) </t>
  </si>
  <si>
    <t>BASIC AND DILUTED EARNINGS PER COMMON SHARE</t>
  </si>
  <si>
    <t xml:space="preserve">        Income from continuing operations (actual)  </t>
  </si>
  <si>
    <t xml:space="preserve">        Discontinued operations (actual)  </t>
  </si>
  <si>
    <t xml:space="preserve">        Net income attributable to common stockholders (actual)  </t>
  </si>
  <si>
    <t>Comprehensive income</t>
  </si>
  <si>
    <t xml:space="preserve">        Consolidated Net Income</t>
  </si>
  <si>
    <t xml:space="preserve">        Unrealized (loss) gain on derivative hedge agreements</t>
  </si>
  <si>
    <t xml:space="preserve">        Net (gain) loss reclassified from accumulated other comprehensive loss into earnings</t>
  </si>
  <si>
    <t xml:space="preserve">        Currency translation adjustments</t>
  </si>
  <si>
    <t xml:space="preserve">        Changes in available-for-sale securities and other</t>
  </si>
  <si>
    <t xml:space="preserve">        Comprehensive income </t>
  </si>
  <si>
    <t xml:space="preserve">        Comprehensive income attributable to noncontrolling interests</t>
  </si>
  <si>
    <t xml:space="preserve">        Comprehensive income attributable to common stockholders</t>
  </si>
  <si>
    <t>CASH FLOWS FROM OPERATING ACTIVITIES:</t>
  </si>
  <si>
    <t>Translation</t>
  </si>
  <si>
    <t>Consolidated Net Income</t>
  </si>
  <si>
    <t>Adjustments to reconcile consolidated net income to net cash provided by operating activities</t>
  </si>
  <si>
    <t>Depreciation and amortization</t>
  </si>
  <si>
    <t>Loss on debt extinguishment</t>
  </si>
  <si>
    <t>Gain on sale or disposal of, or recovery on, assets and interests in unconsolidated entities and impairment, net</t>
  </si>
  <si>
    <t>Gains on sales of marketable securities</t>
  </si>
  <si>
    <t>Unrealized losses in fair value of equity instruments</t>
  </si>
  <si>
    <t>Gain on interest in unconsolidated entity (Note 6)</t>
  </si>
  <si>
    <t>Straight-line lease income</t>
  </si>
  <si>
    <t>Equity in income of unconsolidated entities</t>
  </si>
  <si>
    <t>Distributions of income from unconsolidated entities</t>
  </si>
  <si>
    <t>Gain on sale or exchange of equity interests</t>
  </si>
  <si>
    <t>Changes in assets and liabilities</t>
  </si>
  <si>
    <t>Tenant receivables and accrued revenue, net</t>
  </si>
  <si>
    <t>Deferred costs and other assets</t>
  </si>
  <si>
    <t>Accounts payable, accrued expenses, intangibles, deferred revenues and other liabilities</t>
  </si>
  <si>
    <t>Net cash provided by operating activities</t>
  </si>
  <si>
    <t>CASH FLOWS FROM INVESTING ACTIVITIES:</t>
  </si>
  <si>
    <t> </t>
  </si>
  <si>
    <t>Acquisitions</t>
  </si>
  <si>
    <t>Funding of loans to related parties</t>
  </si>
  <si>
    <t>Proceeds on loans to related parties</t>
  </si>
  <si>
    <t>Repayments of loans to related parties</t>
  </si>
  <si>
    <t>Capital expenditures, net</t>
  </si>
  <si>
    <t>Cash impact from the consolidation of properties</t>
  </si>
  <si>
    <t>Net proceeds from sale of assets</t>
  </si>
  <si>
    <t>Investments in unconsolidated entities</t>
  </si>
  <si>
    <t>Purchase of equity instruments</t>
  </si>
  <si>
    <t>Proceeds from sales of equity instruments</t>
  </si>
  <si>
    <t>Insurance proceeds for property restoration</t>
  </si>
  <si>
    <t xml:space="preserve">Distributions of capital from unconsolidated entities and other </t>
  </si>
  <si>
    <t>Net cash used in investing activities</t>
  </si>
  <si>
    <t>CASH FLOWS FROM FINANCING ACTIVITIES:</t>
  </si>
  <si>
    <t>Proceeds from sales of common stock and other, net of transaction costs</t>
  </si>
  <si>
    <t>Purchase of shares related to stock grant recipients' tax withholdings</t>
  </si>
  <si>
    <t>Redemption of limited partner units</t>
  </si>
  <si>
    <t>Purchase of treasury stock</t>
  </si>
  <si>
    <t>Proceeds from the special purpose acquisition company IPO, net of transaction costs</t>
  </si>
  <si>
    <t>Establishment of trust account for special purpose acquisition company</t>
  </si>
  <si>
    <t>Distributions to noncontrolling interest holders in properties</t>
  </si>
  <si>
    <t>Contributions from noncontrolling interest holders in properties</t>
  </si>
  <si>
    <t>Preferred distributions of the Operating Partnership</t>
  </si>
  <si>
    <t>Distributions to limited partners</t>
  </si>
  <si>
    <t>Cash paid to extinguish debt</t>
  </si>
  <si>
    <t>Proceeds from issuance of debt, net of transaction costs</t>
  </si>
  <si>
    <t>Repayments of debt</t>
  </si>
  <si>
    <t>Net cash used in financing activities</t>
  </si>
  <si>
    <t>Net cash provided by (used in) provided by financing activities</t>
  </si>
  <si>
    <t>INCREASE (DECREASE) IN CASH AND CASH EQUIVALENTS</t>
  </si>
  <si>
    <t>CASH AND CASH EQUIVALENTS, beginning of period</t>
  </si>
  <si>
    <t>CASH AND CASH EQUIVALENTS, end of period</t>
  </si>
  <si>
    <t>1,482,30</t>
  </si>
  <si>
    <t>Q4</t>
  </si>
  <si>
    <t>Q1</t>
  </si>
  <si>
    <t>Q2</t>
  </si>
  <si>
    <t>Q3</t>
  </si>
  <si>
    <t>19Q4-20Q3应收账款</t>
  </si>
  <si>
    <t>########</t>
  </si>
  <si>
    <t>20Q4-21Q3应收账款</t>
  </si>
  <si>
    <t>20-21环比（右例）</t>
  </si>
  <si>
    <t>2020 FQ2 YTD</t>
  </si>
  <si>
    <t>Period Ended</t>
  </si>
  <si>
    <t>Financial Filing Date</t>
  </si>
  <si>
    <t>Reported Currency Code</t>
  </si>
  <si>
    <t>($000)</t>
  </si>
  <si>
    <t>Gain on Sale Of Assets (Rev)</t>
  </si>
  <si>
    <t>Gain on Sale Of Invest. (Rev)</t>
  </si>
  <si>
    <t>Interest And Invest. Income (Rev)</t>
  </si>
  <si>
    <t xml:space="preserve">        Total Revenue</t>
  </si>
  <si>
    <t>Cost Of Goods Sold</t>
  </si>
  <si>
    <t xml:space="preserve">        Gross Profit</t>
  </si>
  <si>
    <t>Other Operating Expense</t>
  </si>
  <si>
    <t xml:space="preserve">        Other Operating Exp., Total</t>
  </si>
  <si>
    <t xml:space="preserve">        Operating Income</t>
  </si>
  <si>
    <t xml:space="preserve">        Net Interest Exp.</t>
  </si>
  <si>
    <t>Income from Affiliates</t>
  </si>
  <si>
    <t xml:space="preserve">        EBT Excl Unusual Items</t>
  </si>
  <si>
    <t>Merger &amp; Related Restruct. Charges</t>
  </si>
  <si>
    <t>Impairment of Goodwill</t>
  </si>
  <si>
    <t>Gain (Loss) On Sale Of Invest.</t>
  </si>
  <si>
    <t>Gain (Loss) On Sale Of Assets</t>
  </si>
  <si>
    <t>Asset Writedown</t>
  </si>
  <si>
    <t>Insurance Settlements</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</si>
  <si>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</si>
  <si>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</si>
  <si>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</si>
  <si>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</si>
  <si>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</si>
  <si>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</si>
  <si>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</si>
  <si>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</si>
  <si>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 xml:space="preserve">        Net Income</t>
  </si>
  <si>
    <t>Pref. Dividends and Other Adj.</t>
  </si>
  <si>
    <t xml:space="preserve">        NI to Common Incl Extra Items</t>
  </si>
  <si>
    <t xml:space="preserve">        NI to Common Excl. Extra Items</t>
  </si>
  <si>
    <t>Per Share Items ($)</t>
  </si>
  <si>
    <t>Basic EPS</t>
  </si>
  <si>
    <t>Basic EPS Excl. Extra Items</t>
  </si>
  <si>
    <t>Weighted Avg. Basic Shares Out. (actual)</t>
  </si>
  <si>
    <t>Diluted EPS Incl. Extra Items</t>
  </si>
  <si>
    <t>Diluted EPS Excl. Extra Items</t>
  </si>
  <si>
    <t>Weighted Avg. Diluted Shares Out. (actual)</t>
  </si>
  <si>
    <t>Normalized Basic EPS</t>
  </si>
  <si>
    <t>Normalized Diluted EPS</t>
  </si>
  <si>
    <t>Dividends per Share</t>
  </si>
  <si>
    <t>Payout Ratio (%)</t>
  </si>
  <si>
    <t>Shares per Depositary Receipt (actual)</t>
  </si>
  <si>
    <t>EBITDA</t>
  </si>
  <si>
    <t>EBITA</t>
  </si>
  <si>
    <t>EBIT</t>
  </si>
  <si>
    <t>EBITDAR</t>
  </si>
  <si>
    <t>As Reported Total Revenue</t>
  </si>
  <si>
    <t>Effective Tax Rate (%)</t>
  </si>
  <si>
    <t>Current Domestic Taxes</t>
  </si>
  <si>
    <t>Total Current Taxes</t>
  </si>
  <si>
    <t>Normalized Net Income</t>
  </si>
  <si>
    <t>Interest on Long-Term Debt</t>
  </si>
  <si>
    <t>Supplemental Operating Expense Items ($000)</t>
  </si>
  <si>
    <t>Advertising Expense</t>
  </si>
  <si>
    <t>Selling and Marketing Expense</t>
  </si>
  <si>
    <t>General and Administrative Expense</t>
  </si>
  <si>
    <t>Net Rental Expense, Total</t>
  </si>
  <si>
    <t>Imputed Oper. Lease Interest Exp.</t>
  </si>
  <si>
    <t>Imputed Oper. Lease Depreciation</t>
  </si>
  <si>
    <t>Maintenance &amp; Repair Expenses</t>
  </si>
  <si>
    <t>Stock-Based Comp., G&amp;A Exp.</t>
  </si>
  <si>
    <t>Stock-Based Comp., Unallocated</t>
  </si>
  <si>
    <t xml:space="preserve">        Stock-Based Comp., Total</t>
  </si>
  <si>
    <t>RC</t>
  </si>
  <si>
    <t>RDA</t>
  </si>
  <si>
    <t>Options Outstanding</t>
  </si>
  <si>
    <t>Options Out. at the Begin of Period, Common Stock</t>
  </si>
  <si>
    <t>Options Granted During the Period, Common Stock</t>
  </si>
  <si>
    <t>Options Exercised During the Period, Common Stock</t>
  </si>
  <si>
    <t>Options Cancelled During the Period, Common Stock</t>
  </si>
  <si>
    <t>Options Out. at the End of Period, Common Stock</t>
  </si>
  <si>
    <t>Options Wtd Avg Strike Price of Outstd, Comm Stock ($)</t>
  </si>
  <si>
    <t>Wtd Avg Strike Price of Granted, Comm Stock ($)</t>
  </si>
  <si>
    <t>Options Outstanding - All Classes</t>
  </si>
  <si>
    <t>Options Out. at the Beginning of the Period, Total</t>
  </si>
  <si>
    <t>Options Granted During the Period, Total</t>
  </si>
  <si>
    <t>Options Exercised During the Period, Total</t>
  </si>
  <si>
    <t>Options Cancelled During the Period, Total</t>
  </si>
  <si>
    <t>Options Out. at the End of the Period, Total</t>
  </si>
  <si>
    <t>Stock Based Compensation ($000)</t>
  </si>
  <si>
    <t>Restr. Stock Comp. Exp., Before Tax</t>
  </si>
  <si>
    <t>Stock Based Comp. Exp., Before Tax</t>
  </si>
  <si>
    <t>Capitalized Interest Data ($000)</t>
  </si>
  <si>
    <t>Interest Capitalized During the Period</t>
  </si>
  <si>
    <t>Interest Capitalized, Expensed</t>
  </si>
  <si>
    <t>Assets ($000)</t>
  </si>
  <si>
    <t>Cash and Equivalents</t>
  </si>
  <si>
    <t>Trading Asset Securities</t>
  </si>
  <si>
    <t xml:space="preserve">        Cash &amp; Short Term Investments</t>
  </si>
  <si>
    <t>Accounts Receivable</t>
  </si>
  <si>
    <t>Notes Receivable</t>
  </si>
  <si>
    <t xml:space="preserve">        Total Receivables</t>
  </si>
  <si>
    <t>Restricted Cash</t>
  </si>
  <si>
    <t>Other Current Assets</t>
  </si>
  <si>
    <t xml:space="preserve">        Total Current Assets</t>
  </si>
  <si>
    <t>Gross Property, Plant &amp; Equipment</t>
  </si>
  <si>
    <t>Accumulated Depreciation</t>
  </si>
  <si>
    <t xml:space="preserve">        Net Property, Plant &amp; Equipment</t>
  </si>
  <si>
    <t>Long-term Investments</t>
  </si>
  <si>
    <t>Other Intangibles</t>
  </si>
  <si>
    <t>Deferred Tax Assets, LT</t>
  </si>
  <si>
    <t>Deferred Charges, LT</t>
  </si>
  <si>
    <t>Other Long-Term Assets</t>
  </si>
  <si>
    <t>Total Assets</t>
  </si>
  <si>
    <t>Liabilities ($000)</t>
  </si>
  <si>
    <t>Accounts Payable</t>
  </si>
  <si>
    <t>Accrued Exp.</t>
  </si>
  <si>
    <t>Curr. Port. of LT Debt</t>
  </si>
  <si>
    <t>Current Portion of Leases</t>
  </si>
  <si>
    <t>Other Current Liabilities</t>
  </si>
  <si>
    <t xml:space="preserve">        Total Current Liabilities</t>
  </si>
  <si>
    <t>Long-Term Debt</t>
  </si>
  <si>
    <t>Long-Term Leases</t>
  </si>
  <si>
    <t>Unearned Revenue, Non-Current</t>
  </si>
  <si>
    <t>Def. Tax Liability, Non-Curr.</t>
  </si>
  <si>
    <t>Other Non-Current Liabilities</t>
  </si>
  <si>
    <t>Equity ($000)</t>
  </si>
  <si>
    <t>Pref. Stock, Redeemable</t>
  </si>
  <si>
    <t>Pref. Stock, Convertible</t>
  </si>
  <si>
    <t xml:space="preserve">        Total Preferred Equity</t>
  </si>
  <si>
    <t>Common Stock</t>
  </si>
  <si>
    <t>Additional Paid In Capital</t>
  </si>
  <si>
    <t>Retained Earnings</t>
  </si>
  <si>
    <t>Treasury Stock</t>
  </si>
  <si>
    <t>Comprehensive Inc. and Other</t>
  </si>
  <si>
    <t xml:space="preserve">        Total Common Equity</t>
  </si>
  <si>
    <t>Total Minority Interest</t>
  </si>
  <si>
    <t>Total Liabilities And Equity</t>
  </si>
  <si>
    <t>Supplemental Items ($)</t>
  </si>
  <si>
    <t>ECS Total Shares Outstanding on Filing Date (actual)</t>
  </si>
  <si>
    <t>ECS Total Common Shares Outstanding (actual)</t>
  </si>
  <si>
    <t>Book Value per Share</t>
  </si>
  <si>
    <t>Tangible Book Value</t>
  </si>
  <si>
    <t>Tangible Book Value per Share</t>
  </si>
  <si>
    <t>Net Debt</t>
  </si>
  <si>
    <t>Debt Equivalent Oper. Leases</t>
  </si>
  <si>
    <t>Equity Method Investments</t>
  </si>
  <si>
    <t>Land</t>
  </si>
  <si>
    <t>Buildings</t>
  </si>
  <si>
    <t>Machinery</t>
  </si>
  <si>
    <t>Full Time Employees (actual)</t>
  </si>
  <si>
    <t>Part-Time Employees (actual)</t>
  </si>
  <si>
    <t>Accumulated Allowance for Doubtful Accounts</t>
  </si>
  <si>
    <t>RCA</t>
  </si>
  <si>
    <t>RUP</t>
  </si>
  <si>
    <t>Fair Value Measurements ($000)</t>
  </si>
  <si>
    <t>Level 1 Assets - Quoted Prices</t>
  </si>
  <si>
    <t>Level 2 Assets - Observable Prices</t>
  </si>
  <si>
    <t>Fair Value of Assets</t>
  </si>
  <si>
    <t>Level 2 Liabilities - Observable Prices</t>
  </si>
  <si>
    <t>Fair Value of Liabilities</t>
  </si>
  <si>
    <t>Fair Value Change Included in Earnings</t>
  </si>
  <si>
    <t>Simon Property Group, Inc. | Cash Flow</t>
  </si>
  <si>
    <t>Source: S&amp;P Capital IQ - Standard</t>
  </si>
  <si>
    <t>CQ + 3</t>
  </si>
  <si>
    <t>1h20 down 15%,given that q1 is mostly free of covid</t>
  </si>
  <si>
    <t>1h20 flat</t>
  </si>
  <si>
    <t>2020e interest + 1mil while income from asso. Is completed gone by 4 mil</t>
  </si>
  <si>
    <t>however,ar is already 1.5 bil in 1h20,so manually add 1 bil for 2020 and reverse for 2021</t>
  </si>
  <si>
    <t>1h20 25bil and 4.9bil available credit</t>
  </si>
  <si>
    <t>Depreciation</t>
  </si>
  <si>
    <t>Depreciation % of revenue</t>
  </si>
  <si>
    <t>return normal in 2022</t>
  </si>
  <si>
    <t>Gross margin</t>
  </si>
  <si>
    <t>19Q2</t>
  </si>
  <si>
    <t>19Q3</t>
  </si>
  <si>
    <t>19Q4</t>
  </si>
  <si>
    <t>20Q1</t>
  </si>
  <si>
    <t>20Q2</t>
  </si>
  <si>
    <t>20Q3</t>
  </si>
  <si>
    <t>20Q4</t>
  </si>
  <si>
    <t>21Q1</t>
  </si>
  <si>
    <t>21Q2</t>
  </si>
  <si>
    <t>21Q3</t>
  </si>
  <si>
    <t>21Q4</t>
  </si>
  <si>
    <t>22Q1</t>
  </si>
  <si>
    <t>Minority interest+Prefered share dividend</t>
    <phoneticPr fontId="6" type="noConversion"/>
  </si>
  <si>
    <t>P&amp;L</t>
  </si>
  <si>
    <t>2018 FQ4</t>
  </si>
  <si>
    <t>2019 FQ1</t>
  </si>
  <si>
    <t>2019 FQ2</t>
  </si>
  <si>
    <t>2019 FQ3</t>
  </si>
  <si>
    <t>2019 FQ4</t>
  </si>
  <si>
    <t>2020 FQ1</t>
  </si>
  <si>
    <t>2020 FQ2</t>
  </si>
  <si>
    <t>2020 FQ3</t>
    <phoneticPr fontId="45" type="noConversion"/>
  </si>
  <si>
    <t>2020 FQ4</t>
  </si>
  <si>
    <t>2021 FQ1</t>
  </si>
  <si>
    <t>2021 FQ2</t>
  </si>
  <si>
    <t>3/31/2019</t>
  </si>
  <si>
    <t>6/30/2019</t>
  </si>
  <si>
    <t>9/30/2019</t>
  </si>
  <si>
    <t>3/31/2020</t>
  </si>
  <si>
    <t>6/30/2020</t>
  </si>
  <si>
    <t>9/30/2020</t>
    <phoneticPr fontId="45" type="noConversion"/>
  </si>
  <si>
    <t>Source Document</t>
  </si>
  <si>
    <t>12/31/2019 Financial Supplement</t>
  </si>
  <si>
    <t>3/31/2020 10-Q</t>
  </si>
  <si>
    <t>9/30/2019 10-Q</t>
  </si>
  <si>
    <t>9/30/2020 10-Q</t>
    <phoneticPr fontId="45" type="noConversion"/>
  </si>
  <si>
    <t>Bal. Sheet</t>
  </si>
  <si>
    <t>2020 FQ2</t>
    <phoneticPr fontId="45" type="noConversion"/>
  </si>
  <si>
    <t>3/31/2019 10-Q</t>
  </si>
  <si>
    <t>6/30/2019 10-Q</t>
  </si>
  <si>
    <t>3/31/2021 10-Q</t>
  </si>
  <si>
    <t>6/30/2021 10-Q</t>
  </si>
  <si>
    <t>Cash Flow</t>
  </si>
  <si>
    <t>12/31/2020</t>
    <phoneticPr fontId="45" type="noConversion"/>
  </si>
  <si>
    <t>12/31/2020 10-K</t>
    <phoneticPr fontId="45" type="noConversion"/>
  </si>
  <si>
    <t xml:space="preserve"> -   </t>
  </si>
  <si>
    <t>Unrealized losses (gains) in fair value of equity instruments</t>
  </si>
  <si>
    <t>Proceeds from sales of equity instruments</t>
  </si>
  <si>
    <t>Purchase of marketable and non-marketable securities</t>
  </si>
  <si>
    <t>Distributions of capital from unconsolidated entities and other</t>
  </si>
  <si>
    <t>Proceeds from sales of common stock, issuance of units and other, net of transaction costs</t>
  </si>
  <si>
    <t>Purchase of shares or units related to stock grant recipients' tax withholdings</t>
  </si>
  <si>
    <t>Contributions from noncontrolling interest holders in properties</t>
  </si>
  <si>
    <t>Simon Property Group, Inc. | Stock Chart</t>
  </si>
  <si>
    <t/>
  </si>
  <si>
    <t>NYSE:SPG, BOVESPA:SIMN34 (MI  Key: 103117; SPCIQ  Key: 34378)</t>
  </si>
  <si>
    <t>Entities: Simon Property Group, S&amp;P 500</t>
  </si>
  <si>
    <t>Metrics: Share Price</t>
  </si>
  <si>
    <t>SERIES NAME</t>
  </si>
  <si>
    <t>CATEGORY</t>
  </si>
  <si>
    <t>HIGH</t>
  </si>
  <si>
    <t>LOW</t>
  </si>
  <si>
    <t>AVERAGE</t>
  </si>
  <si>
    <t>CHANGE</t>
  </si>
  <si>
    <t>SPG-Share Price (Daily)</t>
  </si>
  <si>
    <t>Market Data</t>
  </si>
  <si>
    <t>S&amp;P 500-Index Value (Daily)</t>
  </si>
  <si>
    <t>Pricing Date</t>
  </si>
  <si>
    <t>SPG-Share Price (Daily)(%)</t>
  </si>
  <si>
    <t>S&amp;P 500-Index Value (Daily)(%)</t>
  </si>
  <si>
    <t>2001 Y</t>
  </si>
  <si>
    <t>2002 Y</t>
  </si>
  <si>
    <t>2003 Y</t>
  </si>
  <si>
    <t>2004 Y</t>
  </si>
  <si>
    <t>2005 Y</t>
  </si>
  <si>
    <t>2006 Y</t>
  </si>
  <si>
    <t>2007 Y</t>
  </si>
  <si>
    <t>2008 Y</t>
  </si>
  <si>
    <t>2009 Y</t>
  </si>
  <si>
    <t>2010 Y</t>
  </si>
  <si>
    <t>2011 Y</t>
  </si>
  <si>
    <t>2012 Y</t>
  </si>
  <si>
    <t>2013 Y</t>
  </si>
  <si>
    <t>2014 Y</t>
  </si>
  <si>
    <t>2015 Y</t>
  </si>
  <si>
    <t>2016 Y</t>
  </si>
  <si>
    <t>2017 Y</t>
  </si>
  <si>
    <t>2018 Y</t>
  </si>
  <si>
    <t>2019 Y</t>
  </si>
  <si>
    <t>TCO NOI: Current ($000)</t>
  </si>
  <si>
    <t>TCO NOI: Prior ($000)</t>
  </si>
  <si>
    <t xml:space="preserve">       TCO Same Store Change (%)</t>
  </si>
  <si>
    <t>SPG NOI: Current ($000)</t>
  </si>
  <si>
    <t>SPG NOI: Prior ($000)</t>
  </si>
  <si>
    <t>SPG Same Store Change (%)</t>
  </si>
  <si>
    <t>TCO Same Store Change (%)</t>
  </si>
  <si>
    <t>WPG Same Store Change(%)</t>
  </si>
  <si>
    <t>PEI Same Store Change(%)</t>
  </si>
  <si>
    <t>TCO Occupancy: Current (%)</t>
  </si>
  <si>
    <t>TCO Occupancy: Prior (%)</t>
  </si>
  <si>
    <t>SPG Occupancy: Current (%)</t>
  </si>
  <si>
    <t>WPG Occupancy: Current (%)</t>
  </si>
  <si>
    <t>PEI Occupancy: Current (%)</t>
  </si>
  <si>
    <t>\\\\\\\</t>
  </si>
  <si>
    <t>Financial Key</t>
  </si>
  <si>
    <t>Financials Restated?</t>
  </si>
  <si>
    <t>Same-Store-Operation (YoY)</t>
  </si>
  <si>
    <t>Same-Store Basis</t>
  </si>
  <si>
    <t>Cash with Joint Ventures: Partial Value</t>
  </si>
  <si>
    <t>Cash with Joint Ventures: Full Value</t>
  </si>
  <si>
    <t>NOI: Current ($000)</t>
  </si>
  <si>
    <t>NOI: Prior ($000)</t>
  </si>
  <si>
    <t xml:space="preserve">        NOI: Change (%)</t>
  </si>
  <si>
    <t>Revenue: Current ($000)</t>
  </si>
  <si>
    <t>Revenue: Prior ($000)</t>
  </si>
  <si>
    <t xml:space="preserve">        Revenue: Change (%)</t>
  </si>
  <si>
    <t>Rental Expense: Current ($000)</t>
  </si>
  <si>
    <t>Rental Expense: Prior ($000)</t>
  </si>
  <si>
    <t xml:space="preserve">        Rental Expense: Change (%)</t>
  </si>
  <si>
    <t>Rental Rate: Current ($)</t>
  </si>
  <si>
    <t>Rental Rate: Prior ($)</t>
  </si>
  <si>
    <t xml:space="preserve">        Rental Rate: Change (%)</t>
  </si>
  <si>
    <t>Occupancy: Current (%)</t>
  </si>
  <si>
    <t>Occupancy: Prior (%)</t>
  </si>
  <si>
    <t>Number of Properties (actual)</t>
  </si>
  <si>
    <t>Dwelling Units (actual)</t>
  </si>
  <si>
    <t>Turnover: Current Period (%)</t>
  </si>
  <si>
    <t>Turnover: Prior Period (%)</t>
  </si>
  <si>
    <t>Hotel Rooms (actual)</t>
  </si>
  <si>
    <t>REVPAR: Current ($)</t>
  </si>
  <si>
    <t>REVPAR: Prior ($)</t>
  </si>
  <si>
    <t xml:space="preserve">        REVPAR: Change (%)</t>
  </si>
  <si>
    <t>ADR: Current ($)</t>
  </si>
  <si>
    <t>ADR: Prior ($)</t>
  </si>
  <si>
    <t>Taubman Centers, Inc. | Same Store Operations</t>
  </si>
  <si>
    <t>NYSE: TCO (MI KEY: 103022; SPCIQ KEY: 325999)</t>
  </si>
  <si>
    <t>Source: SNL FINANCIAL</t>
  </si>
  <si>
    <t>Current Currency: REPORTEDCURRENCY</t>
  </si>
  <si>
    <t>Simon Property Group, Inc. | Same Store Operations</t>
  </si>
  <si>
    <t>NYSE: SPG, BOVESPA: SIMN34 (MI KEY: 103117; SPCIQ KEY: 34378)</t>
  </si>
  <si>
    <t>GAAP with Joint Ventures: Full Value</t>
  </si>
  <si>
    <t xml:space="preserve"> Ticker</t>
  </si>
  <si>
    <t>Time</t>
  </si>
  <si>
    <t>Total Return After Tax</t>
  </si>
  <si>
    <t xml:space="preserve">Gain on on acquisition of controlling interest, sale or disposal of, or recovery on, assets and interests in unconsolidated entities and impairment, net </t>
  </si>
  <si>
    <t>Change in fair value of properties and investment assets</t>
  </si>
  <si>
    <t>Change in fair value of properties</t>
  </si>
  <si>
    <t>Shares of results of Asso&amp;JV</t>
  </si>
  <si>
    <t>Units in Issue</t>
  </si>
  <si>
    <t>EPS</t>
  </si>
  <si>
    <t>DPU</t>
  </si>
  <si>
    <t>FFO/Unit</t>
  </si>
  <si>
    <t>NAV</t>
  </si>
  <si>
    <t>ROE</t>
  </si>
  <si>
    <t>2014-2018 EPS CAGR</t>
  </si>
  <si>
    <t>Period</t>
  </si>
  <si>
    <t>Depre&amp;Amorti</t>
  </si>
  <si>
    <t>YOY</t>
  </si>
  <si>
    <t>Collection rate</t>
  </si>
  <si>
    <t>Occupancy</t>
  </si>
  <si>
    <t>CF from operating activity</t>
  </si>
  <si>
    <t>Account receivables</t>
  </si>
  <si>
    <t>Recurring EBITDA/ Interest Expense</t>
  </si>
  <si>
    <t>EBITDA margin</t>
  </si>
  <si>
    <t>INTEREST EXPENSE</t>
  </si>
  <si>
    <t>Total sqf of area (US mall and outles)</t>
  </si>
  <si>
    <t>Total sqf of area (Inter.)</t>
  </si>
  <si>
    <t>Base minimum rent psf (US mall and outlets)</t>
  </si>
  <si>
    <t>Base minimum rent psf (Inter.)</t>
  </si>
  <si>
    <t>Same-store growth</t>
  </si>
  <si>
    <t>Occupancy rate (US mall and outlets)</t>
  </si>
  <si>
    <t>Occupancy rate (Inter.)</t>
  </si>
  <si>
    <t>WALE</t>
  </si>
  <si>
    <t>1993.1-1993.3</t>
  </si>
  <si>
    <t>1993.4-1993.6</t>
  </si>
  <si>
    <t>1993.7-1993.9</t>
  </si>
  <si>
    <t>1993.10-1993.12</t>
  </si>
  <si>
    <t>1994.1-1994.3</t>
  </si>
  <si>
    <t>1994.4-1994.6</t>
  </si>
  <si>
    <t>1994.7-1994.9</t>
  </si>
  <si>
    <t>1994.10-1994.12</t>
  </si>
  <si>
    <t>1995.1-1995.3</t>
  </si>
  <si>
    <t>1995.4-1995.6</t>
  </si>
  <si>
    <t>1995.7-1995.9</t>
  </si>
  <si>
    <t>1995.10-1995.12</t>
  </si>
  <si>
    <t>1996.1-1996.3</t>
  </si>
  <si>
    <t>1996.4-1996.6</t>
  </si>
  <si>
    <t>1996.7-1996.9</t>
  </si>
  <si>
    <t>1996.10-1996.12</t>
  </si>
  <si>
    <t>1997.1-1997.3</t>
  </si>
  <si>
    <t>1997.4-1997.6</t>
  </si>
  <si>
    <t>1997.7-1997.9</t>
  </si>
  <si>
    <t>1997.10-1997.12</t>
  </si>
  <si>
    <t>1998.1-1998.3</t>
  </si>
  <si>
    <t>1998.4-1998.6</t>
  </si>
  <si>
    <t>1998.7-1998.9</t>
  </si>
  <si>
    <t>1998.10-1998.12</t>
  </si>
  <si>
    <t>1999.1-1999.3</t>
  </si>
  <si>
    <t>1999.4-1999.6</t>
  </si>
  <si>
    <t>1999.7-1999.9</t>
  </si>
  <si>
    <t>1999.10-1999.12</t>
  </si>
  <si>
    <t>2000.1-2000.3</t>
  </si>
  <si>
    <t>2000.4-2000.6</t>
  </si>
  <si>
    <t>2000.7-2000.9</t>
  </si>
  <si>
    <t>2000.10-2000.12</t>
  </si>
  <si>
    <t>2001.1-2001.3</t>
  </si>
  <si>
    <t>2001.4-2001.6</t>
  </si>
  <si>
    <t>2001.7-2001.9</t>
  </si>
  <si>
    <t>2001.10-2001.12</t>
  </si>
  <si>
    <t>2002.1-2002.3</t>
  </si>
  <si>
    <t>2002.4-2002.6</t>
  </si>
  <si>
    <t>2002.7-2002.9</t>
  </si>
  <si>
    <t>2002.10-2002.12</t>
  </si>
  <si>
    <t>2003.1-2003.3</t>
  </si>
  <si>
    <t>2003.4-2003.6</t>
  </si>
  <si>
    <t>2003.7-2003.9</t>
  </si>
  <si>
    <t>2003.10-2003.12</t>
  </si>
  <si>
    <t>2004.1-2004.3</t>
  </si>
  <si>
    <t>2004.4-2004.6</t>
  </si>
  <si>
    <t>2004.7-2004.9</t>
  </si>
  <si>
    <t>2004.10-2004.12</t>
  </si>
  <si>
    <t>2005.1-2005.3</t>
  </si>
  <si>
    <t>2005.4-2005.6</t>
  </si>
  <si>
    <t>2005.7-2005.9</t>
  </si>
  <si>
    <t>2005.10-2005.12</t>
  </si>
  <si>
    <t>2006.1-2006.3</t>
  </si>
  <si>
    <t>2006.4-2006.6</t>
  </si>
  <si>
    <t>2006.7-2006.9</t>
  </si>
  <si>
    <t>2006.10-2006.12</t>
  </si>
  <si>
    <t>2007.1-2007.3</t>
  </si>
  <si>
    <t>2007.4-2007.6</t>
  </si>
  <si>
    <t>2007.7-2007.9</t>
  </si>
  <si>
    <t>2007.10-2007.12</t>
  </si>
  <si>
    <t>2008.1-2008.3</t>
  </si>
  <si>
    <t>2008.4-2008.6</t>
  </si>
  <si>
    <t>2008.7-2008.9</t>
  </si>
  <si>
    <t>2008.10-2008.12</t>
  </si>
  <si>
    <t>2009.1-2009.3</t>
  </si>
  <si>
    <t>2009.4-2009.6</t>
  </si>
  <si>
    <t>2009.7-2009.9</t>
  </si>
  <si>
    <t>2009.10-2009.12</t>
  </si>
  <si>
    <t>2010.1-2010.3</t>
  </si>
  <si>
    <t>2010.4-2010.6</t>
  </si>
  <si>
    <t>2010.7-2010.9</t>
  </si>
  <si>
    <t>2010.10-2010.12</t>
  </si>
  <si>
    <t>2011.1-2011.3</t>
  </si>
  <si>
    <t>2011.4-2011.6</t>
  </si>
  <si>
    <t>2011.7-2011.9</t>
  </si>
  <si>
    <t>2011.10-2011.12</t>
  </si>
  <si>
    <t>2012.1-2012.3</t>
  </si>
  <si>
    <t>2012.4-2012.6</t>
  </si>
  <si>
    <t>2012.7-2012.9</t>
  </si>
  <si>
    <t>2012.10-2012.12</t>
  </si>
  <si>
    <t>2013.1-2013.3</t>
  </si>
  <si>
    <t>2013.4-2013.6</t>
  </si>
  <si>
    <t>2013.7-2013.9</t>
  </si>
  <si>
    <t>2013.10-2013.12</t>
  </si>
  <si>
    <t>2014.1-2014.3</t>
  </si>
  <si>
    <t>2014.4-2014.6</t>
  </si>
  <si>
    <t>2014.7-2014.9</t>
  </si>
  <si>
    <t>2014.10-2014.12</t>
  </si>
  <si>
    <t>2015.1-2015.3</t>
  </si>
  <si>
    <t>2015.4-2015.6</t>
  </si>
  <si>
    <t>2015.7-2015.9</t>
  </si>
  <si>
    <t>2015.10-2015.12</t>
  </si>
  <si>
    <t>2016.1-2016.3</t>
  </si>
  <si>
    <t>2016.4-2016.6</t>
  </si>
  <si>
    <t>2016.7-2016.9</t>
  </si>
  <si>
    <t>2016.10-2016.12</t>
  </si>
  <si>
    <t>2017.1-2017.3</t>
  </si>
  <si>
    <t>2017.4-2017.6</t>
  </si>
  <si>
    <t>2017.7-2017.9</t>
  </si>
  <si>
    <t>2017.10-2017.12</t>
  </si>
  <si>
    <t>2018.1-2018.3</t>
  </si>
  <si>
    <t>2018.4-2018.6</t>
  </si>
  <si>
    <t>2018.7-2018.9</t>
  </si>
  <si>
    <t>2018.10-2018.12</t>
  </si>
  <si>
    <t>2019.1-2019.3</t>
  </si>
  <si>
    <t>2019.4-2019.6</t>
  </si>
  <si>
    <t>2019.7-2019.9</t>
  </si>
  <si>
    <t>2019.10-2019.12</t>
  </si>
  <si>
    <t>2020.1-2020.3</t>
  </si>
  <si>
    <t>2020.4-2020.6</t>
  </si>
  <si>
    <t>2020.7-2020.9</t>
  </si>
  <si>
    <t>2020.10-2020.12</t>
  </si>
  <si>
    <t>2021.1-2021.3</t>
  </si>
  <si>
    <t>2021.4-2021.6</t>
  </si>
  <si>
    <t>2021.6-2021.9</t>
  </si>
  <si>
    <t xml:space="preserve">in thousands expect for per share data and base rent </t>
  </si>
  <si>
    <t>19Q1</t>
  </si>
  <si>
    <t xml:space="preserve"> 21Q2 </t>
  </si>
  <si>
    <t>应收账款</t>
  </si>
  <si>
    <t>经营活动现金流</t>
  </si>
  <si>
    <t xml:space="preserve">Recurring EBITDA/ Interest Expense </t>
  </si>
  <si>
    <t>出租率（在美物业）</t>
  </si>
  <si>
    <t>同比</t>
  </si>
  <si>
    <t>FFO环比</t>
  </si>
  <si>
    <t>应收账款环比</t>
  </si>
  <si>
    <t>经营活动现金流量环比</t>
  </si>
  <si>
    <t>出租率环比</t>
  </si>
  <si>
    <t>Operational Matrix</t>
  </si>
  <si>
    <t>Earning Metrix</t>
  </si>
  <si>
    <t>Debt Metrix</t>
  </si>
  <si>
    <t>Dividend Metrix</t>
  </si>
  <si>
    <t>Capex and financing</t>
  </si>
  <si>
    <t>Insider</t>
  </si>
  <si>
    <t>Total sqf of area (US mall and outlets)</t>
  </si>
  <si>
    <t>Total sqf of area (Inter)</t>
  </si>
  <si>
    <t>Base minimum rent psf (Inter)</t>
  </si>
  <si>
    <t>same-store growth</t>
  </si>
  <si>
    <t>occupancy rate (US mall and outlets)</t>
  </si>
  <si>
    <t>occupancy rate (inter.)</t>
  </si>
  <si>
    <t>share</t>
  </si>
  <si>
    <t>FFO/S</t>
  </si>
  <si>
    <t>FFO/S as reported</t>
  </si>
  <si>
    <t>AFFO</t>
  </si>
  <si>
    <t>AFFO/S</t>
  </si>
  <si>
    <t>AFFO/S as reported</t>
  </si>
  <si>
    <t>ebitda margin</t>
  </si>
  <si>
    <t>Liability to asset ratio</t>
  </si>
  <si>
    <t>Debt to FFO ratio</t>
  </si>
  <si>
    <t>Interest coverage ratio</t>
  </si>
  <si>
    <t>Average duration of debt</t>
  </si>
  <si>
    <t>Average interest rate of debt</t>
  </si>
  <si>
    <t>Dividend to FFO ratio</t>
  </si>
  <si>
    <t>Net cash provided by investing activities</t>
  </si>
  <si>
    <t>Net debt borrowing</t>
  </si>
  <si>
    <t>Proceeds from share issues</t>
  </si>
  <si>
    <t>Distribution to stockholders</t>
  </si>
  <si>
    <t>CEO and key management personnel remuneration</t>
  </si>
  <si>
    <t>Number of option held by CEO</t>
  </si>
  <si>
    <t>Number of shares held by CEO</t>
  </si>
  <si>
    <t>Name of largest shareholder</t>
  </si>
  <si>
    <t>Percentage of shares held by largest shareholder</t>
  </si>
  <si>
    <t>Breakdown</t>
  </si>
  <si>
    <t>12/31/2005</t>
  </si>
  <si>
    <t>12/31/2004</t>
  </si>
  <si>
    <t>12/31/2003</t>
  </si>
  <si>
    <t>12/31/2002</t>
  </si>
  <si>
    <t>12/31/2001</t>
  </si>
  <si>
    <t>12/31/2000</t>
  </si>
  <si>
    <t>12/31/1999</t>
  </si>
  <si>
    <t>12/31/1998</t>
  </si>
  <si>
    <t>12/31/1997</t>
  </si>
  <si>
    <t>Cost of Revenue</t>
  </si>
  <si>
    <t>Gross Profit</t>
  </si>
  <si>
    <t>Operating Expenses</t>
  </si>
  <si>
    <t>Selling General and Administrative</t>
  </si>
  <si>
    <t>Total Operating Expenses</t>
  </si>
  <si>
    <t>Operating Income or Loss</t>
  </si>
  <si>
    <t>Total Other Income/Expenses Net</t>
  </si>
  <si>
    <t>Income Before Tax</t>
  </si>
  <si>
    <t>Income from Continuing Operations</t>
  </si>
  <si>
    <t>Net Income available to common shareholders</t>
  </si>
  <si>
    <t>Diluted EPS</t>
  </si>
  <si>
    <t>Basic Average Shares</t>
  </si>
  <si>
    <t>Diluted Average Shares</t>
  </si>
  <si>
    <t>12/31/1996</t>
  </si>
  <si>
    <t>12/31/1995</t>
  </si>
  <si>
    <t>12/31/1994</t>
  </si>
  <si>
    <t>12/31/1993</t>
  </si>
  <si>
    <t>12/31/1992</t>
  </si>
  <si>
    <t>Cash flows from operating activities</t>
  </si>
  <si>
    <t>Depreciation &amp; amortization</t>
  </si>
  <si>
    <t>Change in working capital</t>
  </si>
  <si>
    <t>Other working capital</t>
  </si>
  <si>
    <t>Other non-cash items</t>
  </si>
  <si>
    <t>Net cash provided by operating activites</t>
  </si>
  <si>
    <t xml:space="preserve">Cash flows from investing activities </t>
  </si>
  <si>
    <t>Investments in property, plant and equipment</t>
  </si>
  <si>
    <t>Acquisitions, net</t>
  </si>
  <si>
    <t>Purchases of investments</t>
  </si>
  <si>
    <t>Sales/Maturities of investments</t>
  </si>
  <si>
    <t>Other investing activites</t>
  </si>
  <si>
    <t>Net cash used for investing activites</t>
  </si>
  <si>
    <t>Cash flows from financing activities</t>
  </si>
  <si>
    <t>Debt repayment</t>
  </si>
  <si>
    <t>Common stock issued</t>
  </si>
  <si>
    <t>Common stock repurchased</t>
  </si>
  <si>
    <t>Dividends Paid</t>
  </si>
  <si>
    <t>Other financing activites</t>
  </si>
  <si>
    <t>Net cash used privided by (used for) financing activities</t>
  </si>
  <si>
    <t>Net change in cash</t>
  </si>
  <si>
    <t>Cash at beginning of period</t>
  </si>
  <si>
    <t>Cash at end of period</t>
  </si>
  <si>
    <t>Free Cash Flow</t>
  </si>
  <si>
    <t>Operating Cash Flow</t>
  </si>
  <si>
    <t>Assets</t>
  </si>
  <si>
    <t>Current Assets</t>
  </si>
  <si>
    <t>Cash</t>
  </si>
  <si>
    <t>Cash And Cash Equivalents</t>
  </si>
  <si>
    <t>Other Short Term Investments</t>
  </si>
  <si>
    <t>Total Cash</t>
  </si>
  <si>
    <t>Net Receivables</t>
  </si>
  <si>
    <t>Total Current Assets</t>
  </si>
  <si>
    <t>Non-current assets</t>
  </si>
  <si>
    <t>Property, plant and equipment</t>
  </si>
  <si>
    <t>Gross property, plant and equipment</t>
  </si>
  <si>
    <t>Net property, plant and equipment</t>
  </si>
  <si>
    <t>Equity and other investments</t>
  </si>
  <si>
    <t>Intangible Assets</t>
  </si>
  <si>
    <t>Total non-current assets</t>
  </si>
  <si>
    <t>Liabilities and stockholders' equity</t>
  </si>
  <si>
    <t>Liabilities</t>
  </si>
  <si>
    <t>Current Liabilities</t>
  </si>
  <si>
    <t>Current Debt</t>
  </si>
  <si>
    <t>Accrued liabilities</t>
  </si>
  <si>
    <t>Total Current Liabilities</t>
  </si>
  <si>
    <t>Non-current liabilities</t>
  </si>
  <si>
    <t>Long Term Debt</t>
  </si>
  <si>
    <t>Other long-term liabilities</t>
  </si>
  <si>
    <t>Total non-current liabilities</t>
  </si>
  <si>
    <t>Stockholders' Equity</t>
  </si>
  <si>
    <t>Accumulated other comprehensive income</t>
  </si>
  <si>
    <t>Total stockholders' equity</t>
  </si>
  <si>
    <t>Total liabilities and stockholders' equity</t>
  </si>
  <si>
    <t>total debt</t>
  </si>
  <si>
    <t>net debt</t>
  </si>
  <si>
    <t>net debt borrowing</t>
  </si>
  <si>
    <t>Financial Forecast Model</t>
  </si>
  <si>
    <t>Instructions</t>
  </si>
  <si>
    <t>*</t>
  </si>
  <si>
    <t>General guidelines</t>
  </si>
  <si>
    <t>This model is intended to be a high-level plug-and-play forecasting tool</t>
  </si>
  <si>
    <t>Most assumptions are common P&amp;L inputs; this model will allow those inputs to project a BS and CF statement</t>
  </si>
  <si>
    <t>As an example, each major line item has been broken down into supporting data, but you do not have to use all of them (or you can rename them)</t>
  </si>
  <si>
    <t>Input historical actual data</t>
  </si>
  <si>
    <t>Copy and paste or link data from IS, BS, and CF into cells highlighted in yellow in columns C:I</t>
  </si>
  <si>
    <t>Column I should contain data from the most recent quarter close</t>
  </si>
  <si>
    <t>Check that balance sheet ties for all actual columns in row 71</t>
  </si>
  <si>
    <t>Update income statement forecast assumptions</t>
  </si>
  <si>
    <t>All forecast assumptions should be input into cells highlighted in yellow in columns T:X</t>
  </si>
  <si>
    <t>Revenues are input as a Y/Y growth rate %  (you can manually input a $ amount in the manual adjustment lines as an alternative)</t>
  </si>
  <si>
    <t>COGS are input as a % of revenue (you can manually input a $ amount in the fixed line as an alternative)</t>
  </si>
  <si>
    <t>Operating expenses are input as a % of revenue (you can manually input a $ amount in the manual adjustment lines as an alternative)</t>
  </si>
  <si>
    <t>Other income/(expense) is input as a $ value</t>
  </si>
  <si>
    <t>Tax expense is input as % of pre-tax income</t>
  </si>
  <si>
    <t>Minority interest is input as a $ value</t>
  </si>
  <si>
    <t>Update balance sheet forecast assumptions</t>
  </si>
  <si>
    <t>Most line items are automatically forecasted based on the assumptions described in column P</t>
  </si>
  <si>
    <t>Long-term debt is input as a $ value</t>
  </si>
  <si>
    <t>Check that the balance sheet ties for all forecast columns in row 71</t>
  </si>
  <si>
    <t>Update cash flow forecast assumptions</t>
  </si>
  <si>
    <t>Some line items are automatically forecasted based on changes in the balance sheet as described in column P</t>
  </si>
  <si>
    <t>Depreciation is input as a % of revenue</t>
  </si>
  <si>
    <t>Amortization of intangibles is input as a $ value</t>
  </si>
  <si>
    <t>Amortized software development is input as a % of revenue</t>
  </si>
  <si>
    <t>SBC (stock based compensation) is input as a $ value</t>
  </si>
  <si>
    <t>Capital expenditures are input as a % of revenue</t>
  </si>
  <si>
    <t>Capitalization of software development is input as a % of revenue</t>
  </si>
  <si>
    <t>Business acquisition and investment equity are input as a $ value</t>
  </si>
  <si>
    <t>Purchase of shares is input as a $ value</t>
  </si>
  <si>
    <t>Other items are input as a $ value</t>
  </si>
  <si>
    <t>Reuse for future periods</t>
  </si>
  <si>
    <t>The file is a rolling forecast and is always projecting 5 quarters out from the prior quarter close</t>
  </si>
  <si>
    <t>Shift all historical data within the yellow highlighted cells so that column I has the data from the most recent quarter close</t>
  </si>
  <si>
    <t>Continue to use columns T:X to project the next 5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</si>
</sst>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6" formatCode="&quot;¥&quot;#,##0;[Red]&quot;¥&quot;\-#,##0"/>
    <numFmt numFmtId="43" formatCode="_ * #,##0.00_ ;_ * \-#,##0.00_ ;_ * &quot;-&quot;??_ ;_ @_ "/>
    <numFmt numFmtId="24" formatCode="\$#,##0_);[Red]\(\$#,##0\)"/>
    <numFmt numFmtId="26" formatCode="\$#,##0.00_);[Red]\(\$#,##0.00\)"/>
    <numFmt numFmtId="176" formatCode="_(* #,##0_);_(* \(#,##0\);_(* &quot;-&quot;_);_(@_)"/>
    <numFmt numFmtId="177" formatCode="_(* #,##0.00_);_(* \(#,##0.00\);_(* &quot;-&quot;??_);_(@_)"/>
    <numFmt numFmtId="178" formatCode="0.0%"/>
    <numFmt numFmtId="179" formatCode="0.000"/>
    <numFmt numFmtId="180" formatCode="0.0000"/>
    <numFmt numFmtId="181" formatCode="0.00_);[Red]\(0.00\)"/>
    <numFmt numFmtId="182" formatCode="0.0000_);[Red]\(0.0000\)"/>
    <numFmt numFmtId="183" formatCode="0.0"/>
    <numFmt numFmtId="184" formatCode="0_);[Red]\(0\)"/>
    <numFmt numFmtId="185" formatCode="_ * #,##0_ ;_ * \-#,##0_ ;_ * &quot;-&quot;??_ ;_ @_ "/>
    <numFmt numFmtId="186" formatCode="_(* #,##0_);_(* \(#,##0\);_(* &quot;-&quot;??_);_(@_)"/>
    <numFmt numFmtId="187" formatCode="#,##0;[Red]\(#,##0\)"/>
    <numFmt numFmtId="188" formatCode="#,##0.0;[Red]\(#,##0.0\)"/>
    <numFmt numFmtId="189" formatCode="#,##0.00;[Red]\(#,##0.00\)"/>
    <numFmt numFmtId="190" formatCode="#,##0.0000;[Red]\(#,##0.0000\)"/>
    <numFmt numFmtId="191" formatCode="_(* #,##0.000_);_(* \(#,##0.000\);_(* &quot;-&quot;_);_(@_)"/>
    <numFmt numFmtId="192" formatCode="#,##0.00;\(#,##0.00\)"/>
    <numFmt numFmtId="193" formatCode="_-[$¥-411]* #,##0_-;\-[$¥-411]* #,##0_-;_-[$¥-411]* &quot;-&quot;??_-;_-@_-"/>
    <numFmt numFmtId="194" formatCode="_-[$$-409]* #,##0.00_ ;_-[$$-409]* \-#,##0.00\ ;_-[$$-409]* &quot;-&quot;??_ ;_-@_ "/>
    <numFmt numFmtId="195" formatCode="_ &quot;¥&quot;* #,##0_ ;_ &quot;¥&quot;* \-#,##0_ ;_ &quot;¥&quot;* &quot;-&quot;??_ ;_ @_ "/>
    <numFmt numFmtId="196" formatCode="_ * #,##0.0_ ;_ * \-#,##0.0_ ;_ * &quot;-&quot;??_ ;_ @_ "/>
  </numFmts>
  <fonts count="130">
    <font>
      <sz val="11"/>
      <color theme="1"/>
      <name val="等线"/>
      <family val="2"/>
      <charset val="134"/>
      <scheme val="minor"/>
    </font>
    <font>
      <sz val="12"/>
      <color theme="1"/>
      <name val="Times New Roman"/>
      <family val="1"/>
    </font>
    <font>
      <sz val="12"/>
      <color theme="1"/>
      <name val="Times New Roman"/>
      <family val="1"/>
    </font>
    <font>
      <sz val="12"/>
      <color theme="1"/>
      <name val="Times New Roman"/>
      <family val="1"/>
    </font>
    <font>
      <sz val="11"/>
      <color theme="1"/>
      <name val="等线"/>
      <family val="2"/>
      <scheme val="minor"/>
    </font>
    <font>
      <sz val="11"/>
      <color theme="1"/>
      <name val="等线"/>
      <family val="2"/>
      <scheme val="minor"/>
    </font>
    <font>
      <sz val="8"/>
      <name val="等线"/>
      <family val="2"/>
      <charset val="134"/>
      <scheme val="minor"/>
    </font>
    <font>
      <sz val="11"/>
      <color theme="1"/>
      <name val="等线"/>
      <family val="2"/>
      <charset val="134"/>
      <scheme val="minor"/>
    </font>
    <font>
      <sz val="12"/>
      <color rgb="FF000000"/>
      <name val="等线"/>
      <family val="2"/>
      <charset val="134"/>
      <scheme val="minor"/>
    </font>
    <font>
      <sz val="11"/>
      <color rgb="FF000000"/>
      <name val="等线"/>
      <family val="3"/>
      <charset val="134"/>
      <scheme val="minor"/>
    </font>
    <font>
      <b/>
      <sz val="11"/>
      <color theme="1"/>
      <name val="等线"/>
      <family val="2"/>
      <scheme val="minor"/>
    </font>
    <font>
      <sz val="10"/>
      <color rgb="FF000000"/>
      <name val="Arial"/>
      <family val="2"/>
    </font>
    <font>
      <sz val="11"/>
      <color theme="1"/>
      <name val="等线"/>
      <family val="2"/>
      <scheme val="minor"/>
    </font>
    <font>
      <sz val="10"/>
      <name val="Arial"/>
      <family val="2"/>
    </font>
    <font>
      <b/>
      <i/>
      <sz val="10"/>
      <name val="Arial"/>
      <family val="2"/>
    </font>
    <font>
      <b/>
      <i/>
      <sz val="10"/>
      <color rgb="FF000000"/>
      <name val="Arial"/>
      <family val="2"/>
    </font>
    <font>
      <b/>
      <sz val="10"/>
      <name val="Arial"/>
      <family val="2"/>
    </font>
    <font>
      <i/>
      <sz val="10"/>
      <name val="Arial"/>
      <family val="2"/>
    </font>
    <font>
      <sz val="10"/>
      <color rgb="FF000000"/>
      <name val="Tahoma"/>
      <family val="2"/>
    </font>
    <font>
      <b/>
      <sz val="10"/>
      <color rgb="FF000000"/>
      <name val="Tahoma"/>
      <family val="2"/>
    </font>
    <font>
      <b/>
      <sz val="16"/>
      <color theme="3" tint="0.39997558519241921"/>
      <name val="等线"/>
      <family val="2"/>
      <scheme val="minor"/>
    </font>
    <font>
      <b/>
      <sz val="14"/>
      <color theme="1"/>
      <name val="等线"/>
      <family val="2"/>
      <scheme val="minor"/>
    </font>
    <font>
      <sz val="11"/>
      <name val="等线"/>
      <family val="2"/>
      <scheme val="minor"/>
    </font>
    <font>
      <b/>
      <sz val="14"/>
      <name val="等线"/>
      <family val="2"/>
      <scheme val="minor"/>
    </font>
    <font>
      <b/>
      <sz val="11"/>
      <color theme="0"/>
      <name val="等线"/>
      <family val="2"/>
      <scheme val="minor"/>
    </font>
    <font>
      <b/>
      <sz val="11"/>
      <color rgb="FFFF0000"/>
      <name val="等线"/>
      <family val="2"/>
      <scheme val="minor"/>
    </font>
    <font>
      <sz val="9"/>
      <name val="等线"/>
      <family val="2"/>
      <scheme val="minor"/>
    </font>
    <font>
      <b/>
      <sz val="11"/>
      <color theme="3" tint="0.39997558519241921"/>
      <name val="等线"/>
      <family val="2"/>
      <scheme val="minor"/>
    </font>
    <font>
      <b/>
      <sz val="14"/>
      <color rgb="FFFF0000"/>
      <name val="等线"/>
      <family val="2"/>
      <scheme val="minor"/>
    </font>
    <font>
      <b/>
      <sz val="11"/>
      <color rgb="FFFF00FF"/>
      <name val="等线"/>
      <family val="2"/>
      <scheme val="minor"/>
    </font>
    <font>
      <b/>
      <sz val="11"/>
      <name val="等线"/>
      <family val="2"/>
      <scheme val="minor"/>
    </font>
    <font>
      <i/>
      <sz val="11"/>
      <color rgb="FFFF0000"/>
      <name val="等线"/>
      <family val="2"/>
      <scheme val="minor"/>
    </font>
    <font>
      <i/>
      <sz val="11"/>
      <name val="等线"/>
      <family val="2"/>
      <scheme val="minor"/>
    </font>
    <font>
      <sz val="11"/>
      <color rgb="FFFF0000"/>
      <name val="等线"/>
      <family val="2"/>
      <scheme val="minor"/>
    </font>
    <font>
      <sz val="11"/>
      <color theme="0"/>
      <name val="等线"/>
      <family val="2"/>
      <scheme val="minor"/>
    </font>
    <font>
      <b/>
      <sz val="14"/>
      <color theme="0" tint="-0.249977111117893"/>
      <name val="等线"/>
      <family val="2"/>
      <scheme val="minor"/>
    </font>
    <font>
      <sz val="11"/>
      <color theme="0" tint="-0.249977111117893"/>
      <name val="等线"/>
      <family val="2"/>
      <scheme val="minor"/>
    </font>
    <font>
      <sz val="12"/>
      <color rgb="FF9C0006"/>
      <name val="等线"/>
      <family val="2"/>
      <scheme val="minor"/>
    </font>
    <font>
      <b/>
      <sz val="12"/>
      <color theme="0"/>
      <name val="等线"/>
      <family val="2"/>
      <scheme val="minor"/>
    </font>
    <font>
      <sz val="12"/>
      <color rgb="FFFF0000"/>
      <name val="等线"/>
      <family val="2"/>
      <scheme val="minor"/>
    </font>
    <font>
      <sz val="11"/>
      <color rgb="FFFF0000"/>
      <name val="等线"/>
      <family val="2"/>
      <charset val="134"/>
      <scheme val="minor"/>
    </font>
    <font>
      <i/>
      <sz val="11"/>
      <color rgb="FFFF0000"/>
      <name val="Calibri (Body)"/>
    </font>
    <font>
      <b/>
      <sz val="12"/>
      <color rgb="FF3F3F3F"/>
      <name val="等线"/>
      <family val="2"/>
      <scheme val="minor"/>
    </font>
    <font>
      <b/>
      <sz val="14"/>
      <name val="Calibri"/>
      <family val="2"/>
    </font>
    <font>
      <b/>
      <sz val="11"/>
      <name val="Calibri"/>
      <family val="2"/>
    </font>
    <font>
      <sz val="9"/>
      <name val="等线"/>
      <family val="2"/>
      <charset val="134"/>
      <scheme val="minor"/>
    </font>
    <font>
      <sz val="12"/>
      <name val="等线"/>
      <family val="2"/>
      <scheme val="minor"/>
    </font>
    <font>
      <b/>
      <sz val="11"/>
      <color theme="1"/>
      <name val="等线"/>
      <family val="3"/>
      <charset val="134"/>
      <scheme val="minor"/>
    </font>
    <font>
      <b/>
      <sz val="11"/>
      <name val="等线"/>
      <family val="3"/>
      <charset val="134"/>
      <scheme val="minor"/>
    </font>
    <font>
      <i/>
      <sz val="11"/>
      <color theme="1"/>
      <name val="等线"/>
      <family val="3"/>
      <charset val="134"/>
      <scheme val="minor"/>
    </font>
    <font>
      <sz val="11"/>
      <name val="等线"/>
      <family val="2"/>
      <charset val="134"/>
      <scheme val="minor"/>
    </font>
    <font>
      <b/>
      <sz val="11"/>
      <name val="等线"/>
      <family val="2"/>
      <charset val="134"/>
      <scheme val="minor"/>
    </font>
    <font>
      <sz val="11"/>
      <name val="宋体"/>
      <family val="3"/>
      <charset val="134"/>
    </font>
    <font>
      <b/>
      <i/>
      <sz val="10"/>
      <color indexed="8"/>
      <name val="Arial"/>
      <family val="2"/>
    </font>
    <font>
      <u/>
      <sz val="11"/>
      <color theme="10"/>
      <name val="等线"/>
      <family val="2"/>
      <charset val="134"/>
      <scheme val="minor"/>
    </font>
    <font>
      <b/>
      <sz val="11"/>
      <color theme="1"/>
      <name val="等线"/>
      <family val="2"/>
      <charset val="134"/>
      <scheme val="minor"/>
    </font>
    <font>
      <sz val="10"/>
      <color rgb="FF000000"/>
      <name val="Arial"/>
      <family val="2"/>
    </font>
    <font>
      <sz val="9"/>
      <color rgb="FF231F20"/>
      <name val="Tahoma"/>
      <family val="2"/>
    </font>
    <font>
      <sz val="10"/>
      <color rgb="FF000000"/>
      <name val="Times New Roman"/>
      <family val="1"/>
    </font>
    <font>
      <sz val="11"/>
      <color rgb="FF000000"/>
      <name val="Calibri"/>
      <family val="2"/>
    </font>
    <font>
      <b/>
      <sz val="12"/>
      <color rgb="FF000000"/>
      <name val="Calibri"/>
      <family val="2"/>
    </font>
    <font>
      <sz val="12"/>
      <color theme="1"/>
      <name val="等线"/>
      <family val="2"/>
      <charset val="134"/>
      <scheme val="minor"/>
    </font>
    <font>
      <b/>
      <sz val="10"/>
      <color rgb="FF000000"/>
      <name val="Arial"/>
      <family val="2"/>
    </font>
    <font>
      <b/>
      <sz val="11"/>
      <name val="Arial"/>
      <family val="2"/>
    </font>
    <font>
      <b/>
      <sz val="11"/>
      <color rgb="FF000000"/>
      <name val="Calibri"/>
      <family val="2"/>
    </font>
    <font>
      <b/>
      <i/>
      <sz val="10"/>
      <name val="Times New Roman"/>
      <family val="1"/>
    </font>
    <font>
      <b/>
      <i/>
      <sz val="10"/>
      <color rgb="FF000000"/>
      <name val="Times New Roman"/>
      <family val="1"/>
    </font>
    <font>
      <sz val="10"/>
      <name val="Times New Roman"/>
      <family val="1"/>
    </font>
    <font>
      <b/>
      <sz val="10"/>
      <name val="Times New Roman"/>
      <family val="1"/>
    </font>
    <font>
      <i/>
      <sz val="10"/>
      <name val="Times New Roman"/>
      <family val="1"/>
    </font>
    <font>
      <b/>
      <sz val="10"/>
      <color rgb="FF000000"/>
      <name val="Times New Roman"/>
      <family val="1"/>
    </font>
    <font>
      <b/>
      <sz val="9"/>
      <name val="Times New Roman"/>
      <family val="1"/>
    </font>
    <font>
      <sz val="11"/>
      <color theme="1"/>
      <name val="Times New Roman"/>
      <family val="1"/>
    </font>
    <font>
      <b/>
      <sz val="12"/>
      <color rgb="FF000000"/>
      <name val="Times New Roman"/>
      <family val="1"/>
    </font>
    <font>
      <sz val="12"/>
      <color theme="1"/>
      <name val="Times New Roman"/>
      <family val="1"/>
    </font>
    <font>
      <b/>
      <sz val="11"/>
      <color theme="1"/>
      <name val="Times New Roman"/>
      <family val="1"/>
    </font>
    <font>
      <sz val="11"/>
      <color rgb="FF000000"/>
      <name val="Times New Roman"/>
      <family val="1"/>
    </font>
    <font>
      <sz val="10"/>
      <color rgb="FF000000"/>
      <name val="Times New Roman"/>
      <family val="1"/>
    </font>
    <font>
      <sz val="9"/>
      <color rgb="FF231F20"/>
      <name val="Times New Roman"/>
      <family val="1"/>
    </font>
    <font>
      <sz val="11"/>
      <color rgb="FF444444"/>
      <name val="Times New Roman"/>
      <family val="1"/>
    </font>
    <font>
      <sz val="12"/>
      <color rgb="FF000000"/>
      <name val="Times New Roman"/>
      <family val="1"/>
    </font>
    <font>
      <sz val="12"/>
      <color rgb="FF3F3F76"/>
      <name val="等线"/>
      <family val="2"/>
      <scheme val="minor"/>
    </font>
    <font>
      <b/>
      <sz val="13"/>
      <color theme="3"/>
      <name val="Times New Roman"/>
      <family val="1"/>
    </font>
    <font>
      <sz val="12"/>
      <color theme="0"/>
      <name val="Times New Roman"/>
      <family val="1"/>
    </font>
    <font>
      <b/>
      <sz val="10"/>
      <color rgb="FFFFFFFF"/>
      <name val="等线"/>
      <family val="2"/>
      <scheme val="minor"/>
    </font>
    <font>
      <sz val="10"/>
      <color theme="1"/>
      <name val="等线"/>
      <family val="2"/>
      <charset val="134"/>
      <scheme val="minor"/>
    </font>
    <font>
      <b/>
      <sz val="9"/>
      <color rgb="FFFFFFFF"/>
      <name val="等线"/>
      <family val="2"/>
      <scheme val="minor"/>
    </font>
    <font>
      <b/>
      <sz val="9"/>
      <color rgb="FFFFFFFF"/>
      <name val="Calibri"/>
      <family val="2"/>
    </font>
    <font>
      <sz val="9"/>
      <color theme="1"/>
      <name val="等线"/>
      <family val="2"/>
      <charset val="134"/>
      <scheme val="minor"/>
    </font>
    <font>
      <sz val="11"/>
      <color rgb="FF000000"/>
      <name val="等线"/>
      <family val="2"/>
      <charset val="134"/>
      <scheme val="minor"/>
    </font>
    <font>
      <i/>
      <sz val="11"/>
      <color rgb="FF000000"/>
      <name val="Calibri"/>
      <family val="2"/>
    </font>
    <font>
      <b/>
      <sz val="12"/>
      <color rgb="FFFA7D00"/>
      <name val="Times New Roman"/>
      <family val="1"/>
    </font>
    <font>
      <sz val="10"/>
      <name val="Arial"/>
      <family val="2"/>
    </font>
    <font>
      <b/>
      <sz val="10"/>
      <color theme="1"/>
      <name val="等线"/>
      <family val="2"/>
      <charset val="134"/>
      <scheme val="minor"/>
    </font>
    <font>
      <b/>
      <sz val="10"/>
      <color rgb="FF000000"/>
      <name val="Calibri"/>
      <family val="2"/>
    </font>
    <font>
      <sz val="10"/>
      <color theme="1"/>
      <name val="Times New Roman"/>
      <family val="1"/>
    </font>
    <font>
      <sz val="10"/>
      <color theme="1"/>
      <name val="Times New Roman"/>
      <family val="1"/>
    </font>
    <font>
      <sz val="10"/>
      <color rgb="FF000000"/>
      <name val="Calibri"/>
      <family val="2"/>
    </font>
    <font>
      <sz val="11"/>
      <color rgb="FFBFBFBF"/>
      <name val="Calibri"/>
      <family val="2"/>
    </font>
    <font>
      <b/>
      <sz val="16"/>
      <color rgb="FF8497B0"/>
      <name val="Calibri"/>
      <family val="2"/>
    </font>
    <font>
      <b/>
      <sz val="13"/>
      <color theme="3"/>
      <name val="Times New Roman"/>
      <family val="1"/>
    </font>
    <font>
      <b/>
      <sz val="12"/>
      <color rgb="FF3F3F3F"/>
      <name val="等线"/>
      <family val="2"/>
      <charset val="134"/>
      <scheme val="minor"/>
    </font>
    <font>
      <sz val="12"/>
      <color rgb="FF3F3F76"/>
      <name val="等线"/>
      <family val="2"/>
      <charset val="134"/>
      <scheme val="minor"/>
    </font>
    <font>
      <sz val="11"/>
      <color rgb="FF000000"/>
      <name val="等线"/>
      <family val="3"/>
      <charset val="134"/>
    </font>
    <font>
      <sz val="11"/>
      <color rgb="FF000000"/>
      <name val="Calibri"/>
      <family val="2"/>
    </font>
    <font>
      <b/>
      <sz val="11"/>
      <color rgb="FF0070C0"/>
      <name val="等线"/>
      <family val="2"/>
      <scheme val="minor"/>
    </font>
    <font>
      <sz val="11"/>
      <color rgb="FF0070C0"/>
      <name val="等线"/>
      <family val="2"/>
      <scheme val="minor"/>
    </font>
    <font>
      <sz val="11"/>
      <color rgb="FF0070C0"/>
      <name val="等线"/>
      <family val="2"/>
      <charset val="134"/>
      <scheme val="minor"/>
    </font>
    <font>
      <sz val="12"/>
      <color rgb="FF4472C4"/>
      <name val="等线"/>
      <family val="2"/>
      <scheme val="minor"/>
    </font>
    <font>
      <sz val="12"/>
      <color rgb="FF0070C0"/>
      <name val="等线"/>
      <family val="2"/>
      <scheme val="minor"/>
    </font>
    <font>
      <b/>
      <sz val="14"/>
      <color rgb="FF0070C0"/>
      <name val="等线"/>
      <family val="2"/>
      <scheme val="minor"/>
    </font>
    <font>
      <b/>
      <sz val="11"/>
      <color rgb="FF0070C0"/>
      <name val="等线"/>
      <family val="2"/>
      <charset val="134"/>
      <scheme val="minor"/>
    </font>
    <font>
      <b/>
      <sz val="11"/>
      <color rgb="FF000000"/>
      <name val="等线"/>
      <family val="2"/>
      <scheme val="minor"/>
    </font>
    <font>
      <sz val="11"/>
      <color rgb="FFFFC000"/>
      <name val="等线"/>
      <family val="2"/>
      <charset val="134"/>
      <scheme val="minor"/>
    </font>
    <font>
      <sz val="12"/>
      <color rgb="FF00B0F0"/>
      <name val="等线"/>
      <family val="2"/>
      <scheme val="minor"/>
    </font>
    <font>
      <sz val="10"/>
      <color rgb="FF00B0F0"/>
      <name val="Times New Roman"/>
      <family val="1"/>
    </font>
    <font>
      <sz val="10"/>
      <color rgb="FF00B050"/>
      <name val="Times New Roman"/>
      <family val="1"/>
    </font>
    <font>
      <sz val="11"/>
      <color rgb="FF00B050"/>
      <name val="等线"/>
      <family val="2"/>
      <scheme val="minor"/>
    </font>
    <font>
      <sz val="11"/>
      <color rgb="FF00B050"/>
      <name val="等线"/>
      <family val="2"/>
      <charset val="134"/>
      <scheme val="minor"/>
    </font>
    <font>
      <b/>
      <sz val="11"/>
      <color rgb="FF00B0F0"/>
      <name val="等线"/>
      <family val="2"/>
      <scheme val="minor"/>
    </font>
    <font>
      <sz val="11"/>
      <color rgb="FF00B0F0"/>
      <name val="等线"/>
      <family val="2"/>
      <scheme val="minor"/>
    </font>
    <font>
      <sz val="11"/>
      <color rgb="FF00B0F0"/>
      <name val="等线"/>
      <family val="2"/>
      <charset val="134"/>
      <scheme val="minor"/>
    </font>
    <font>
      <b/>
      <sz val="11"/>
      <color rgb="FF00B050"/>
      <name val="等线"/>
      <family val="2"/>
      <scheme val="minor"/>
    </font>
    <font>
      <b/>
      <sz val="11"/>
      <color rgb="FFFFC000"/>
      <name val="等线"/>
      <family val="2"/>
      <scheme val="minor"/>
    </font>
    <font>
      <b/>
      <sz val="13"/>
      <color theme="3"/>
      <name val="Times New Roman"/>
      <family val="1"/>
    </font>
    <font>
      <b/>
      <sz val="13"/>
      <color theme="1"/>
      <name val="Times New Roman"/>
      <family val="1"/>
    </font>
    <font>
      <sz val="12"/>
      <color rgb="FFC00000"/>
      <name val="等线"/>
      <family val="2"/>
      <scheme val="minor"/>
    </font>
    <font>
      <b/>
      <sz val="12"/>
      <color rgb="FF000000"/>
      <name val="等线"/>
      <family val="2"/>
      <scheme val="minor"/>
    </font>
    <font>
      <sz val="10"/>
      <color rgb="FFC00000"/>
      <name val="Times New Roman"/>
      <family val="1"/>
    </font>
    <font>
      <sz val="11"/>
      <color rgb="FF3F3F76"/>
      <name val="等线"/>
      <family val="2"/>
      <scheme val="minor"/>
    </font>
  </fonts>
  <fills count="26">
    <fill>
      <patternFill patternType="none"/>
    </fill>
    <fill>
      <patternFill patternType="gray125"/>
    </fill>
    <fill>
      <patternFill patternType="solid">
        <fgColor rgb="FF3F7D72"/>
        <bgColor rgb="FF000000"/>
      </patternFill>
    </fill>
    <fill>
      <patternFill patternType="solid">
        <fgColor rgb="FFE0E0E0"/>
        <bgColor rgb="FF000000"/>
      </patternFill>
    </fill>
    <fill>
      <patternFill patternType="solid">
        <fgColor theme="0"/>
        <bgColor indexed="64"/>
      </patternFill>
    </fill>
    <fill>
      <patternFill patternType="solid">
        <fgColor theme="0" tint="-0.249977111117893"/>
        <bgColor indexed="64"/>
      </patternFill>
    </fill>
    <fill>
      <patternFill patternType="solid">
        <fgColor theme="3"/>
        <bgColor indexed="64"/>
      </patternFill>
    </fill>
    <fill>
      <patternFill patternType="solid">
        <fgColor rgb="FFFFFF99"/>
        <bgColor indexed="64"/>
      </patternFill>
    </fill>
    <fill>
      <patternFill patternType="solid">
        <fgColor rgb="FFFFC7CE"/>
      </patternFill>
    </fill>
    <fill>
      <patternFill patternType="solid">
        <fgColor rgb="FFA5A5A5"/>
      </patternFill>
    </fill>
    <fill>
      <patternFill patternType="solid">
        <fgColor rgb="FFF2F2F2"/>
      </patternFill>
    </fill>
    <fill>
      <patternFill patternType="solid">
        <fgColor rgb="FFCCCCCC"/>
        <bgColor indexed="64"/>
      </patternFill>
    </fill>
    <fill>
      <patternFill patternType="solid">
        <fgColor rgb="FFFFFF00"/>
        <bgColor indexed="64"/>
      </patternFill>
    </fill>
    <fill>
      <patternFill patternType="solid">
        <fgColor indexed="31"/>
        <bgColor indexed="64"/>
      </patternFill>
    </fill>
    <fill>
      <patternFill patternType="solid">
        <fgColor theme="4" tint="0.79998168889431442"/>
        <bgColor indexed="65"/>
      </patternFill>
    </fill>
    <fill>
      <patternFill patternType="solid">
        <fgColor rgb="FFFFCC99"/>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patternFill>
    </fill>
    <fill>
      <patternFill patternType="solid">
        <fgColor theme="7" tint="0.79998168889431442"/>
        <bgColor indexed="65"/>
      </patternFill>
    </fill>
    <fill>
      <patternFill patternType="solid">
        <fgColor theme="8" tint="0.79998168889431442"/>
        <bgColor indexed="65"/>
      </patternFill>
    </fill>
    <fill>
      <patternFill patternType="solid">
        <fgColor theme="4" tint="0.59999389629810485"/>
        <bgColor indexed="65"/>
      </patternFill>
    </fill>
    <fill>
      <patternFill patternType="solid">
        <fgColor rgb="FFFFFFFF"/>
        <bgColor indexed="64"/>
      </patternFill>
    </fill>
    <fill>
      <patternFill patternType="solid">
        <fgColor rgb="FF0070C0"/>
        <bgColor indexed="64"/>
      </patternFill>
    </fill>
    <fill>
      <patternFill patternType="solid">
        <fgColor theme="8" tint="0.39997558519241921"/>
        <bgColor indexed="64"/>
      </patternFill>
    </fill>
    <fill>
      <patternFill patternType="solid">
        <fgColor rgb="FF00B050"/>
        <bgColor indexed="64"/>
      </patternFill>
    </fill>
  </fills>
  <borders count="16">
    <border>
      <left/>
      <right/>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top/>
      <bottom style="medium">
        <color rgb="FFE0E4E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s>
  <cellStyleXfs count="20">
    <xf numFmtId="0" fontId="0" fillId="0" borderId="0"/>
    <xf numFmtId="9" fontId="7" fillId="0" borderId="0" applyFont="0" applyFill="0" applyBorder="0" applyAlignment="0" applyProtection="0"/>
    <xf numFmtId="177" fontId="7" fillId="0" borderId="0" applyFont="0" applyFill="0" applyBorder="0" applyAlignment="0" applyProtection="0"/>
    <xf numFmtId="0" fontId="37" fillId="8" borderId="0" applyNumberFormat="0" applyBorder="0" applyAlignment="0" applyProtection="0"/>
    <xf numFmtId="0" fontId="38" fillId="9" borderId="11" applyNumberFormat="0" applyAlignment="0" applyProtection="0"/>
    <xf numFmtId="0" fontId="39" fillId="0" borderId="0" applyNumberFormat="0" applyFill="0" applyBorder="0" applyAlignment="0" applyProtection="0"/>
    <xf numFmtId="0" fontId="42" fillId="10" borderId="12" applyNumberFormat="0" applyAlignment="0" applyProtection="0"/>
    <xf numFmtId="0" fontId="5" fillId="0" borderId="0"/>
    <xf numFmtId="0" fontId="4" fillId="0" borderId="0"/>
    <xf numFmtId="0" fontId="54" fillId="0" borderId="0" applyNumberFormat="0" applyFill="0" applyBorder="0" applyAlignment="0" applyProtection="0"/>
    <xf numFmtId="0" fontId="3" fillId="14" borderId="0" applyNumberFormat="0" applyBorder="0" applyAlignment="0" applyProtection="0"/>
    <xf numFmtId="0" fontId="81" fillId="15" borderId="14" applyNumberFormat="0" applyAlignment="0" applyProtection="0"/>
    <xf numFmtId="0" fontId="82" fillId="0" borderId="15" applyNumberFormat="0" applyFill="0" applyAlignment="0" applyProtection="0"/>
    <xf numFmtId="0" fontId="2" fillId="16" borderId="0" applyNumberFormat="0" applyBorder="0" applyAlignment="0" applyProtection="0"/>
    <xf numFmtId="0" fontId="2" fillId="17" borderId="0" applyNumberFormat="0" applyBorder="0" applyAlignment="0" applyProtection="0"/>
    <xf numFmtId="0" fontId="83"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91" fillId="10" borderId="14" applyNumberFormat="0" applyAlignment="0" applyProtection="0"/>
    <xf numFmtId="0" fontId="1" fillId="21" borderId="0" applyNumberFormat="0" applyBorder="0" applyAlignment="0" applyProtection="0"/>
  </cellStyleXfs>
  <cellXfs count="543">
    <xf numFmtId="0" fontId="0" fillId="0" borderId="0" xfId="0"/>
    <xf numFmtId="3" fontId="0" fillId="0" borderId="0" xfId="0" applyNumberFormat="1"/>
    <xf numFmtId="9" fontId="0" fillId="0" borderId="0" xfId="1" applyFont="1"/>
    <xf numFmtId="178" fontId="0" fillId="0" borderId="0" xfId="1" applyNumberFormat="1" applyFont="1"/>
    <xf numFmtId="10" fontId="0" fillId="0" borderId="0" xfId="1" applyNumberFormat="1" applyFont="1"/>
    <xf numFmtId="1" fontId="0" fillId="0" borderId="0" xfId="0" applyNumberFormat="1"/>
    <xf numFmtId="10" fontId="0" fillId="0" borderId="0" xfId="0" applyNumberFormat="1"/>
    <xf numFmtId="2" fontId="0" fillId="0" borderId="0" xfId="0" applyNumberFormat="1"/>
    <xf numFmtId="1" fontId="8" fillId="0" borderId="0" xfId="0" applyNumberFormat="1" applyFont="1"/>
    <xf numFmtId="2" fontId="0" fillId="0" borderId="0" xfId="1" applyNumberFormat="1" applyFont="1"/>
    <xf numFmtId="3" fontId="0" fillId="0" borderId="0" xfId="1" applyNumberFormat="1" applyFont="1"/>
    <xf numFmtId="0" fontId="0" fillId="0" borderId="0" xfId="0" applyAlignment="1">
      <alignment horizontal="center"/>
    </xf>
    <xf numFmtId="179" fontId="8" fillId="0" borderId="0" xfId="0" applyNumberFormat="1" applyFont="1" applyAlignment="1">
      <alignment horizontal="center"/>
    </xf>
    <xf numFmtId="0" fontId="0" fillId="0" borderId="0" xfId="0" applyAlignment="1">
      <alignment horizontal="right"/>
    </xf>
    <xf numFmtId="0" fontId="0" fillId="0" borderId="0" xfId="1" applyNumberFormat="1" applyFont="1"/>
    <xf numFmtId="178" fontId="0" fillId="0" borderId="0" xfId="0" applyNumberFormat="1"/>
    <xf numFmtId="0" fontId="0" fillId="0" borderId="0" xfId="0" applyAlignment="1">
      <alignment wrapText="1"/>
    </xf>
    <xf numFmtId="43" fontId="0" fillId="0" borderId="0" xfId="0" applyNumberFormat="1"/>
    <xf numFmtId="1" fontId="8" fillId="0" borderId="0" xfId="0" applyNumberFormat="1" applyFont="1" applyAlignment="1">
      <alignment wrapText="1"/>
    </xf>
    <xf numFmtId="183" fontId="8" fillId="0" borderId="0" xfId="0" applyNumberFormat="1" applyFont="1" applyAlignment="1">
      <alignment horizontal="center"/>
    </xf>
    <xf numFmtId="0" fontId="8" fillId="0" borderId="0" xfId="0" applyFont="1" applyAlignment="1">
      <alignment horizontal="center"/>
    </xf>
    <xf numFmtId="0" fontId="10" fillId="0" borderId="0" xfId="0" applyFont="1"/>
    <xf numFmtId="3" fontId="0" fillId="0" borderId="0" xfId="0" applyNumberFormat="1" applyAlignment="1">
      <alignment horizontal="center"/>
    </xf>
    <xf numFmtId="184" fontId="8" fillId="0" borderId="0" xfId="0" applyNumberFormat="1" applyFont="1" applyAlignment="1">
      <alignment horizontal="center"/>
    </xf>
    <xf numFmtId="14" fontId="0" fillId="0" borderId="0" xfId="0" applyNumberFormat="1"/>
    <xf numFmtId="4" fontId="0" fillId="0" borderId="0" xfId="0" applyNumberFormat="1"/>
    <xf numFmtId="185" fontId="8" fillId="0" borderId="0" xfId="0" applyNumberFormat="1" applyFont="1" applyAlignment="1">
      <alignment horizontal="center"/>
    </xf>
    <xf numFmtId="3" fontId="11" fillId="0" borderId="4" xfId="0" applyNumberFormat="1" applyFont="1" applyBorder="1" applyAlignment="1">
      <alignment horizontal="center" vertical="center" wrapText="1"/>
    </xf>
    <xf numFmtId="1" fontId="0" fillId="0" borderId="0" xfId="1" applyNumberFormat="1" applyFont="1"/>
    <xf numFmtId="3" fontId="10" fillId="0" borderId="0" xfId="0" applyNumberFormat="1" applyFont="1"/>
    <xf numFmtId="2" fontId="0" fillId="0" borderId="0" xfId="0" applyNumberFormat="1" applyAlignment="1">
      <alignment horizontal="right"/>
    </xf>
    <xf numFmtId="186" fontId="0" fillId="0" borderId="0" xfId="2" applyNumberFormat="1" applyFont="1"/>
    <xf numFmtId="0" fontId="13" fillId="0" borderId="0" xfId="0" applyFont="1"/>
    <xf numFmtId="0" fontId="13" fillId="0" borderId="0" xfId="0" applyFont="1" applyAlignment="1">
      <alignment horizontal="left" vertical="top"/>
    </xf>
    <xf numFmtId="0" fontId="14" fillId="0" borderId="0" xfId="0" applyFont="1" applyAlignment="1">
      <alignment horizontal="left" vertical="top" wrapText="1"/>
    </xf>
    <xf numFmtId="0" fontId="15" fillId="3" borderId="5" xfId="0" applyFont="1" applyFill="1" applyBorder="1" applyAlignment="1">
      <alignment horizontal="right" vertical="top" wrapText="1"/>
    </xf>
    <xf numFmtId="0" fontId="15" fillId="3" borderId="6" xfId="0" applyFont="1" applyFill="1" applyBorder="1" applyAlignment="1">
      <alignment horizontal="right" vertical="top" wrapText="1"/>
    </xf>
    <xf numFmtId="0" fontId="13" fillId="0" borderId="0" xfId="0" applyFont="1" applyAlignment="1">
      <alignment horizontal="right" vertical="top" wrapText="1"/>
    </xf>
    <xf numFmtId="0" fontId="16" fillId="0" borderId="0" xfId="0" applyFont="1" applyAlignment="1">
      <alignment horizontal="left" vertical="top"/>
    </xf>
    <xf numFmtId="187" fontId="13" fillId="0" borderId="0" xfId="0" applyNumberFormat="1" applyFont="1" applyAlignment="1">
      <alignment horizontal="right" vertical="top" wrapText="1"/>
    </xf>
    <xf numFmtId="189" fontId="13" fillId="0" borderId="0" xfId="0" applyNumberFormat="1" applyFont="1" applyAlignment="1">
      <alignment horizontal="right" vertical="top" wrapText="1"/>
    </xf>
    <xf numFmtId="190" fontId="13" fillId="0" borderId="0" xfId="0" applyNumberFormat="1" applyFont="1" applyAlignment="1">
      <alignment horizontal="right" vertical="top" wrapText="1"/>
    </xf>
    <xf numFmtId="178" fontId="13" fillId="0" borderId="0" xfId="1" applyNumberFormat="1" applyFont="1" applyAlignment="1">
      <alignment horizontal="right" vertical="top" wrapText="1"/>
    </xf>
    <xf numFmtId="0" fontId="17" fillId="0" borderId="0" xfId="0" applyFont="1" applyAlignment="1">
      <alignment horizontal="left" vertical="top"/>
    </xf>
    <xf numFmtId="0" fontId="0" fillId="0" borderId="0" xfId="0" applyAlignment="1">
      <alignment horizontal="left" vertical="top"/>
    </xf>
    <xf numFmtId="0" fontId="0" fillId="0" borderId="0" xfId="0" applyAlignment="1">
      <alignment horizontal="right" vertical="top"/>
    </xf>
    <xf numFmtId="14" fontId="0" fillId="0" borderId="0" xfId="0" applyNumberFormat="1" applyAlignment="1">
      <alignment horizontal="right" vertical="top"/>
    </xf>
    <xf numFmtId="0" fontId="0" fillId="0" borderId="0" xfId="0" applyAlignment="1">
      <alignment horizontal="right" vertical="top" wrapText="1"/>
    </xf>
    <xf numFmtId="187" fontId="0" fillId="0" borderId="0" xfId="0" applyNumberFormat="1" applyAlignment="1">
      <alignment horizontal="right" vertical="top"/>
    </xf>
    <xf numFmtId="189" fontId="0" fillId="0" borderId="0" xfId="0" applyNumberFormat="1" applyAlignment="1">
      <alignment horizontal="right" vertical="top"/>
    </xf>
    <xf numFmtId="0" fontId="10" fillId="0" borderId="0" xfId="0" applyFont="1" applyAlignment="1">
      <alignment horizontal="left" vertical="top"/>
    </xf>
    <xf numFmtId="0" fontId="10" fillId="0" borderId="0" xfId="0" applyFont="1" applyAlignment="1">
      <alignment horizontal="right" vertical="top"/>
    </xf>
    <xf numFmtId="189" fontId="10" fillId="0" borderId="0" xfId="0" applyNumberFormat="1" applyFont="1" applyAlignment="1">
      <alignment horizontal="right" vertical="top"/>
    </xf>
    <xf numFmtId="0" fontId="12" fillId="0" borderId="0" xfId="0" applyFont="1"/>
    <xf numFmtId="2" fontId="0" fillId="0" borderId="0" xfId="0" applyNumberFormat="1" applyAlignment="1">
      <alignment horizontal="right" vertical="top"/>
    </xf>
    <xf numFmtId="2" fontId="10" fillId="0" borderId="0" xfId="0" applyNumberFormat="1" applyFont="1" applyAlignment="1">
      <alignment horizontal="right" vertical="top"/>
    </xf>
    <xf numFmtId="14" fontId="0" fillId="0" borderId="0" xfId="0" applyNumberFormat="1" applyAlignment="1">
      <alignment horizontal="right" vertical="top" wrapText="1"/>
    </xf>
    <xf numFmtId="187" fontId="0" fillId="0" borderId="0" xfId="0" applyNumberFormat="1" applyAlignment="1">
      <alignment horizontal="right" vertical="top" wrapText="1"/>
    </xf>
    <xf numFmtId="0" fontId="20" fillId="0" borderId="0" xfId="0" applyFont="1"/>
    <xf numFmtId="0" fontId="20" fillId="0" borderId="0" xfId="0" applyFont="1" applyAlignment="1">
      <alignment horizontal="center"/>
    </xf>
    <xf numFmtId="0" fontId="21" fillId="0" borderId="0" xfId="0" applyFont="1"/>
    <xf numFmtId="0" fontId="0" fillId="4" borderId="0" xfId="0" applyFill="1"/>
    <xf numFmtId="0" fontId="22" fillId="4" borderId="0" xfId="0" applyFont="1" applyFill="1" applyAlignment="1">
      <alignment horizontal="center"/>
    </xf>
    <xf numFmtId="0" fontId="0" fillId="4" borderId="0" xfId="0" applyFill="1" applyAlignment="1">
      <alignment horizontal="center"/>
    </xf>
    <xf numFmtId="0" fontId="21" fillId="4" borderId="0" xfId="0" applyFont="1" applyFill="1"/>
    <xf numFmtId="0" fontId="23" fillId="4" borderId="0" xfId="0" applyFont="1" applyFill="1" applyAlignment="1">
      <alignment horizontal="center"/>
    </xf>
    <xf numFmtId="0" fontId="21" fillId="4" borderId="0" xfId="0" applyFont="1" applyFill="1" applyAlignment="1">
      <alignment horizontal="center"/>
    </xf>
    <xf numFmtId="0" fontId="21" fillId="4" borderId="0" xfId="0" applyFont="1" applyFill="1" applyAlignment="1">
      <alignment horizontal="right"/>
    </xf>
    <xf numFmtId="0" fontId="10" fillId="4" borderId="0" xfId="0" applyFont="1" applyFill="1" applyAlignment="1">
      <alignment horizontal="left"/>
    </xf>
    <xf numFmtId="0" fontId="22" fillId="5" borderId="0" xfId="0" applyFont="1" applyFill="1" applyAlignment="1">
      <alignment horizontal="center"/>
    </xf>
    <xf numFmtId="0" fontId="24" fillId="6" borderId="0" xfId="0" applyFont="1" applyFill="1" applyAlignment="1">
      <alignment horizontal="center"/>
    </xf>
    <xf numFmtId="0" fontId="25" fillId="4" borderId="0" xfId="0" applyFont="1" applyFill="1"/>
    <xf numFmtId="0" fontId="26" fillId="4" borderId="0" xfId="0" applyFont="1" applyFill="1"/>
    <xf numFmtId="0" fontId="27" fillId="4" borderId="0" xfId="0" applyFont="1" applyFill="1"/>
    <xf numFmtId="0" fontId="10" fillId="4" borderId="0" xfId="0" applyFont="1" applyFill="1"/>
    <xf numFmtId="0" fontId="22" fillId="4" borderId="0" xfId="0" applyFont="1" applyFill="1"/>
    <xf numFmtId="0" fontId="20" fillId="4" borderId="7" xfId="0" applyFont="1" applyFill="1" applyBorder="1"/>
    <xf numFmtId="0" fontId="28" fillId="4" borderId="7" xfId="0" applyFont="1" applyFill="1" applyBorder="1" applyAlignment="1">
      <alignment horizontal="center"/>
    </xf>
    <xf numFmtId="176" fontId="28" fillId="4" borderId="7" xfId="0" applyNumberFormat="1" applyFont="1" applyFill="1" applyBorder="1" applyAlignment="1">
      <alignment horizontal="center"/>
    </xf>
    <xf numFmtId="0" fontId="28" fillId="4" borderId="0" xfId="0" applyFont="1" applyFill="1"/>
    <xf numFmtId="176" fontId="10" fillId="4" borderId="0" xfId="0" applyNumberFormat="1" applyFont="1" applyFill="1" applyAlignment="1">
      <alignment horizontal="center"/>
    </xf>
    <xf numFmtId="178" fontId="10" fillId="4" borderId="0" xfId="0" applyNumberFormat="1" applyFont="1" applyFill="1" applyAlignment="1">
      <alignment horizontal="center"/>
    </xf>
    <xf numFmtId="0" fontId="10" fillId="4" borderId="0" xfId="0" applyFont="1" applyFill="1" applyAlignment="1">
      <alignment horizontal="center"/>
    </xf>
    <xf numFmtId="0" fontId="22" fillId="4" borderId="0" xfId="0" applyFont="1" applyFill="1" applyAlignment="1">
      <alignment horizontal="left" indent="1"/>
    </xf>
    <xf numFmtId="176" fontId="22" fillId="7" borderId="0" xfId="0" quotePrefix="1" applyNumberFormat="1" applyFont="1" applyFill="1" applyAlignment="1">
      <alignment horizontal="right"/>
    </xf>
    <xf numFmtId="176" fontId="22" fillId="7" borderId="0" xfId="0" applyNumberFormat="1" applyFont="1" applyFill="1" applyAlignment="1">
      <alignment horizontal="center"/>
    </xf>
    <xf numFmtId="176" fontId="22" fillId="4" borderId="0" xfId="0" applyNumberFormat="1" applyFont="1" applyFill="1" applyAlignment="1">
      <alignment horizontal="center"/>
    </xf>
    <xf numFmtId="178" fontId="22" fillId="4" borderId="0" xfId="0" applyNumberFormat="1" applyFont="1" applyFill="1" applyAlignment="1">
      <alignment horizontal="center"/>
    </xf>
    <xf numFmtId="178" fontId="29" fillId="7" borderId="8" xfId="0" applyNumberFormat="1" applyFont="1" applyFill="1" applyBorder="1" applyAlignment="1">
      <alignment horizontal="center"/>
    </xf>
    <xf numFmtId="0" fontId="30" fillId="4" borderId="0" xfId="0" applyFont="1" applyFill="1" applyAlignment="1">
      <alignment horizontal="center"/>
    </xf>
    <xf numFmtId="177" fontId="22" fillId="4" borderId="0" xfId="0" applyNumberFormat="1" applyFont="1" applyFill="1"/>
    <xf numFmtId="191" fontId="22" fillId="7" borderId="0" xfId="0" quotePrefix="1" applyNumberFormat="1" applyFont="1" applyFill="1" applyAlignment="1">
      <alignment horizontal="right"/>
    </xf>
    <xf numFmtId="178" fontId="22" fillId="4" borderId="0" xfId="0" quotePrefix="1" applyNumberFormat="1" applyFont="1" applyFill="1" applyAlignment="1">
      <alignment horizontal="center"/>
    </xf>
    <xf numFmtId="176" fontId="29" fillId="7" borderId="8" xfId="0" applyNumberFormat="1" applyFont="1" applyFill="1" applyBorder="1"/>
    <xf numFmtId="0" fontId="10" fillId="4" borderId="0" xfId="0" applyFont="1" applyFill="1" applyAlignment="1">
      <alignment horizontal="left" indent="1"/>
    </xf>
    <xf numFmtId="9" fontId="10" fillId="4" borderId="0" xfId="0" applyNumberFormat="1" applyFont="1" applyFill="1" applyAlignment="1">
      <alignment horizontal="center"/>
    </xf>
    <xf numFmtId="0" fontId="30" fillId="4" borderId="0" xfId="0" applyFont="1" applyFill="1"/>
    <xf numFmtId="178" fontId="30" fillId="4" borderId="0" xfId="0" applyNumberFormat="1" applyFont="1" applyFill="1" applyAlignment="1">
      <alignment horizontal="center"/>
    </xf>
    <xf numFmtId="0" fontId="22" fillId="4" borderId="0" xfId="0" applyFont="1" applyFill="1" applyAlignment="1">
      <alignment horizontal="left"/>
    </xf>
    <xf numFmtId="176" fontId="0" fillId="4" borderId="0" xfId="0" applyNumberFormat="1" applyFill="1" applyAlignment="1">
      <alignment horizontal="center"/>
    </xf>
    <xf numFmtId="0" fontId="31" fillId="4" borderId="0" xfId="0" applyFont="1" applyFill="1" applyAlignment="1">
      <alignment horizontal="center"/>
    </xf>
    <xf numFmtId="178" fontId="0" fillId="4" borderId="0" xfId="0" applyNumberFormat="1" applyFill="1"/>
    <xf numFmtId="178" fontId="0" fillId="4" borderId="0" xfId="0" applyNumberFormat="1" applyFill="1" applyAlignment="1">
      <alignment horizontal="center"/>
    </xf>
    <xf numFmtId="176" fontId="0" fillId="4" borderId="0" xfId="0" applyNumberFormat="1" applyFill="1"/>
    <xf numFmtId="176" fontId="30" fillId="4" borderId="9" xfId="0" applyNumberFormat="1" applyFont="1" applyFill="1" applyBorder="1" applyAlignment="1">
      <alignment horizontal="center"/>
    </xf>
    <xf numFmtId="176" fontId="0" fillId="7" borderId="0" xfId="0" applyNumberFormat="1" applyFill="1" applyAlignment="1">
      <alignment horizontal="center"/>
    </xf>
    <xf numFmtId="0" fontId="32" fillId="4" borderId="0" xfId="0" applyFont="1" applyFill="1"/>
    <xf numFmtId="186" fontId="0" fillId="4" borderId="0" xfId="0" applyNumberFormat="1" applyFill="1" applyAlignment="1">
      <alignment horizontal="center"/>
    </xf>
    <xf numFmtId="176" fontId="30" fillId="4" borderId="10" xfId="0" applyNumberFormat="1" applyFont="1" applyFill="1" applyBorder="1" applyAlignment="1">
      <alignment horizontal="center"/>
    </xf>
    <xf numFmtId="9" fontId="30" fillId="4" borderId="0" xfId="0" applyNumberFormat="1" applyFont="1" applyFill="1"/>
    <xf numFmtId="0" fontId="33" fillId="4" borderId="0" xfId="0" applyFont="1" applyFill="1"/>
    <xf numFmtId="0" fontId="0" fillId="4" borderId="0" xfId="0" applyFill="1" applyAlignment="1">
      <alignment horizontal="left"/>
    </xf>
    <xf numFmtId="176" fontId="10" fillId="4" borderId="10" xfId="0" applyNumberFormat="1" applyFont="1" applyFill="1" applyBorder="1" applyAlignment="1">
      <alignment horizontal="center"/>
    </xf>
    <xf numFmtId="176" fontId="30" fillId="4" borderId="0" xfId="0" applyNumberFormat="1" applyFont="1" applyFill="1" applyAlignment="1">
      <alignment horizontal="center"/>
    </xf>
    <xf numFmtId="176" fontId="34" fillId="4" borderId="0" xfId="0" applyNumberFormat="1" applyFont="1" applyFill="1" applyAlignment="1">
      <alignment horizontal="center"/>
    </xf>
    <xf numFmtId="178" fontId="0" fillId="4" borderId="0" xfId="1" applyNumberFormat="1" applyFont="1" applyFill="1"/>
    <xf numFmtId="186" fontId="0" fillId="7" borderId="0" xfId="0" applyNumberFormat="1" applyFill="1" applyAlignment="1">
      <alignment horizontal="center"/>
    </xf>
    <xf numFmtId="0" fontId="35" fillId="4" borderId="7" xfId="0" applyFont="1" applyFill="1" applyBorder="1" applyAlignment="1">
      <alignment horizontal="center"/>
    </xf>
    <xf numFmtId="0" fontId="35" fillId="4" borderId="0" xfId="0" applyFont="1" applyFill="1"/>
    <xf numFmtId="0" fontId="36" fillId="4" borderId="0" xfId="0" quotePrefix="1" applyFont="1" applyFill="1" applyAlignment="1">
      <alignment horizontal="left" indent="1"/>
    </xf>
    <xf numFmtId="176" fontId="36" fillId="4" borderId="0" xfId="0" applyNumberFormat="1" applyFont="1" applyFill="1" applyAlignment="1">
      <alignment horizontal="center"/>
    </xf>
    <xf numFmtId="0" fontId="36" fillId="4" borderId="0" xfId="0" applyFont="1" applyFill="1"/>
    <xf numFmtId="9" fontId="30" fillId="4" borderId="0" xfId="1" applyFont="1" applyFill="1" applyBorder="1" applyAlignment="1">
      <alignment horizontal="center"/>
    </xf>
    <xf numFmtId="178" fontId="36" fillId="4" borderId="0" xfId="0" applyNumberFormat="1" applyFont="1" applyFill="1" applyAlignment="1">
      <alignment horizontal="center"/>
    </xf>
    <xf numFmtId="178" fontId="30" fillId="4" borderId="0" xfId="1" applyNumberFormat="1" applyFont="1" applyFill="1" applyAlignment="1">
      <alignment horizontal="center"/>
    </xf>
    <xf numFmtId="0" fontId="23" fillId="4" borderId="7" xfId="0" applyFont="1" applyFill="1" applyBorder="1" applyAlignment="1">
      <alignment horizontal="center"/>
    </xf>
    <xf numFmtId="178" fontId="36" fillId="4" borderId="0" xfId="1" applyNumberFormat="1" applyFont="1" applyFill="1" applyAlignment="1">
      <alignment horizontal="center"/>
    </xf>
    <xf numFmtId="178" fontId="22" fillId="4" borderId="0" xfId="1" applyNumberFormat="1" applyFont="1" applyFill="1" applyAlignment="1">
      <alignment horizontal="center"/>
    </xf>
    <xf numFmtId="189" fontId="0" fillId="0" borderId="0" xfId="0" applyNumberFormat="1" applyAlignment="1">
      <alignment horizontal="right" vertical="top" wrapText="1"/>
    </xf>
    <xf numFmtId="176" fontId="37" fillId="8" borderId="0" xfId="3" applyNumberFormat="1" applyAlignment="1">
      <alignment horizontal="center"/>
    </xf>
    <xf numFmtId="0" fontId="39" fillId="4" borderId="0" xfId="5" applyFill="1"/>
    <xf numFmtId="186" fontId="9" fillId="2" borderId="1" xfId="2" applyNumberFormat="1" applyFont="1" applyFill="1" applyBorder="1" applyAlignment="1">
      <alignment horizontal="right" vertical="top" wrapText="1"/>
    </xf>
    <xf numFmtId="186" fontId="0" fillId="0" borderId="0" xfId="2" applyNumberFormat="1" applyFont="1" applyAlignment="1">
      <alignment horizontal="left" vertical="top"/>
    </xf>
    <xf numFmtId="186" fontId="0" fillId="0" borderId="0" xfId="2" applyNumberFormat="1" applyFont="1" applyAlignment="1">
      <alignment horizontal="left" vertical="top" wrapText="1"/>
    </xf>
    <xf numFmtId="186" fontId="0" fillId="0" borderId="0" xfId="2" applyNumberFormat="1" applyFont="1" applyAlignment="1">
      <alignment horizontal="right" vertical="top" wrapText="1"/>
    </xf>
    <xf numFmtId="0" fontId="38" fillId="9" borderId="11" xfId="4" applyAlignment="1">
      <alignment horizontal="center"/>
    </xf>
    <xf numFmtId="0" fontId="40" fillId="4" borderId="0" xfId="0" applyFont="1" applyFill="1"/>
    <xf numFmtId="9" fontId="0" fillId="0" borderId="0" xfId="0" applyNumberFormat="1"/>
    <xf numFmtId="177" fontId="22" fillId="4" borderId="0" xfId="0" applyNumberFormat="1" applyFont="1" applyFill="1" applyAlignment="1">
      <alignment horizontal="center"/>
    </xf>
    <xf numFmtId="9" fontId="22" fillId="4" borderId="0" xfId="1" applyFont="1" applyFill="1" applyAlignment="1">
      <alignment horizontal="center"/>
    </xf>
    <xf numFmtId="176" fontId="22" fillId="4" borderId="0" xfId="0" quotePrefix="1" applyNumberFormat="1" applyFont="1" applyFill="1" applyAlignment="1">
      <alignment horizontal="right"/>
    </xf>
    <xf numFmtId="9" fontId="13" fillId="0" borderId="0" xfId="1" applyFont="1" applyAlignment="1">
      <alignment horizontal="right" vertical="top" wrapText="1"/>
    </xf>
    <xf numFmtId="9" fontId="13" fillId="12" borderId="0" xfId="1" applyFont="1" applyFill="1" applyAlignment="1">
      <alignment horizontal="right" vertical="top" wrapText="1"/>
    </xf>
    <xf numFmtId="177" fontId="0" fillId="0" borderId="0" xfId="2" applyFont="1" applyAlignment="1">
      <alignment horizontal="right" vertical="top" wrapText="1"/>
    </xf>
    <xf numFmtId="177" fontId="0" fillId="0" borderId="0" xfId="2" applyFont="1"/>
    <xf numFmtId="176" fontId="46" fillId="0" borderId="0" xfId="3" applyNumberFormat="1" applyFont="1" applyFill="1" applyAlignment="1">
      <alignment horizontal="center"/>
    </xf>
    <xf numFmtId="186" fontId="14" fillId="0" borderId="0" xfId="2" applyNumberFormat="1" applyFont="1" applyAlignment="1" applyProtection="1">
      <alignment horizontal="left" vertical="top" wrapText="1"/>
      <protection locked="0"/>
    </xf>
    <xf numFmtId="186" fontId="16" fillId="0" borderId="0" xfId="2" applyNumberFormat="1" applyFont="1" applyAlignment="1" applyProtection="1">
      <alignment horizontal="left" vertical="top"/>
      <protection locked="0"/>
    </xf>
    <xf numFmtId="186" fontId="0" fillId="0" borderId="0" xfId="2" applyNumberFormat="1" applyFont="1" applyAlignment="1" applyProtection="1">
      <alignment horizontal="left" vertical="top" wrapText="1"/>
      <protection locked="0"/>
    </xf>
    <xf numFmtId="0" fontId="22" fillId="4" borderId="0" xfId="0" applyFont="1" applyFill="1" applyAlignment="1" applyProtection="1">
      <alignment horizontal="left" indent="1"/>
      <protection locked="0"/>
    </xf>
    <xf numFmtId="0" fontId="0" fillId="4" borderId="0" xfId="0" applyFill="1" applyProtection="1">
      <protection locked="0"/>
    </xf>
    <xf numFmtId="0" fontId="22" fillId="4" borderId="0" xfId="0" applyFont="1" applyFill="1" applyAlignment="1" applyProtection="1">
      <alignment horizontal="left"/>
      <protection locked="0"/>
    </xf>
    <xf numFmtId="0" fontId="22" fillId="4" borderId="0" xfId="0" applyFont="1" applyFill="1" applyProtection="1">
      <protection locked="0"/>
    </xf>
    <xf numFmtId="177" fontId="0" fillId="0" borderId="0" xfId="2" applyFont="1" applyAlignment="1" applyProtection="1">
      <alignment horizontal="left" vertical="top" wrapText="1"/>
      <protection locked="0"/>
    </xf>
    <xf numFmtId="186" fontId="0" fillId="0" borderId="0" xfId="2" applyNumberFormat="1" applyFont="1" applyProtection="1">
      <protection locked="0"/>
    </xf>
    <xf numFmtId="186" fontId="0" fillId="0" borderId="0" xfId="2" applyNumberFormat="1" applyFont="1" applyAlignment="1" applyProtection="1">
      <alignment horizontal="left" vertical="center" wrapText="1"/>
      <protection locked="0"/>
    </xf>
    <xf numFmtId="186" fontId="47" fillId="0" borderId="0" xfId="2" applyNumberFormat="1" applyFont="1" applyAlignment="1" applyProtection="1">
      <alignment horizontal="left" vertical="top" wrapText="1"/>
      <protection locked="0"/>
    </xf>
    <xf numFmtId="186" fontId="49" fillId="0" borderId="0" xfId="2" applyNumberFormat="1" applyFont="1" applyAlignment="1" applyProtection="1">
      <alignment horizontal="left" vertical="top" wrapText="1"/>
      <protection locked="0"/>
    </xf>
    <xf numFmtId="0" fontId="10" fillId="0" borderId="0" xfId="0" applyFont="1" applyProtection="1">
      <protection locked="0"/>
    </xf>
    <xf numFmtId="0" fontId="21" fillId="0" borderId="0" xfId="0" applyFont="1" applyProtection="1">
      <protection locked="0"/>
    </xf>
    <xf numFmtId="0" fontId="0" fillId="0" borderId="0" xfId="0" applyProtection="1">
      <protection locked="0"/>
    </xf>
    <xf numFmtId="186" fontId="48" fillId="0" borderId="0" xfId="2" applyNumberFormat="1" applyFont="1" applyAlignment="1" applyProtection="1">
      <alignment horizontal="left" vertical="top" wrapText="1"/>
      <protection locked="0"/>
    </xf>
    <xf numFmtId="0" fontId="4" fillId="0" borderId="0" xfId="8"/>
    <xf numFmtId="0" fontId="43" fillId="0" borderId="0" xfId="8" applyFont="1" applyAlignment="1">
      <alignment horizontal="left"/>
    </xf>
    <xf numFmtId="0" fontId="43" fillId="0" borderId="0" xfId="8" applyFont="1"/>
    <xf numFmtId="0" fontId="44" fillId="11" borderId="0" xfId="8" applyFont="1" applyFill="1" applyAlignment="1">
      <alignment horizontal="left" vertical="top"/>
    </xf>
    <xf numFmtId="192" fontId="4" fillId="0" borderId="0" xfId="8" applyNumberFormat="1" applyAlignment="1">
      <alignment horizontal="right" vertical="top" wrapText="1"/>
    </xf>
    <xf numFmtId="14" fontId="4" fillId="0" borderId="0" xfId="8" applyNumberFormat="1" applyAlignment="1">
      <alignment horizontal="left" vertical="top" wrapText="1"/>
    </xf>
    <xf numFmtId="187" fontId="16" fillId="0" borderId="0" xfId="0" applyNumberFormat="1" applyFont="1" applyAlignment="1">
      <alignment horizontal="right" vertical="top" wrapText="1"/>
    </xf>
    <xf numFmtId="0" fontId="16" fillId="0" borderId="0" xfId="0" applyFont="1" applyAlignment="1">
      <alignment horizontal="right" vertical="top" wrapText="1"/>
    </xf>
    <xf numFmtId="186" fontId="14" fillId="0" borderId="0" xfId="2" applyNumberFormat="1" applyFont="1" applyAlignment="1">
      <alignment horizontal="left" vertical="top" wrapText="1"/>
    </xf>
    <xf numFmtId="186" fontId="16" fillId="0" borderId="0" xfId="2" applyNumberFormat="1" applyFont="1" applyAlignment="1">
      <alignment horizontal="left" vertical="top"/>
    </xf>
    <xf numFmtId="186" fontId="16" fillId="0" borderId="0" xfId="2" applyNumberFormat="1" applyFont="1" applyAlignment="1" applyProtection="1">
      <alignment horizontal="left" vertical="center"/>
      <protection locked="0"/>
    </xf>
    <xf numFmtId="0" fontId="4" fillId="0" borderId="0" xfId="0" applyFont="1" applyAlignment="1">
      <alignment horizontal="left" vertical="top"/>
    </xf>
    <xf numFmtId="0" fontId="4" fillId="0" borderId="0" xfId="0" applyFont="1" applyAlignment="1">
      <alignment horizontal="right" vertical="top"/>
    </xf>
    <xf numFmtId="189" fontId="4" fillId="0" borderId="0" xfId="0" applyNumberFormat="1" applyFont="1" applyAlignment="1">
      <alignment horizontal="right" vertical="top"/>
    </xf>
    <xf numFmtId="181" fontId="0" fillId="0" borderId="0" xfId="2" applyNumberFormat="1" applyFont="1" applyAlignment="1">
      <alignment horizontal="right" vertical="top" wrapText="1"/>
    </xf>
    <xf numFmtId="176" fontId="50" fillId="4" borderId="0" xfId="0" applyNumberFormat="1" applyFont="1" applyFill="1" applyAlignment="1">
      <alignment horizontal="center"/>
    </xf>
    <xf numFmtId="176" fontId="22" fillId="7" borderId="0" xfId="0" applyNumberFormat="1" applyFont="1" applyFill="1" applyAlignment="1">
      <alignment horizontal="right"/>
    </xf>
    <xf numFmtId="176" fontId="50" fillId="7" borderId="0" xfId="0" applyNumberFormat="1" applyFont="1" applyFill="1" applyAlignment="1">
      <alignment horizontal="right"/>
    </xf>
    <xf numFmtId="186" fontId="0" fillId="0" borderId="0" xfId="2" applyNumberFormat="1" applyFont="1" applyAlignment="1" applyProtection="1">
      <alignment horizontal="left" vertical="top"/>
      <protection locked="0"/>
    </xf>
    <xf numFmtId="178" fontId="51" fillId="4" borderId="0" xfId="0" applyNumberFormat="1" applyFont="1" applyFill="1" applyAlignment="1">
      <alignment horizontal="center"/>
    </xf>
    <xf numFmtId="0" fontId="50" fillId="4" borderId="0" xfId="0" applyFont="1" applyFill="1" applyAlignment="1">
      <alignment horizontal="center"/>
    </xf>
    <xf numFmtId="186" fontId="0" fillId="0" borderId="0" xfId="0" applyNumberFormat="1"/>
    <xf numFmtId="0" fontId="33" fillId="4" borderId="0" xfId="0" applyFont="1" applyFill="1" applyAlignment="1">
      <alignment horizontal="left" indent="1"/>
    </xf>
    <xf numFmtId="0" fontId="53" fillId="13" borderId="13" xfId="0" applyFont="1" applyFill="1" applyBorder="1" applyAlignment="1">
      <alignment horizontal="right" vertical="top" wrapText="1"/>
    </xf>
    <xf numFmtId="188" fontId="0" fillId="0" borderId="0" xfId="0" applyNumberFormat="1" applyAlignment="1">
      <alignment horizontal="right" vertical="top" wrapText="1"/>
    </xf>
    <xf numFmtId="190" fontId="0" fillId="0" borderId="0" xfId="0" applyNumberFormat="1" applyAlignment="1">
      <alignment horizontal="right" vertical="top" wrapText="1"/>
    </xf>
    <xf numFmtId="0" fontId="54" fillId="0" borderId="0" xfId="9" applyAlignment="1">
      <alignment horizontal="left" vertical="top"/>
    </xf>
    <xf numFmtId="187" fontId="0" fillId="0" borderId="0" xfId="0" applyNumberFormat="1"/>
    <xf numFmtId="40" fontId="0" fillId="0" borderId="0" xfId="0" applyNumberFormat="1"/>
    <xf numFmtId="189" fontId="0" fillId="0" borderId="0" xfId="0" applyNumberFormat="1"/>
    <xf numFmtId="190" fontId="0" fillId="0" borderId="0" xfId="0" applyNumberFormat="1"/>
    <xf numFmtId="0" fontId="55" fillId="0" borderId="0" xfId="0" applyFont="1"/>
    <xf numFmtId="0" fontId="56" fillId="0" borderId="0" xfId="0" applyFont="1" applyAlignment="1">
      <alignment horizontal="left" vertical="top"/>
    </xf>
    <xf numFmtId="0" fontId="57" fillId="0" borderId="0" xfId="0" applyFont="1" applyAlignment="1">
      <alignment wrapText="1"/>
    </xf>
    <xf numFmtId="26" fontId="57" fillId="0" borderId="0" xfId="0" applyNumberFormat="1" applyFont="1" applyAlignment="1">
      <alignment wrapText="1"/>
    </xf>
    <xf numFmtId="0" fontId="58" fillId="0" borderId="0" xfId="0" applyFont="1" applyAlignment="1">
      <alignment wrapText="1"/>
    </xf>
    <xf numFmtId="10" fontId="58" fillId="0" borderId="0" xfId="0" applyNumberFormat="1" applyFont="1" applyAlignment="1">
      <alignment wrapText="1"/>
    </xf>
    <xf numFmtId="6" fontId="57" fillId="0" borderId="0" xfId="0" applyNumberFormat="1" applyFont="1" applyAlignment="1">
      <alignment wrapText="1"/>
    </xf>
    <xf numFmtId="26" fontId="58" fillId="0" borderId="0" xfId="0" applyNumberFormat="1" applyFont="1" applyAlignment="1">
      <alignment wrapText="1"/>
    </xf>
    <xf numFmtId="6" fontId="0" fillId="0" borderId="0" xfId="0" applyNumberFormat="1"/>
    <xf numFmtId="0" fontId="59" fillId="0" borderId="0" xfId="0" applyFont="1"/>
    <xf numFmtId="10" fontId="59" fillId="0" borderId="0" xfId="0" applyNumberFormat="1" applyFont="1"/>
    <xf numFmtId="0" fontId="3" fillId="14" borderId="0" xfId="10" applyAlignment="1">
      <alignment horizontal="left" vertical="top"/>
    </xf>
    <xf numFmtId="0" fontId="3" fillId="14" borderId="0" xfId="10"/>
    <xf numFmtId="0" fontId="60" fillId="0" borderId="0" xfId="0" applyFont="1"/>
    <xf numFmtId="0" fontId="61" fillId="0" borderId="0" xfId="0" applyFont="1"/>
    <xf numFmtId="0" fontId="62" fillId="0" borderId="0" xfId="0" applyFont="1" applyAlignment="1">
      <alignment horizontal="left" vertical="top"/>
    </xf>
    <xf numFmtId="0" fontId="63" fillId="0" borderId="0" xfId="0" applyFont="1" applyAlignment="1">
      <alignment horizontal="left" vertical="top"/>
    </xf>
    <xf numFmtId="187" fontId="13" fillId="12" borderId="0" xfId="0" applyNumberFormat="1" applyFont="1" applyFill="1" applyAlignment="1">
      <alignment horizontal="right" vertical="top" wrapText="1"/>
    </xf>
    <xf numFmtId="0" fontId="0" fillId="12" borderId="0" xfId="0" applyFill="1"/>
    <xf numFmtId="0" fontId="64" fillId="0" borderId="0" xfId="0" applyFont="1"/>
    <xf numFmtId="0" fontId="16" fillId="0" borderId="0" xfId="0" applyFont="1" applyAlignment="1">
      <alignment horizontal="right" vertical="top"/>
    </xf>
    <xf numFmtId="187" fontId="59" fillId="0" borderId="0" xfId="0" applyNumberFormat="1" applyFont="1"/>
    <xf numFmtId="178" fontId="59" fillId="0" borderId="0" xfId="0" applyNumberFormat="1" applyFont="1"/>
    <xf numFmtId="0" fontId="65" fillId="0" borderId="0" xfId="0" applyFont="1" applyAlignment="1">
      <alignment horizontal="left" vertical="top" wrapText="1"/>
    </xf>
    <xf numFmtId="0" fontId="66" fillId="3" borderId="5" xfId="0" applyFont="1" applyFill="1" applyBorder="1" applyAlignment="1">
      <alignment horizontal="right" vertical="top" wrapText="1"/>
    </xf>
    <xf numFmtId="0" fontId="66" fillId="3" borderId="6" xfId="0" applyFont="1" applyFill="1" applyBorder="1" applyAlignment="1">
      <alignment horizontal="right" vertical="top" wrapText="1"/>
    </xf>
    <xf numFmtId="0" fontId="67" fillId="0" borderId="0" xfId="0" applyFont="1" applyAlignment="1">
      <alignment horizontal="left" vertical="top"/>
    </xf>
    <xf numFmtId="0" fontId="67" fillId="0" borderId="0" xfId="0" applyFont="1" applyAlignment="1">
      <alignment horizontal="right" vertical="top" wrapText="1"/>
    </xf>
    <xf numFmtId="14" fontId="67" fillId="0" borderId="0" xfId="0" applyNumberFormat="1" applyFont="1" applyAlignment="1">
      <alignment horizontal="right" vertical="top" wrapText="1"/>
    </xf>
    <xf numFmtId="0" fontId="68" fillId="0" borderId="0" xfId="0" applyFont="1" applyAlignment="1">
      <alignment horizontal="left" vertical="top"/>
    </xf>
    <xf numFmtId="187" fontId="67" fillId="0" borderId="0" xfId="0" applyNumberFormat="1" applyFont="1" applyAlignment="1">
      <alignment horizontal="right" vertical="top" wrapText="1"/>
    </xf>
    <xf numFmtId="0" fontId="69" fillId="0" borderId="0" xfId="0" applyFont="1" applyAlignment="1">
      <alignment horizontal="left" vertical="top"/>
    </xf>
    <xf numFmtId="178" fontId="67" fillId="0" borderId="0" xfId="1" applyNumberFormat="1" applyFont="1" applyAlignment="1">
      <alignment horizontal="right" vertical="top" wrapText="1"/>
    </xf>
    <xf numFmtId="188" fontId="67" fillId="0" borderId="0" xfId="0" applyNumberFormat="1" applyFont="1" applyAlignment="1">
      <alignment horizontal="right" vertical="top" wrapText="1"/>
    </xf>
    <xf numFmtId="9" fontId="67" fillId="12" borderId="0" xfId="1" applyFont="1" applyFill="1" applyAlignment="1">
      <alignment horizontal="right" vertical="top" wrapText="1"/>
    </xf>
    <xf numFmtId="9" fontId="67" fillId="0" borderId="0" xfId="1" applyFont="1" applyAlignment="1">
      <alignment horizontal="right" vertical="top" wrapText="1"/>
    </xf>
    <xf numFmtId="10" fontId="67" fillId="0" borderId="0" xfId="1" applyNumberFormat="1" applyFont="1" applyAlignment="1">
      <alignment horizontal="right" vertical="top" wrapText="1"/>
    </xf>
    <xf numFmtId="0" fontId="70" fillId="0" borderId="0" xfId="0" applyFont="1" applyAlignment="1">
      <alignment horizontal="left" vertical="top"/>
    </xf>
    <xf numFmtId="0" fontId="71" fillId="0" borderId="0" xfId="0" applyFont="1" applyAlignment="1">
      <alignment horizontal="left" vertical="top"/>
    </xf>
    <xf numFmtId="0" fontId="72" fillId="0" borderId="0" xfId="0" applyFont="1" applyAlignment="1">
      <alignment horizontal="right" vertical="top" wrapText="1"/>
    </xf>
    <xf numFmtId="0" fontId="72" fillId="0" borderId="0" xfId="0" applyFont="1"/>
    <xf numFmtId="0" fontId="72" fillId="0" borderId="0" xfId="0" applyFont="1" applyAlignment="1">
      <alignment horizontal="left" vertical="top"/>
    </xf>
    <xf numFmtId="187" fontId="72" fillId="0" borderId="0" xfId="0" applyNumberFormat="1" applyFont="1" applyAlignment="1">
      <alignment horizontal="right" vertical="top" wrapText="1"/>
    </xf>
    <xf numFmtId="187" fontId="68" fillId="0" borderId="0" xfId="0" applyNumberFormat="1" applyFont="1" applyAlignment="1">
      <alignment horizontal="right" vertical="top" wrapText="1"/>
    </xf>
    <xf numFmtId="189" fontId="67" fillId="0" borderId="0" xfId="0" applyNumberFormat="1" applyFont="1" applyAlignment="1">
      <alignment horizontal="right" vertical="top" wrapText="1"/>
    </xf>
    <xf numFmtId="190" fontId="67" fillId="0" borderId="0" xfId="0" applyNumberFormat="1" applyFont="1" applyAlignment="1">
      <alignment horizontal="right" vertical="top" wrapText="1"/>
    </xf>
    <xf numFmtId="0" fontId="67" fillId="0" borderId="0" xfId="0" applyFont="1"/>
    <xf numFmtId="0" fontId="68" fillId="0" borderId="0" xfId="0" applyFont="1" applyAlignment="1">
      <alignment horizontal="left" vertical="top" wrapText="1"/>
    </xf>
    <xf numFmtId="183" fontId="72" fillId="0" borderId="0" xfId="0" applyNumberFormat="1" applyFont="1"/>
    <xf numFmtId="0" fontId="73" fillId="0" borderId="0" xfId="0" applyFont="1"/>
    <xf numFmtId="0" fontId="74" fillId="0" borderId="0" xfId="0" applyFont="1"/>
    <xf numFmtId="0" fontId="75" fillId="0" borderId="0" xfId="0" applyFont="1"/>
    <xf numFmtId="0" fontId="76" fillId="0" borderId="0" xfId="0" applyFont="1"/>
    <xf numFmtId="10" fontId="72" fillId="0" borderId="0" xfId="0" applyNumberFormat="1" applyFont="1" applyAlignment="1">
      <alignment wrapText="1"/>
    </xf>
    <xf numFmtId="10" fontId="72" fillId="0" borderId="0" xfId="0" applyNumberFormat="1" applyFont="1"/>
    <xf numFmtId="0" fontId="77" fillId="0" borderId="0" xfId="0" applyFont="1" applyAlignment="1">
      <alignment wrapText="1"/>
    </xf>
    <xf numFmtId="0" fontId="72" fillId="0" borderId="0" xfId="0" applyFont="1" applyAlignment="1">
      <alignment wrapText="1"/>
    </xf>
    <xf numFmtId="10" fontId="77" fillId="0" borderId="0" xfId="0" applyNumberFormat="1" applyFont="1" applyAlignment="1">
      <alignment wrapText="1"/>
    </xf>
    <xf numFmtId="10" fontId="76" fillId="0" borderId="0" xfId="0" applyNumberFormat="1" applyFont="1"/>
    <xf numFmtId="26" fontId="72" fillId="0" borderId="0" xfId="0" applyNumberFormat="1" applyFont="1"/>
    <xf numFmtId="26" fontId="72" fillId="0" borderId="0" xfId="0" applyNumberFormat="1" applyFont="1" applyAlignment="1">
      <alignment wrapText="1"/>
    </xf>
    <xf numFmtId="26" fontId="77" fillId="0" borderId="0" xfId="0" applyNumberFormat="1" applyFont="1" applyAlignment="1">
      <alignment wrapText="1"/>
    </xf>
    <xf numFmtId="24" fontId="72" fillId="0" borderId="0" xfId="0" applyNumberFormat="1" applyFont="1" applyAlignment="1">
      <alignment wrapText="1"/>
    </xf>
    <xf numFmtId="24" fontId="72" fillId="0" borderId="0" xfId="0" applyNumberFormat="1" applyFont="1"/>
    <xf numFmtId="0" fontId="78" fillId="0" borderId="0" xfId="0" applyFont="1" applyAlignment="1">
      <alignment wrapText="1"/>
    </xf>
    <xf numFmtId="10" fontId="78" fillId="0" borderId="0" xfId="0" applyNumberFormat="1" applyFont="1" applyAlignment="1">
      <alignment wrapText="1"/>
    </xf>
    <xf numFmtId="26" fontId="78" fillId="0" borderId="0" xfId="0" applyNumberFormat="1" applyFont="1" applyAlignment="1">
      <alignment wrapText="1"/>
    </xf>
    <xf numFmtId="9" fontId="72" fillId="0" borderId="0" xfId="0" applyNumberFormat="1" applyFont="1"/>
    <xf numFmtId="10" fontId="79" fillId="0" borderId="0" xfId="0" applyNumberFormat="1" applyFont="1" applyAlignment="1">
      <alignment wrapText="1"/>
    </xf>
    <xf numFmtId="0" fontId="79" fillId="0" borderId="0" xfId="0" applyFont="1" applyAlignment="1">
      <alignment wrapText="1"/>
    </xf>
    <xf numFmtId="6" fontId="72" fillId="0" borderId="0" xfId="0" applyNumberFormat="1" applyFont="1" applyAlignment="1">
      <alignment wrapText="1"/>
    </xf>
    <xf numFmtId="6" fontId="72" fillId="0" borderId="0" xfId="0" applyNumberFormat="1" applyFont="1"/>
    <xf numFmtId="6" fontId="78" fillId="0" borderId="0" xfId="0" applyNumberFormat="1" applyFont="1" applyAlignment="1">
      <alignment wrapText="1"/>
    </xf>
    <xf numFmtId="6" fontId="79" fillId="0" borderId="0" xfId="0" applyNumberFormat="1" applyFont="1" applyAlignment="1">
      <alignment wrapText="1"/>
    </xf>
    <xf numFmtId="26" fontId="79" fillId="0" borderId="0" xfId="0" applyNumberFormat="1" applyFont="1" applyAlignment="1">
      <alignment wrapText="1"/>
    </xf>
    <xf numFmtId="24" fontId="79" fillId="0" borderId="0" xfId="0" applyNumberFormat="1" applyFont="1" applyAlignment="1">
      <alignment wrapText="1"/>
    </xf>
    <xf numFmtId="10" fontId="0" fillId="0" borderId="0" xfId="0" applyNumberFormat="1" applyAlignment="1">
      <alignment wrapText="1"/>
    </xf>
    <xf numFmtId="10" fontId="58" fillId="0" borderId="0" xfId="1" applyNumberFormat="1" applyFont="1" applyAlignment="1">
      <alignment wrapText="1"/>
    </xf>
    <xf numFmtId="10" fontId="59" fillId="0" borderId="0" xfId="1" applyNumberFormat="1" applyFont="1"/>
    <xf numFmtId="0" fontId="81" fillId="15" borderId="14" xfId="11"/>
    <xf numFmtId="0" fontId="84" fillId="2" borderId="1" xfId="0" applyFont="1" applyFill="1" applyBorder="1" applyAlignment="1">
      <alignment horizontal="center" vertical="center" wrapText="1" shrinkToFit="1"/>
    </xf>
    <xf numFmtId="0" fontId="84" fillId="2" borderId="2" xfId="0" applyFont="1" applyFill="1" applyBorder="1" applyAlignment="1">
      <alignment horizontal="center" vertical="center" wrapText="1" shrinkToFit="1"/>
    </xf>
    <xf numFmtId="0" fontId="84" fillId="2" borderId="2" xfId="0" applyFont="1" applyFill="1" applyBorder="1" applyAlignment="1">
      <alignment horizontal="center" vertical="center" shrinkToFit="1"/>
    </xf>
    <xf numFmtId="0" fontId="84" fillId="2" borderId="3" xfId="0" applyFont="1" applyFill="1" applyBorder="1" applyAlignment="1">
      <alignment horizontal="center" vertical="center" shrinkToFit="1"/>
    </xf>
    <xf numFmtId="0" fontId="84" fillId="2" borderId="3" xfId="0" applyFont="1" applyFill="1" applyBorder="1" applyAlignment="1">
      <alignment horizontal="center" vertical="center" wrapText="1" shrinkToFit="1"/>
    </xf>
    <xf numFmtId="0" fontId="84" fillId="2" borderId="0" xfId="0" applyFont="1" applyFill="1" applyAlignment="1">
      <alignment horizontal="center" vertical="center" wrapText="1" shrinkToFit="1"/>
    </xf>
    <xf numFmtId="0" fontId="85" fillId="0" borderId="0" xfId="0" applyFont="1"/>
    <xf numFmtId="0" fontId="82" fillId="0" borderId="15" xfId="12" applyFill="1"/>
    <xf numFmtId="178" fontId="2" fillId="19" borderId="0" xfId="16" applyNumberFormat="1"/>
    <xf numFmtId="14" fontId="8" fillId="0" borderId="0" xfId="0" applyNumberFormat="1" applyFont="1" applyAlignment="1">
      <alignment horizontal="right"/>
    </xf>
    <xf numFmtId="185" fontId="8" fillId="0" borderId="0" xfId="0" applyNumberFormat="1" applyFont="1" applyAlignment="1">
      <alignment horizontal="right"/>
    </xf>
    <xf numFmtId="178" fontId="8" fillId="0" borderId="0" xfId="1" applyNumberFormat="1" applyFont="1" applyAlignment="1">
      <alignment horizontal="right" wrapText="1"/>
    </xf>
    <xf numFmtId="9" fontId="8" fillId="0" borderId="0" xfId="1" applyFont="1" applyAlignment="1">
      <alignment horizontal="right" wrapText="1"/>
    </xf>
    <xf numFmtId="178" fontId="0" fillId="0" borderId="0" xfId="1" applyNumberFormat="1" applyFont="1" applyAlignment="1">
      <alignment horizontal="right"/>
    </xf>
    <xf numFmtId="179" fontId="8" fillId="0" borderId="0" xfId="0" applyNumberFormat="1" applyFont="1" applyAlignment="1">
      <alignment horizontal="right"/>
    </xf>
    <xf numFmtId="3" fontId="0" fillId="0" borderId="0" xfId="0" applyNumberFormat="1" applyAlignment="1">
      <alignment horizontal="right"/>
    </xf>
    <xf numFmtId="180" fontId="8" fillId="0" borderId="0" xfId="0" applyNumberFormat="1" applyFont="1" applyAlignment="1">
      <alignment horizontal="right"/>
    </xf>
    <xf numFmtId="9" fontId="0" fillId="0" borderId="0" xfId="1" applyFont="1" applyAlignment="1">
      <alignment horizontal="right"/>
    </xf>
    <xf numFmtId="10" fontId="8" fillId="0" borderId="0" xfId="1" applyNumberFormat="1" applyFont="1" applyAlignment="1">
      <alignment horizontal="right" wrapText="1"/>
    </xf>
    <xf numFmtId="183" fontId="8" fillId="0" borderId="0" xfId="0" applyNumberFormat="1" applyFont="1" applyAlignment="1">
      <alignment horizontal="right"/>
    </xf>
    <xf numFmtId="185" fontId="0" fillId="0" borderId="0" xfId="0" applyNumberFormat="1" applyAlignment="1">
      <alignment horizontal="right"/>
    </xf>
    <xf numFmtId="10" fontId="8" fillId="0" borderId="0" xfId="0" applyNumberFormat="1" applyFont="1" applyAlignment="1">
      <alignment horizontal="right" wrapText="1"/>
    </xf>
    <xf numFmtId="10" fontId="8" fillId="0" borderId="0" xfId="1" applyNumberFormat="1" applyFont="1" applyAlignment="1">
      <alignment horizontal="right"/>
    </xf>
    <xf numFmtId="10" fontId="0" fillId="0" borderId="0" xfId="0" applyNumberFormat="1" applyAlignment="1">
      <alignment horizontal="right"/>
    </xf>
    <xf numFmtId="10" fontId="8" fillId="0" borderId="0" xfId="0" applyNumberFormat="1" applyFont="1" applyAlignment="1">
      <alignment horizontal="right"/>
    </xf>
    <xf numFmtId="1" fontId="0" fillId="0" borderId="0" xfId="0" applyNumberFormat="1" applyAlignment="1">
      <alignment horizontal="right"/>
    </xf>
    <xf numFmtId="178" fontId="59" fillId="0" borderId="0" xfId="1" applyNumberFormat="1" applyFont="1"/>
    <xf numFmtId="181" fontId="86" fillId="2" borderId="2" xfId="0" applyNumberFormat="1" applyFont="1" applyFill="1" applyBorder="1" applyAlignment="1">
      <alignment horizontal="center" vertical="center" wrapText="1" shrinkToFit="1"/>
    </xf>
    <xf numFmtId="181" fontId="86" fillId="2" borderId="2" xfId="0" applyNumberFormat="1" applyFont="1" applyFill="1" applyBorder="1" applyAlignment="1">
      <alignment horizontal="center" vertical="center" shrinkToFit="1"/>
    </xf>
    <xf numFmtId="181" fontId="86" fillId="2" borderId="3" xfId="0" applyNumberFormat="1" applyFont="1" applyFill="1" applyBorder="1" applyAlignment="1">
      <alignment horizontal="center" vertical="center" shrinkToFit="1"/>
    </xf>
    <xf numFmtId="181" fontId="86" fillId="2" borderId="3" xfId="0" applyNumberFormat="1" applyFont="1" applyFill="1" applyBorder="1" applyAlignment="1">
      <alignment horizontal="center" vertical="center" wrapText="1" shrinkToFit="1"/>
    </xf>
    <xf numFmtId="182" fontId="86" fillId="2" borderId="3" xfId="0" applyNumberFormat="1" applyFont="1" applyFill="1" applyBorder="1" applyAlignment="1">
      <alignment horizontal="center" vertical="center" wrapText="1" shrinkToFit="1"/>
    </xf>
    <xf numFmtId="0" fontId="86" fillId="2" borderId="3" xfId="0" applyFont="1" applyFill="1" applyBorder="1" applyAlignment="1">
      <alignment horizontal="center" vertical="center" wrapText="1" shrinkToFit="1"/>
    </xf>
    <xf numFmtId="181" fontId="86" fillId="2" borderId="0" xfId="0" applyNumberFormat="1" applyFont="1" applyFill="1" applyAlignment="1">
      <alignment horizontal="center" vertical="center" wrapText="1" shrinkToFit="1"/>
    </xf>
    <xf numFmtId="181" fontId="87" fillId="2" borderId="0" xfId="0" applyNumberFormat="1" applyFont="1" applyFill="1" applyAlignment="1">
      <alignment horizontal="center" vertical="center" wrapText="1" shrinkToFit="1"/>
    </xf>
    <xf numFmtId="0" fontId="88" fillId="0" borderId="0" xfId="0" applyFont="1"/>
    <xf numFmtId="186" fontId="0" fillId="0" borderId="0" xfId="2" applyNumberFormat="1" applyFont="1" applyAlignment="1">
      <alignment horizontal="right"/>
    </xf>
    <xf numFmtId="181" fontId="9" fillId="0" borderId="0" xfId="0" applyNumberFormat="1" applyFont="1" applyAlignment="1">
      <alignment horizontal="right"/>
    </xf>
    <xf numFmtId="185" fontId="89" fillId="0" borderId="0" xfId="0" applyNumberFormat="1" applyFont="1" applyAlignment="1">
      <alignment horizontal="right"/>
    </xf>
    <xf numFmtId="178" fontId="89" fillId="0" borderId="0" xfId="1" applyNumberFormat="1" applyFont="1" applyAlignment="1">
      <alignment horizontal="right"/>
    </xf>
    <xf numFmtId="181" fontId="89" fillId="0" borderId="0" xfId="0" applyNumberFormat="1" applyFont="1" applyAlignment="1">
      <alignment horizontal="right"/>
    </xf>
    <xf numFmtId="184" fontId="89" fillId="0" borderId="0" xfId="0" applyNumberFormat="1" applyFont="1" applyAlignment="1">
      <alignment horizontal="right"/>
    </xf>
    <xf numFmtId="9" fontId="0" fillId="0" borderId="0" xfId="0" applyNumberFormat="1" applyAlignment="1">
      <alignment horizontal="right"/>
    </xf>
    <xf numFmtId="186" fontId="0" fillId="0" borderId="0" xfId="0" applyNumberFormat="1" applyAlignment="1">
      <alignment horizontal="right"/>
    </xf>
    <xf numFmtId="181" fontId="59" fillId="0" borderId="0" xfId="0" applyNumberFormat="1" applyFont="1" applyAlignment="1">
      <alignment horizontal="right"/>
    </xf>
    <xf numFmtId="178" fontId="90" fillId="0" borderId="0" xfId="1" applyNumberFormat="1" applyFont="1"/>
    <xf numFmtId="193" fontId="0" fillId="0" borderId="0" xfId="0" applyNumberFormat="1" applyAlignment="1">
      <alignment horizontal="right"/>
    </xf>
    <xf numFmtId="194" fontId="0" fillId="0" borderId="0" xfId="0" applyNumberFormat="1" applyAlignment="1">
      <alignment horizontal="right"/>
    </xf>
    <xf numFmtId="177" fontId="91" fillId="10" borderId="14" xfId="18" applyNumberFormat="1"/>
    <xf numFmtId="0" fontId="59" fillId="4" borderId="0" xfId="0" applyFont="1" applyFill="1"/>
    <xf numFmtId="181" fontId="87" fillId="2" borderId="2" xfId="0" applyNumberFormat="1" applyFont="1" applyFill="1" applyBorder="1" applyAlignment="1">
      <alignment horizontal="center" vertical="center" wrapText="1" shrinkToFit="1"/>
    </xf>
    <xf numFmtId="0" fontId="89" fillId="0" borderId="0" xfId="0" applyFont="1" applyAlignment="1">
      <alignment horizontal="right"/>
    </xf>
    <xf numFmtId="179" fontId="89" fillId="0" borderId="0" xfId="0" applyNumberFormat="1" applyFont="1" applyAlignment="1">
      <alignment horizontal="right"/>
    </xf>
    <xf numFmtId="2" fontId="89" fillId="0" borderId="0" xfId="0" applyNumberFormat="1" applyFont="1" applyAlignment="1">
      <alignment horizontal="right"/>
    </xf>
    <xf numFmtId="3" fontId="59" fillId="0" borderId="0" xfId="0" applyNumberFormat="1" applyFont="1"/>
    <xf numFmtId="0" fontId="67" fillId="0" borderId="0" xfId="0" applyFont="1" applyAlignment="1">
      <alignment horizontal="left" vertical="top" wrapText="1"/>
    </xf>
    <xf numFmtId="0" fontId="0" fillId="0" borderId="0" xfId="0" applyAlignment="1">
      <alignment horizontal="left" vertical="top" wrapText="1"/>
    </xf>
    <xf numFmtId="0" fontId="4" fillId="0" borderId="0" xfId="8" applyAlignment="1">
      <alignment horizontal="left" vertical="top"/>
    </xf>
    <xf numFmtId="0" fontId="92" fillId="0" borderId="0" xfId="0" applyFont="1" applyAlignment="1">
      <alignment wrapText="1"/>
    </xf>
    <xf numFmtId="10" fontId="77" fillId="0" borderId="0" xfId="0" applyNumberFormat="1" applyFont="1" applyAlignment="1">
      <alignment horizontal="right" wrapText="1"/>
    </xf>
    <xf numFmtId="26" fontId="77" fillId="0" borderId="0" xfId="0" applyNumberFormat="1" applyFont="1" applyAlignment="1">
      <alignment horizontal="right" wrapText="1"/>
    </xf>
    <xf numFmtId="0" fontId="72" fillId="0" borderId="0" xfId="0" applyFont="1" applyAlignment="1">
      <alignment horizontal="right"/>
    </xf>
    <xf numFmtId="10" fontId="72" fillId="0" borderId="0" xfId="0" applyNumberFormat="1" applyFont="1" applyAlignment="1">
      <alignment horizontal="right"/>
    </xf>
    <xf numFmtId="0" fontId="78" fillId="0" borderId="0" xfId="0" applyFont="1" applyAlignment="1">
      <alignment horizontal="right" wrapText="1"/>
    </xf>
    <xf numFmtId="10" fontId="78" fillId="0" borderId="0" xfId="0" applyNumberFormat="1" applyFont="1" applyAlignment="1">
      <alignment horizontal="right" wrapText="1"/>
    </xf>
    <xf numFmtId="26" fontId="78" fillId="0" borderId="0" xfId="0" applyNumberFormat="1" applyFont="1" applyAlignment="1">
      <alignment horizontal="right" wrapText="1"/>
    </xf>
    <xf numFmtId="194" fontId="72" fillId="0" borderId="0" xfId="0" applyNumberFormat="1" applyFont="1"/>
    <xf numFmtId="194" fontId="77" fillId="0" borderId="0" xfId="0" applyNumberFormat="1" applyFont="1" applyAlignment="1">
      <alignment wrapText="1"/>
    </xf>
    <xf numFmtId="194" fontId="72" fillId="0" borderId="0" xfId="0" applyNumberFormat="1" applyFont="1" applyAlignment="1">
      <alignment wrapText="1"/>
    </xf>
    <xf numFmtId="194" fontId="78" fillId="0" borderId="0" xfId="0" applyNumberFormat="1" applyFont="1" applyAlignment="1">
      <alignment wrapText="1"/>
    </xf>
    <xf numFmtId="0" fontId="93" fillId="0" borderId="0" xfId="0" applyFont="1" applyAlignment="1">
      <alignment wrapText="1"/>
    </xf>
    <xf numFmtId="0" fontId="94" fillId="0" borderId="0" xfId="0" applyFont="1" applyAlignment="1">
      <alignment wrapText="1"/>
    </xf>
    <xf numFmtId="194" fontId="57" fillId="0" borderId="0" xfId="0" applyNumberFormat="1" applyFont="1" applyAlignment="1">
      <alignment wrapText="1"/>
    </xf>
    <xf numFmtId="0" fontId="77" fillId="0" borderId="0" xfId="0" applyFont="1" applyAlignment="1">
      <alignment horizontal="right"/>
    </xf>
    <xf numFmtId="0" fontId="95" fillId="0" borderId="0" xfId="0" applyFont="1" applyAlignment="1">
      <alignment horizontal="right"/>
    </xf>
    <xf numFmtId="10" fontId="95" fillId="0" borderId="0" xfId="0" applyNumberFormat="1" applyFont="1" applyAlignment="1">
      <alignment horizontal="right"/>
    </xf>
    <xf numFmtId="185" fontId="95" fillId="0" borderId="0" xfId="0" applyNumberFormat="1" applyFont="1" applyAlignment="1">
      <alignment horizontal="right"/>
    </xf>
    <xf numFmtId="43" fontId="95" fillId="0" borderId="0" xfId="0" applyNumberFormat="1" applyFont="1" applyAlignment="1">
      <alignment horizontal="right"/>
    </xf>
    <xf numFmtId="194" fontId="95" fillId="0" borderId="0" xfId="0" applyNumberFormat="1" applyFont="1" applyAlignment="1">
      <alignment horizontal="right"/>
    </xf>
    <xf numFmtId="195" fontId="95" fillId="0" borderId="0" xfId="0" applyNumberFormat="1" applyFont="1" applyAlignment="1">
      <alignment horizontal="right"/>
    </xf>
    <xf numFmtId="0" fontId="96" fillId="21" borderId="0" xfId="19" applyFont="1" applyAlignment="1">
      <alignment horizontal="right"/>
    </xf>
    <xf numFmtId="0" fontId="81" fillId="15" borderId="14" xfId="11" applyAlignment="1">
      <alignment horizontal="right"/>
    </xf>
    <xf numFmtId="194" fontId="81" fillId="15" borderId="14" xfId="11" applyNumberFormat="1" applyAlignment="1">
      <alignment horizontal="right"/>
    </xf>
    <xf numFmtId="0" fontId="94" fillId="0" borderId="0" xfId="0" applyFont="1"/>
    <xf numFmtId="0" fontId="93" fillId="0" borderId="0" xfId="0" applyFont="1"/>
    <xf numFmtId="0" fontId="97" fillId="0" borderId="0" xfId="0" applyFont="1"/>
    <xf numFmtId="0" fontId="77" fillId="0" borderId="0" xfId="0" applyFont="1"/>
    <xf numFmtId="10" fontId="77" fillId="0" borderId="0" xfId="0" applyNumberFormat="1" applyFont="1"/>
    <xf numFmtId="10" fontId="97" fillId="0" borderId="0" xfId="0" applyNumberFormat="1" applyFont="1"/>
    <xf numFmtId="0" fontId="95" fillId="0" borderId="0" xfId="0" applyFont="1"/>
    <xf numFmtId="14" fontId="92" fillId="0" borderId="0" xfId="0" applyNumberFormat="1" applyFont="1" applyAlignment="1">
      <alignment wrapText="1"/>
    </xf>
    <xf numFmtId="0" fontId="64" fillId="4" borderId="0" xfId="0" applyFont="1" applyFill="1" applyAlignment="1">
      <alignment horizontal="left" indent="1"/>
    </xf>
    <xf numFmtId="0" fontId="98" fillId="4" borderId="0" xfId="0" quotePrefix="1" applyFont="1" applyFill="1" applyAlignment="1">
      <alignment horizontal="left" indent="1"/>
    </xf>
    <xf numFmtId="0" fontId="99" fillId="4" borderId="7" xfId="0" applyFont="1" applyFill="1" applyBorder="1"/>
    <xf numFmtId="0" fontId="22" fillId="4" borderId="0" xfId="0" applyFont="1" applyFill="1" applyAlignment="1">
      <alignment horizontal="right"/>
    </xf>
    <xf numFmtId="0" fontId="0" fillId="4" borderId="0" xfId="0" applyFill="1" applyAlignment="1">
      <alignment horizontal="right"/>
    </xf>
    <xf numFmtId="0" fontId="100" fillId="0" borderId="15" xfId="12" applyFont="1"/>
    <xf numFmtId="9" fontId="81" fillId="15" borderId="14" xfId="11" applyNumberFormat="1"/>
    <xf numFmtId="9" fontId="102" fillId="15" borderId="14" xfId="11" applyNumberFormat="1" applyFont="1"/>
    <xf numFmtId="2" fontId="59" fillId="0" borderId="0" xfId="0" applyNumberFormat="1" applyFont="1"/>
    <xf numFmtId="10" fontId="42" fillId="10" borderId="12" xfId="6" applyNumberFormat="1"/>
    <xf numFmtId="10" fontId="101" fillId="10" borderId="12" xfId="6" applyNumberFormat="1" applyFont="1"/>
    <xf numFmtId="10" fontId="102" fillId="15" borderId="14" xfId="11" applyNumberFormat="1" applyFont="1"/>
    <xf numFmtId="14" fontId="0" fillId="0" borderId="0" xfId="2" applyNumberFormat="1" applyFont="1" applyAlignment="1">
      <alignment horizontal="right" vertical="top" wrapText="1"/>
    </xf>
    <xf numFmtId="186" fontId="0" fillId="12" borderId="0" xfId="2" applyNumberFormat="1" applyFont="1" applyFill="1" applyAlignment="1">
      <alignment horizontal="right" vertical="top" wrapText="1"/>
    </xf>
    <xf numFmtId="186" fontId="0" fillId="12" borderId="0" xfId="2" applyNumberFormat="1" applyFont="1" applyFill="1"/>
    <xf numFmtId="186" fontId="59" fillId="0" borderId="0" xfId="2" applyNumberFormat="1" applyFont="1"/>
    <xf numFmtId="186" fontId="59" fillId="0" borderId="0" xfId="2" applyNumberFormat="1" applyFont="1" applyProtection="1">
      <protection locked="0"/>
    </xf>
    <xf numFmtId="186" fontId="59" fillId="0" borderId="0" xfId="2" applyNumberFormat="1" applyFont="1" applyAlignment="1" applyProtection="1">
      <alignment horizontal="left" vertical="top" wrapText="1"/>
      <protection locked="0"/>
    </xf>
    <xf numFmtId="178" fontId="0" fillId="0" borderId="0" xfId="0" applyNumberFormat="1" applyAlignment="1">
      <alignment horizontal="right"/>
    </xf>
    <xf numFmtId="178" fontId="0" fillId="0" borderId="0" xfId="2" applyNumberFormat="1" applyFont="1"/>
    <xf numFmtId="0" fontId="103" fillId="0" borderId="0" xfId="0" applyFont="1"/>
    <xf numFmtId="0" fontId="104" fillId="0" borderId="0" xfId="0" applyFont="1" applyAlignment="1">
      <alignment wrapText="1"/>
    </xf>
    <xf numFmtId="0" fontId="104" fillId="0" borderId="0" xfId="0" applyFont="1"/>
    <xf numFmtId="10" fontId="104" fillId="0" borderId="0" xfId="0" applyNumberFormat="1" applyFont="1"/>
    <xf numFmtId="176" fontId="22" fillId="22" borderId="0" xfId="0" applyNumberFormat="1" applyFont="1" applyFill="1" applyAlignment="1">
      <alignment horizontal="right"/>
    </xf>
    <xf numFmtId="176" fontId="22" fillId="22" borderId="0" xfId="0" quotePrefix="1" applyNumberFormat="1" applyFont="1" applyFill="1" applyAlignment="1">
      <alignment horizontal="right"/>
    </xf>
    <xf numFmtId="176" fontId="50" fillId="22" borderId="0" xfId="0" applyNumberFormat="1" applyFont="1" applyFill="1" applyAlignment="1">
      <alignment horizontal="right"/>
    </xf>
    <xf numFmtId="191" fontId="22" fillId="22" borderId="0" xfId="0" quotePrefix="1" applyNumberFormat="1" applyFont="1" applyFill="1" applyAlignment="1">
      <alignment horizontal="right"/>
    </xf>
    <xf numFmtId="0" fontId="22" fillId="22" borderId="0" xfId="0" applyFont="1" applyFill="1" applyAlignment="1">
      <alignment horizontal="center"/>
    </xf>
    <xf numFmtId="0" fontId="0" fillId="22" borderId="0" xfId="0" applyFill="1" applyAlignment="1">
      <alignment horizontal="center"/>
    </xf>
    <xf numFmtId="9" fontId="10" fillId="22" borderId="0" xfId="0" applyNumberFormat="1" applyFont="1" applyFill="1" applyAlignment="1">
      <alignment horizontal="center"/>
    </xf>
    <xf numFmtId="176" fontId="22" fillId="22" borderId="0" xfId="0" applyNumberFormat="1" applyFont="1" applyFill="1" applyAlignment="1">
      <alignment horizontal="center"/>
    </xf>
    <xf numFmtId="176" fontId="0" fillId="22" borderId="0" xfId="0" applyNumberFormat="1" applyFill="1" applyAlignment="1">
      <alignment horizontal="center"/>
    </xf>
    <xf numFmtId="176" fontId="0" fillId="22" borderId="0" xfId="0" applyNumberFormat="1" applyFill="1"/>
    <xf numFmtId="178" fontId="22" fillId="22" borderId="0" xfId="0" applyNumberFormat="1" applyFont="1" applyFill="1" applyAlignment="1">
      <alignment horizontal="center"/>
    </xf>
    <xf numFmtId="176" fontId="50" fillId="22" borderId="0" xfId="0" applyNumberFormat="1" applyFont="1" applyFill="1" applyAlignment="1">
      <alignment horizontal="center"/>
    </xf>
    <xf numFmtId="0" fontId="28" fillId="22" borderId="7" xfId="0" applyFont="1" applyFill="1" applyBorder="1" applyAlignment="1">
      <alignment horizontal="center"/>
    </xf>
    <xf numFmtId="176" fontId="30" fillId="22" borderId="10" xfId="0" applyNumberFormat="1" applyFont="1" applyFill="1" applyBorder="1" applyAlignment="1">
      <alignment horizontal="center"/>
    </xf>
    <xf numFmtId="176" fontId="30" fillId="22" borderId="0" xfId="0" applyNumberFormat="1" applyFont="1" applyFill="1" applyAlignment="1">
      <alignment horizontal="center"/>
    </xf>
    <xf numFmtId="176" fontId="34" fillId="22" borderId="0" xfId="0" applyNumberFormat="1" applyFont="1" applyFill="1" applyAlignment="1">
      <alignment horizontal="center"/>
    </xf>
    <xf numFmtId="176" fontId="37" fillId="22" borderId="0" xfId="3" applyNumberFormat="1" applyFill="1" applyAlignment="1">
      <alignment horizontal="center"/>
    </xf>
    <xf numFmtId="176" fontId="105" fillId="22" borderId="0" xfId="0" applyNumberFormat="1" applyFont="1" applyFill="1" applyAlignment="1">
      <alignment horizontal="center"/>
    </xf>
    <xf numFmtId="176" fontId="105" fillId="4" borderId="0" xfId="0" applyNumberFormat="1" applyFont="1" applyFill="1" applyAlignment="1">
      <alignment horizontal="center"/>
    </xf>
    <xf numFmtId="176" fontId="106" fillId="4" borderId="0" xfId="0" applyNumberFormat="1" applyFont="1" applyFill="1" applyAlignment="1">
      <alignment horizontal="center"/>
    </xf>
    <xf numFmtId="176" fontId="106" fillId="4" borderId="0" xfId="0" quotePrefix="1" applyNumberFormat="1" applyFont="1" applyFill="1" applyAlignment="1">
      <alignment horizontal="right"/>
    </xf>
    <xf numFmtId="176" fontId="107" fillId="4" borderId="0" xfId="0" applyNumberFormat="1" applyFont="1" applyFill="1" applyAlignment="1">
      <alignment horizontal="center"/>
    </xf>
    <xf numFmtId="176" fontId="107" fillId="22" borderId="0" xfId="0" applyNumberFormat="1" applyFont="1" applyFill="1"/>
    <xf numFmtId="176" fontId="107" fillId="4" borderId="0" xfId="0" applyNumberFormat="1" applyFont="1" applyFill="1"/>
    <xf numFmtId="176" fontId="105" fillId="22" borderId="9" xfId="0" applyNumberFormat="1" applyFont="1" applyFill="1" applyBorder="1" applyAlignment="1">
      <alignment horizontal="center"/>
    </xf>
    <xf numFmtId="176" fontId="105" fillId="4" borderId="9" xfId="0" applyNumberFormat="1" applyFont="1" applyFill="1" applyBorder="1" applyAlignment="1">
      <alignment horizontal="center"/>
    </xf>
    <xf numFmtId="176" fontId="105" fillId="22" borderId="10" xfId="0" applyNumberFormat="1" applyFont="1" applyFill="1" applyBorder="1" applyAlignment="1">
      <alignment horizontal="center"/>
    </xf>
    <xf numFmtId="176" fontId="105" fillId="4" borderId="10" xfId="0" applyNumberFormat="1" applyFont="1" applyFill="1" applyBorder="1" applyAlignment="1">
      <alignment horizontal="center"/>
    </xf>
    <xf numFmtId="186" fontId="107" fillId="4" borderId="0" xfId="0" applyNumberFormat="1" applyFont="1" applyFill="1" applyAlignment="1">
      <alignment horizontal="center"/>
    </xf>
    <xf numFmtId="176" fontId="108" fillId="22" borderId="0" xfId="3" applyNumberFormat="1" applyFont="1" applyFill="1" applyAlignment="1">
      <alignment horizontal="center"/>
    </xf>
    <xf numFmtId="176" fontId="109" fillId="22" borderId="0" xfId="3" applyNumberFormat="1" applyFont="1" applyFill="1" applyAlignment="1">
      <alignment horizontal="center"/>
    </xf>
    <xf numFmtId="0" fontId="107" fillId="4" borderId="0" xfId="0" applyFont="1" applyFill="1" applyAlignment="1">
      <alignment horizontal="center"/>
    </xf>
    <xf numFmtId="0" fontId="110" fillId="4" borderId="0" xfId="0" applyFont="1" applyFill="1" applyAlignment="1">
      <alignment horizontal="center"/>
    </xf>
    <xf numFmtId="0" fontId="110" fillId="4" borderId="0" xfId="0" applyFont="1" applyFill="1" applyAlignment="1">
      <alignment horizontal="right"/>
    </xf>
    <xf numFmtId="0" fontId="106" fillId="4" borderId="0" xfId="0" applyFont="1" applyFill="1"/>
    <xf numFmtId="176" fontId="110" fillId="4" borderId="7" xfId="0" applyNumberFormat="1" applyFont="1" applyFill="1" applyBorder="1" applyAlignment="1">
      <alignment horizontal="center"/>
    </xf>
    <xf numFmtId="0" fontId="110" fillId="4" borderId="7" xfId="0" applyFont="1" applyFill="1" applyBorder="1" applyAlignment="1">
      <alignment horizontal="center"/>
    </xf>
    <xf numFmtId="178" fontId="105" fillId="4" borderId="0" xfId="0" applyNumberFormat="1" applyFont="1" applyFill="1" applyAlignment="1">
      <alignment horizontal="center"/>
    </xf>
    <xf numFmtId="9" fontId="105" fillId="4" borderId="0" xfId="0" applyNumberFormat="1" applyFont="1" applyFill="1" applyAlignment="1">
      <alignment horizontal="center"/>
    </xf>
    <xf numFmtId="9" fontId="105" fillId="4" borderId="0" xfId="1" applyFont="1" applyFill="1" applyBorder="1" applyAlignment="1">
      <alignment horizontal="center"/>
    </xf>
    <xf numFmtId="178" fontId="105" fillId="4" borderId="0" xfId="1" applyNumberFormat="1" applyFont="1" applyFill="1" applyAlignment="1">
      <alignment horizontal="center"/>
    </xf>
    <xf numFmtId="178" fontId="106" fillId="4" borderId="0" xfId="0" applyNumberFormat="1" applyFont="1" applyFill="1" applyAlignment="1">
      <alignment horizontal="center"/>
    </xf>
    <xf numFmtId="178" fontId="106" fillId="4" borderId="0" xfId="1" applyNumberFormat="1" applyFont="1" applyFill="1" applyAlignment="1">
      <alignment horizontal="center"/>
    </xf>
    <xf numFmtId="178" fontId="111" fillId="4" borderId="0" xfId="0" applyNumberFormat="1" applyFont="1" applyFill="1" applyAlignment="1">
      <alignment horizontal="center"/>
    </xf>
    <xf numFmtId="176" fontId="106" fillId="4" borderId="0" xfId="0" applyNumberFormat="1" applyFont="1" applyFill="1" applyAlignment="1">
      <alignment horizontal="right"/>
    </xf>
    <xf numFmtId="177" fontId="106" fillId="4" borderId="0" xfId="0" applyNumberFormat="1" applyFont="1" applyFill="1" applyAlignment="1">
      <alignment horizontal="right"/>
    </xf>
    <xf numFmtId="9" fontId="106" fillId="4" borderId="0" xfId="1" applyFont="1" applyFill="1" applyAlignment="1">
      <alignment horizontal="right"/>
    </xf>
    <xf numFmtId="0" fontId="107" fillId="4" borderId="0" xfId="0" applyFont="1" applyFill="1" applyAlignment="1">
      <alignment horizontal="right"/>
    </xf>
    <xf numFmtId="0" fontId="112" fillId="23" borderId="0" xfId="0" applyFont="1" applyFill="1" applyAlignment="1">
      <alignment horizontal="center"/>
    </xf>
    <xf numFmtId="178" fontId="105" fillId="0" borderId="0" xfId="0" applyNumberFormat="1" applyFont="1" applyAlignment="1">
      <alignment horizontal="center"/>
    </xf>
    <xf numFmtId="0" fontId="106" fillId="4" borderId="0" xfId="0" applyFont="1" applyFill="1" applyAlignment="1">
      <alignment horizontal="center"/>
    </xf>
    <xf numFmtId="177" fontId="106" fillId="12" borderId="0" xfId="0" applyNumberFormat="1" applyFont="1" applyFill="1" applyAlignment="1">
      <alignment horizontal="right"/>
    </xf>
    <xf numFmtId="0" fontId="23" fillId="22" borderId="0" xfId="0" applyFont="1" applyFill="1" applyAlignment="1">
      <alignment horizontal="center"/>
    </xf>
    <xf numFmtId="0" fontId="22" fillId="22" borderId="0" xfId="0" applyFont="1" applyFill="1"/>
    <xf numFmtId="0" fontId="35" fillId="22" borderId="7" xfId="0" applyFont="1" applyFill="1" applyBorder="1" applyAlignment="1">
      <alignment horizontal="center"/>
    </xf>
    <xf numFmtId="176" fontId="36" fillId="22" borderId="0" xfId="0" applyNumberFormat="1" applyFont="1" applyFill="1" applyAlignment="1">
      <alignment horizontal="center"/>
    </xf>
    <xf numFmtId="9" fontId="30" fillId="22" borderId="0" xfId="1" applyFont="1" applyFill="1" applyBorder="1" applyAlignment="1">
      <alignment horizontal="center"/>
    </xf>
    <xf numFmtId="178" fontId="30" fillId="22" borderId="0" xfId="1" applyNumberFormat="1" applyFont="1" applyFill="1" applyAlignment="1">
      <alignment horizontal="center"/>
    </xf>
    <xf numFmtId="178" fontId="30" fillId="22" borderId="0" xfId="0" applyNumberFormat="1" applyFont="1" applyFill="1" applyAlignment="1">
      <alignment horizontal="center"/>
    </xf>
    <xf numFmtId="0" fontId="23" fillId="22" borderId="7" xfId="0" applyFont="1" applyFill="1" applyBorder="1" applyAlignment="1">
      <alignment horizontal="center"/>
    </xf>
    <xf numFmtId="178" fontId="36" fillId="22" borderId="0" xfId="0" applyNumberFormat="1" applyFont="1" applyFill="1" applyAlignment="1">
      <alignment horizontal="center"/>
    </xf>
    <xf numFmtId="178" fontId="113" fillId="0" borderId="0" xfId="0" applyNumberFormat="1" applyFont="1" applyAlignment="1">
      <alignment horizontal="right"/>
    </xf>
    <xf numFmtId="178" fontId="114" fillId="15" borderId="14" xfId="11" applyNumberFormat="1" applyFont="1" applyAlignment="1">
      <alignment horizontal="right"/>
    </xf>
    <xf numFmtId="26" fontId="115" fillId="0" borderId="0" xfId="0" applyNumberFormat="1" applyFont="1" applyAlignment="1">
      <alignment wrapText="1"/>
    </xf>
    <xf numFmtId="26" fontId="115" fillId="0" borderId="0" xfId="0" applyNumberFormat="1" applyFont="1" applyAlignment="1">
      <alignment horizontal="right" wrapText="1"/>
    </xf>
    <xf numFmtId="187" fontId="115" fillId="0" borderId="0" xfId="0" applyNumberFormat="1" applyFont="1" applyAlignment="1">
      <alignment horizontal="right" vertical="top" wrapText="1"/>
    </xf>
    <xf numFmtId="194" fontId="116" fillId="0" borderId="0" xfId="0" applyNumberFormat="1" applyFont="1" applyAlignment="1">
      <alignment horizontal="right"/>
    </xf>
    <xf numFmtId="10" fontId="116" fillId="0" borderId="0" xfId="0" applyNumberFormat="1" applyFont="1" applyAlignment="1">
      <alignment horizontal="right"/>
    </xf>
    <xf numFmtId="43" fontId="116" fillId="0" borderId="0" xfId="0" applyNumberFormat="1" applyFont="1" applyAlignment="1">
      <alignment horizontal="right"/>
    </xf>
    <xf numFmtId="0" fontId="113" fillId="0" borderId="0" xfId="0" applyFont="1"/>
    <xf numFmtId="178" fontId="115" fillId="0" borderId="0" xfId="0" applyNumberFormat="1" applyFont="1" applyAlignment="1">
      <alignment horizontal="right"/>
    </xf>
    <xf numFmtId="176" fontId="117" fillId="22" borderId="0" xfId="0" applyNumberFormat="1" applyFont="1" applyFill="1" applyAlignment="1">
      <alignment horizontal="right"/>
    </xf>
    <xf numFmtId="176" fontId="118" fillId="22" borderId="0" xfId="0" applyNumberFormat="1" applyFont="1" applyFill="1" applyAlignment="1">
      <alignment horizontal="right"/>
    </xf>
    <xf numFmtId="178" fontId="119" fillId="4" borderId="0" xfId="0" applyNumberFormat="1" applyFont="1" applyFill="1" applyAlignment="1">
      <alignment horizontal="center"/>
    </xf>
    <xf numFmtId="178" fontId="120" fillId="4" borderId="0" xfId="0" applyNumberFormat="1" applyFont="1" applyFill="1" applyAlignment="1">
      <alignment horizontal="center"/>
    </xf>
    <xf numFmtId="178" fontId="120" fillId="4" borderId="0" xfId="0" quotePrefix="1" applyNumberFormat="1" applyFont="1" applyFill="1" applyAlignment="1">
      <alignment horizontal="center"/>
    </xf>
    <xf numFmtId="0" fontId="121" fillId="4" borderId="0" xfId="0" applyFont="1" applyFill="1"/>
    <xf numFmtId="186" fontId="0" fillId="0" borderId="0" xfId="2" applyNumberFormat="1" applyFont="1" applyAlignment="1">
      <alignment horizontal="right" vertical="top"/>
    </xf>
    <xf numFmtId="186" fontId="14" fillId="0" borderId="0" xfId="2" applyNumberFormat="1" applyFont="1" applyAlignment="1">
      <alignment horizontal="left" vertical="top"/>
    </xf>
    <xf numFmtId="186" fontId="10" fillId="0" borderId="0" xfId="2" applyNumberFormat="1" applyFont="1" applyAlignment="1">
      <alignment horizontal="left" vertical="top"/>
    </xf>
    <xf numFmtId="0" fontId="0" fillId="0" borderId="0" xfId="0" applyAlignment="1">
      <alignment horizontal="left"/>
    </xf>
    <xf numFmtId="186" fontId="9" fillId="2" borderId="1" xfId="2" applyNumberFormat="1" applyFont="1" applyFill="1" applyBorder="1" applyAlignment="1">
      <alignment horizontal="right" wrapText="1"/>
    </xf>
    <xf numFmtId="186" fontId="0" fillId="0" borderId="0" xfId="2" applyNumberFormat="1" applyFont="1" applyAlignment="1">
      <alignment horizontal="right" wrapText="1"/>
    </xf>
    <xf numFmtId="181" fontId="0" fillId="0" borderId="0" xfId="2" applyNumberFormat="1" applyFont="1" applyAlignment="1">
      <alignment horizontal="right" wrapText="1"/>
    </xf>
    <xf numFmtId="176" fontId="117" fillId="22" borderId="0" xfId="0" quotePrefix="1" applyNumberFormat="1" applyFont="1" applyFill="1" applyAlignment="1">
      <alignment horizontal="right"/>
    </xf>
    <xf numFmtId="0" fontId="118" fillId="22" borderId="0" xfId="0" applyFont="1" applyFill="1"/>
    <xf numFmtId="178" fontId="121" fillId="4" borderId="0" xfId="0" applyNumberFormat="1" applyFont="1" applyFill="1" applyAlignment="1">
      <alignment horizontal="center"/>
    </xf>
    <xf numFmtId="178" fontId="122" fillId="7" borderId="8" xfId="0" applyNumberFormat="1" applyFont="1" applyFill="1" applyBorder="1" applyAlignment="1">
      <alignment horizontal="center"/>
    </xf>
    <xf numFmtId="178" fontId="123" fillId="7" borderId="8" xfId="0" applyNumberFormat="1" applyFont="1" applyFill="1" applyBorder="1" applyAlignment="1">
      <alignment horizontal="center"/>
    </xf>
    <xf numFmtId="176" fontId="123" fillId="7" borderId="8" xfId="0" applyNumberFormat="1" applyFont="1" applyFill="1" applyBorder="1"/>
    <xf numFmtId="0" fontId="113" fillId="4" borderId="0" xfId="0" applyFont="1" applyFill="1"/>
    <xf numFmtId="176" fontId="118" fillId="22" borderId="0" xfId="0" applyNumberFormat="1" applyFont="1" applyFill="1" applyAlignment="1">
      <alignment horizontal="center"/>
    </xf>
    <xf numFmtId="186" fontId="0" fillId="0" borderId="0" xfId="2" applyNumberFormat="1" applyFont="1" applyAlignment="1">
      <alignment horizontal="left" wrapText="1"/>
    </xf>
    <xf numFmtId="186" fontId="14" fillId="0" borderId="0" xfId="2" applyNumberFormat="1" applyFont="1" applyAlignment="1">
      <alignment horizontal="left" wrapText="1"/>
    </xf>
    <xf numFmtId="186" fontId="0" fillId="0" borderId="0" xfId="2" applyNumberFormat="1" applyFont="1" applyAlignment="1"/>
    <xf numFmtId="186" fontId="16" fillId="0" borderId="0" xfId="2" applyNumberFormat="1" applyFont="1" applyAlignment="1">
      <alignment horizontal="left"/>
    </xf>
    <xf numFmtId="186" fontId="0" fillId="0" borderId="0" xfId="2" applyNumberFormat="1" applyFont="1" applyAlignment="1">
      <alignment horizontal="left"/>
    </xf>
    <xf numFmtId="186" fontId="16" fillId="0" borderId="0" xfId="2" applyNumberFormat="1" applyFont="1" applyAlignment="1"/>
    <xf numFmtId="186" fontId="0" fillId="0" borderId="0" xfId="2" applyNumberFormat="1" applyFont="1" applyAlignment="1" applyProtection="1">
      <protection locked="0"/>
    </xf>
    <xf numFmtId="186" fontId="10" fillId="0" borderId="0" xfId="2" applyNumberFormat="1" applyFont="1" applyAlignment="1"/>
    <xf numFmtId="0" fontId="21" fillId="0" borderId="0" xfId="0" applyFont="1" applyAlignment="1">
      <alignment horizontal="left"/>
    </xf>
    <xf numFmtId="0" fontId="10" fillId="0" borderId="0" xfId="0" applyFont="1" applyAlignment="1">
      <alignment horizontal="left"/>
    </xf>
    <xf numFmtId="0" fontId="10" fillId="0" borderId="0" xfId="0" applyFont="1" applyAlignment="1">
      <alignment horizontal="left" wrapText="1"/>
    </xf>
    <xf numFmtId="0" fontId="0" fillId="0" borderId="0" xfId="0" applyAlignment="1">
      <alignment horizontal="left" wrapText="1"/>
    </xf>
    <xf numFmtId="3" fontId="0" fillId="0" borderId="0" xfId="0" applyNumberFormat="1" applyAlignment="1">
      <alignment horizontal="left" wrapText="1"/>
    </xf>
    <xf numFmtId="37" fontId="52" fillId="0" borderId="0" xfId="0" applyNumberFormat="1" applyFont="1" applyAlignment="1">
      <alignment horizontal="left" vertical="top" wrapText="1"/>
    </xf>
    <xf numFmtId="0" fontId="55" fillId="0" borderId="0" xfId="0" applyFont="1" applyAlignment="1">
      <alignment horizontal="left"/>
    </xf>
    <xf numFmtId="0" fontId="52" fillId="0" borderId="0" xfId="0" applyFont="1" applyAlignment="1">
      <alignment horizontal="left" vertical="top"/>
    </xf>
    <xf numFmtId="176" fontId="117" fillId="22" borderId="0" xfId="0" applyNumberFormat="1" applyFont="1" applyFill="1" applyAlignment="1">
      <alignment horizontal="center"/>
    </xf>
    <xf numFmtId="178" fontId="121" fillId="4" borderId="0" xfId="1" applyNumberFormat="1" applyFont="1" applyFill="1"/>
    <xf numFmtId="176" fontId="122" fillId="7" borderId="8" xfId="0" applyNumberFormat="1" applyFont="1" applyFill="1" applyBorder="1"/>
    <xf numFmtId="9" fontId="113" fillId="4" borderId="0" xfId="0" applyNumberFormat="1" applyFont="1" applyFill="1"/>
    <xf numFmtId="186" fontId="55" fillId="0" borderId="0" xfId="2" applyNumberFormat="1" applyFont="1" applyAlignment="1">
      <alignment horizontal="left" vertical="top"/>
    </xf>
    <xf numFmtId="0" fontId="118" fillId="0" borderId="0" xfId="0" applyFont="1"/>
    <xf numFmtId="2" fontId="118" fillId="0" borderId="0" xfId="0" applyNumberFormat="1" applyFont="1"/>
    <xf numFmtId="0" fontId="125" fillId="0" borderId="15" xfId="12" applyFont="1" applyFill="1"/>
    <xf numFmtId="0" fontId="82" fillId="24" borderId="15" xfId="12" applyFill="1"/>
    <xf numFmtId="0" fontId="124" fillId="24" borderId="15" xfId="12" applyFont="1" applyFill="1"/>
    <xf numFmtId="10" fontId="126" fillId="15" borderId="14" xfId="11" applyNumberFormat="1" applyFont="1"/>
    <xf numFmtId="178" fontId="121" fillId="0" borderId="0" xfId="0" applyNumberFormat="1" applyFont="1"/>
    <xf numFmtId="178" fontId="121" fillId="0" borderId="0" xfId="1" applyNumberFormat="1" applyFont="1"/>
    <xf numFmtId="2" fontId="113" fillId="0" borderId="0" xfId="0" applyNumberFormat="1" applyFont="1"/>
    <xf numFmtId="177" fontId="121" fillId="0" borderId="0" xfId="0" applyNumberFormat="1" applyFont="1"/>
    <xf numFmtId="194" fontId="115" fillId="0" borderId="0" xfId="0" applyNumberFormat="1" applyFont="1" applyAlignment="1">
      <alignment horizontal="right"/>
    </xf>
    <xf numFmtId="187" fontId="116" fillId="0" borderId="0" xfId="0" applyNumberFormat="1" applyFont="1" applyAlignment="1">
      <alignment horizontal="right" vertical="top" wrapText="1"/>
    </xf>
    <xf numFmtId="43" fontId="0" fillId="0" borderId="0" xfId="0" applyNumberFormat="1" applyAlignment="1">
      <alignment horizontal="right"/>
    </xf>
    <xf numFmtId="26" fontId="58" fillId="0" borderId="0" xfId="0" applyNumberFormat="1" applyFont="1" applyAlignment="1">
      <alignment horizontal="left"/>
    </xf>
    <xf numFmtId="178" fontId="118" fillId="0" borderId="0" xfId="0" applyNumberFormat="1" applyFont="1"/>
    <xf numFmtId="0" fontId="64" fillId="0" borderId="0" xfId="0" applyFont="1" applyAlignment="1">
      <alignment horizontal="left"/>
    </xf>
    <xf numFmtId="196" fontId="0" fillId="0" borderId="0" xfId="0" applyNumberFormat="1" applyAlignment="1">
      <alignment horizontal="right"/>
    </xf>
    <xf numFmtId="0" fontId="127" fillId="25" borderId="12" xfId="6" applyFont="1" applyFill="1"/>
    <xf numFmtId="177" fontId="42" fillId="10" borderId="12" xfId="6" applyNumberFormat="1" applyAlignment="1">
      <alignment horizontal="right"/>
    </xf>
    <xf numFmtId="177" fontId="101" fillId="10" borderId="12" xfId="6" applyNumberFormat="1" applyFont="1" applyAlignment="1">
      <alignment horizontal="right"/>
    </xf>
    <xf numFmtId="177" fontId="38" fillId="9" borderId="11" xfId="4" applyNumberFormat="1" applyAlignment="1">
      <alignment horizontal="right"/>
    </xf>
    <xf numFmtId="187" fontId="128" fillId="0" borderId="0" xfId="0" applyNumberFormat="1" applyFont="1" applyAlignment="1">
      <alignment horizontal="right" vertical="top" wrapText="1"/>
    </xf>
    <xf numFmtId="0" fontId="129" fillId="15" borderId="14" xfId="11" applyFont="1" applyAlignment="1">
      <alignment horizontal="right"/>
    </xf>
    <xf numFmtId="9" fontId="129" fillId="15" borderId="14" xfId="11" applyNumberFormat="1" applyFont="1" applyAlignment="1">
      <alignment horizontal="right"/>
    </xf>
    <xf numFmtId="194" fontId="129" fillId="15" borderId="14" xfId="11" applyNumberFormat="1" applyFont="1" applyAlignment="1">
      <alignment horizontal="right"/>
    </xf>
    <xf numFmtId="43" fontId="129" fillId="15" borderId="14" xfId="11" applyNumberFormat="1" applyFont="1" applyAlignment="1">
      <alignment horizontal="right"/>
    </xf>
    <xf numFmtId="10" fontId="129" fillId="15" borderId="14" xfId="11" applyNumberFormat="1" applyFont="1" applyAlignment="1">
      <alignment horizontal="right"/>
    </xf>
    <xf numFmtId="196" fontId="129" fillId="15" borderId="14" xfId="11" applyNumberFormat="1" applyFont="1" applyAlignment="1">
      <alignment horizontal="right"/>
    </xf>
    <xf numFmtId="14" fontId="80" fillId="0" borderId="0" xfId="0" applyNumberFormat="1" applyFont="1" applyAlignment="1">
      <alignment horizontal="center"/>
    </xf>
    <xf numFmtId="178" fontId="72" fillId="0" borderId="0" xfId="1" applyNumberFormat="1" applyFont="1" applyAlignment="1"/>
    <xf numFmtId="0" fontId="67" fillId="0" borderId="0" xfId="0" applyFont="1" applyAlignment="1">
      <alignment horizontal="left" vertical="top" wrapText="1"/>
    </xf>
    <xf numFmtId="0" fontId="0" fillId="0" borderId="0" xfId="0" applyAlignment="1">
      <alignment horizontal="center"/>
    </xf>
    <xf numFmtId="0" fontId="0" fillId="0" borderId="0" xfId="0"/>
    <xf numFmtId="0" fontId="0" fillId="0" borderId="0" xfId="0" applyAlignment="1">
      <alignment horizontal="left" vertical="top" wrapText="1"/>
    </xf>
    <xf numFmtId="0" fontId="4" fillId="0" borderId="0" xfId="8" applyAlignment="1">
      <alignment horizontal="left" vertical="top"/>
    </xf>
    <xf numFmtId="0" fontId="4" fillId="0" borderId="0" xfId="8" applyAlignment="1">
      <alignment horizontal="center"/>
    </xf>
    <xf numFmtId="0" fontId="80" fillId="14" borderId="0" xfId="10" applyFont="1" applyAlignment="1">
      <alignment horizontal="center"/>
    </xf>
    <xf numFmtId="0" fontId="3" fillId="14" borderId="0" xfId="10" applyAlignment="1">
      <alignment horizontal="center"/>
    </xf>
    <xf numFmtId="0" fontId="2" fillId="16" borderId="0" xfId="13" applyAlignment="1">
      <alignment horizontal="center"/>
    </xf>
    <xf numFmtId="0" fontId="2" fillId="20" borderId="0" xfId="17" applyAlignment="1">
      <alignment horizontal="center"/>
    </xf>
    <xf numFmtId="0" fontId="83" fillId="18" borderId="0" xfId="15" applyAlignment="1">
      <alignment horizontal="center"/>
    </xf>
    <xf numFmtId="178" fontId="2" fillId="17" borderId="0" xfId="14" applyNumberFormat="1" applyAlignment="1">
      <alignment horizontal="center"/>
    </xf>
  </cellXfs>
  <cellStyles count="20">
    <cellStyle name="20% - 着色 1" xfId="10" builtinId="30"/>
    <cellStyle name="20% - 着色 2" xfId="13" builtinId="34"/>
    <cellStyle name="20% - 着色 3" xfId="14" builtinId="38"/>
    <cellStyle name="20% - 着色 4" xfId="16" builtinId="42"/>
    <cellStyle name="20% - 着色 5" xfId="17" builtinId="46"/>
    <cellStyle name="40% - 着色 1" xfId="19" builtinId="31"/>
    <cellStyle name="百分比" xfId="1" builtinId="5"/>
    <cellStyle name="标题 2" xfId="12" builtinId="17"/>
    <cellStyle name="差" xfId="3" builtinId="27"/>
    <cellStyle name="常规" xfId="0" builtinId="0"/>
    <cellStyle name="常规 2" xfId="8" xr:uid="{D0A0D442-1CC5-49C9-934A-8E012A78E22E}"/>
    <cellStyle name="常规 3" xfId="7" xr:uid="{16AD738E-91AC-4FEE-A6D8-94D3BAFB87F8}"/>
    <cellStyle name="超链接" xfId="9" builtinId="8"/>
    <cellStyle name="计算" xfId="18" builtinId="22"/>
    <cellStyle name="检查单元格" xfId="4" builtinId="23"/>
    <cellStyle name="警告文本" xfId="5" builtinId="11"/>
    <cellStyle name="千位分隔" xfId="2" builtinId="3"/>
    <cellStyle name="输出" xfId="6" builtinId="21"/>
    <cellStyle name="输入" xfId="11" builtinId="20"/>
    <cellStyle name="着色 4" xfId="15" builtinId="41"/>
  </cellStyles>
  <dxfs count="4">
    <dxf>
      <font>
        <color rgb="FFFF0000"/>
      </font>
      <fill>
        <patternFill>
          <bgColor theme="5" tint="0.59996337778862885"/>
        </patternFill>
      </fill>
    </dxf>
    <dxf>
      <font>
        <color rgb="FFFF0000"/>
      </font>
      <fill>
        <patternFill>
          <bgColor theme="5" tint="0.59996337778862885"/>
        </patternFill>
      </fill>
    </dxf>
    <dxf>
      <font>
        <color rgb="FFFF0000"/>
      </font>
      <fill>
        <patternFill>
          <bgColor theme="5" tint="0.59996337778862885"/>
        </patternFill>
      </fill>
    </dxf>
    <dxf>
      <font>
        <color rgb="FFFF0000"/>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9.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20.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21.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22.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23.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24.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25.xml"/><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Everything!$A$171</c:f>
              <c:strCache>
                <c:ptCount val="1"/>
                <c:pt idx="0">
                  <c:v>Number of properties(US Malls and Outlets)</c:v>
                </c:pt>
              </c:strCache>
            </c:strRef>
          </c:tx>
          <c:spPr>
            <a:ln w="28575" cap="rnd">
              <a:solidFill>
                <a:schemeClr val="accent1"/>
              </a:solidFill>
              <a:round/>
            </a:ln>
            <a:effectLst/>
          </c:spPr>
          <c:marker>
            <c:symbol val="none"/>
          </c:marker>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Everything!$M$171:$AC$171</c:f>
              <c:numCache>
                <c:formatCode>General</c:formatCode>
                <c:ptCount val="17"/>
                <c:pt idx="0">
                  <c:v>203</c:v>
                </c:pt>
                <c:pt idx="1">
                  <c:v>204</c:v>
                </c:pt>
                <c:pt idx="2">
                  <c:v>207</c:v>
                </c:pt>
                <c:pt idx="3">
                  <c:v>206</c:v>
                </c:pt>
                <c:pt idx="4">
                  <c:v>204</c:v>
                </c:pt>
                <c:pt idx="5">
                  <c:v>203</c:v>
                </c:pt>
                <c:pt idx="6">
                  <c:v>209</c:v>
                </c:pt>
                <c:pt idx="7">
                  <c:v>219</c:v>
                </c:pt>
                <c:pt idx="8">
                  <c:v>223</c:v>
                </c:pt>
                <c:pt idx="9">
                  <c:v>178</c:v>
                </c:pt>
                <c:pt idx="10">
                  <c:v>177</c:v>
                </c:pt>
                <c:pt idx="11">
                  <c:v>179</c:v>
                </c:pt>
                <c:pt idx="12">
                  <c:v>175</c:v>
                </c:pt>
                <c:pt idx="13">
                  <c:v>175</c:v>
                </c:pt>
                <c:pt idx="14">
                  <c:v>176</c:v>
                </c:pt>
                <c:pt idx="15">
                  <c:v>175</c:v>
                </c:pt>
                <c:pt idx="16">
                  <c:v>168</c:v>
                </c:pt>
              </c:numCache>
            </c:numRef>
          </c:val>
          <c:smooth val="0"/>
          <c:extLst>
            <c:ext xmlns:c16="http://schemas.microsoft.com/office/drawing/2014/chart" uri="{C3380CC4-5D6E-409C-BE32-E72D297353CC}">
              <c16:uniqueId val="{00000000-FE2B-154C-80F8-F6C03CB273C5}"/>
            </c:ext>
          </c:extLst>
        </c:ser>
        <c:ser>
          <c:idx val="1"/>
          <c:order val="1"/>
          <c:tx>
            <c:strRef>
              <c:f>Everything!$A$198</c:f>
              <c:strCache>
                <c:ptCount val="1"/>
                <c:pt idx="0">
                  <c:v>Number of properties(International Properties)</c:v>
                </c:pt>
              </c:strCache>
            </c:strRef>
          </c:tx>
          <c:spPr>
            <a:ln w="28575" cap="rnd">
              <a:solidFill>
                <a:schemeClr val="accent2"/>
              </a:solidFill>
              <a:round/>
            </a:ln>
            <a:effectLst/>
          </c:spPr>
          <c:marker>
            <c:symbol val="none"/>
          </c:marker>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Everything!$M$198:$AC$198</c:f>
              <c:numCache>
                <c:formatCode>General</c:formatCode>
                <c:ptCount val="17"/>
                <c:pt idx="0">
                  <c:v>4</c:v>
                </c:pt>
                <c:pt idx="1">
                  <c:v>5</c:v>
                </c:pt>
                <c:pt idx="2">
                  <c:v>5</c:v>
                </c:pt>
                <c:pt idx="3">
                  <c:v>6</c:v>
                </c:pt>
                <c:pt idx="4">
                  <c:v>7</c:v>
                </c:pt>
                <c:pt idx="5">
                  <c:v>8</c:v>
                </c:pt>
                <c:pt idx="6">
                  <c:v>8</c:v>
                </c:pt>
                <c:pt idx="7">
                  <c:v>12</c:v>
                </c:pt>
                <c:pt idx="8">
                  <c:v>12</c:v>
                </c:pt>
                <c:pt idx="9">
                  <c:v>20</c:v>
                </c:pt>
                <c:pt idx="10">
                  <c:v>21</c:v>
                </c:pt>
                <c:pt idx="11">
                  <c:v>22</c:v>
                </c:pt>
                <c:pt idx="12">
                  <c:v>23</c:v>
                </c:pt>
                <c:pt idx="13">
                  <c:v>27</c:v>
                </c:pt>
                <c:pt idx="14">
                  <c:v>28</c:v>
                </c:pt>
                <c:pt idx="15">
                  <c:v>29</c:v>
                </c:pt>
                <c:pt idx="16">
                  <c:v>31</c:v>
                </c:pt>
              </c:numCache>
            </c:numRef>
          </c:val>
          <c:smooth val="0"/>
          <c:extLst>
            <c:ext xmlns:c16="http://schemas.microsoft.com/office/drawing/2014/chart" uri="{C3380CC4-5D6E-409C-BE32-E72D297353CC}">
              <c16:uniqueId val="{00000002-FE2B-154C-80F8-F6C03CB273C5}"/>
            </c:ext>
          </c:extLst>
        </c:ser>
        <c:dLbls>
          <c:showLegendKey val="0"/>
          <c:showVal val="0"/>
          <c:showCatName val="0"/>
          <c:showSerName val="0"/>
          <c:showPercent val="0"/>
          <c:showBubbleSize val="0"/>
        </c:dLbls>
        <c:smooth val="0"/>
        <c:axId val="583966416"/>
        <c:axId val="529842032"/>
      </c:lineChart>
      <c:catAx>
        <c:axId val="58396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29842032"/>
        <c:crosses val="autoZero"/>
        <c:auto val="1"/>
        <c:lblAlgn val="ctr"/>
        <c:lblOffset val="100"/>
        <c:noMultiLvlLbl val="0"/>
      </c:catAx>
      <c:valAx>
        <c:axId val="52984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396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Everything!$A$33</c:f>
              <c:strCache>
                <c:ptCount val="1"/>
                <c:pt idx="0">
                  <c:v>Rental Revenue</c:v>
                </c:pt>
              </c:strCache>
            </c:strRef>
          </c:tx>
          <c:spPr>
            <a:solidFill>
              <a:schemeClr val="accent1"/>
            </a:solidFill>
            <a:ln>
              <a:noFill/>
            </a:ln>
            <a:effectLst/>
          </c:spPr>
          <c:invertIfNegative val="0"/>
          <c:cat>
            <c:strRef>
              <c:f>Everything!$B$1:$AC$1</c:f>
              <c:strCache>
                <c:ptCount val="18"/>
                <c:pt idx="0">
                  <c:v>2003 FY</c:v>
                </c:pt>
                <c:pt idx="1">
                  <c:v>2004 FY</c:v>
                </c:pt>
                <c:pt idx="2">
                  <c:v>2005 FY</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Everything!$B$33:$AB$33</c:f>
              <c:numCache>
                <c:formatCode>#,##0;[Red]\(#,##0\)</c:formatCode>
                <c:ptCount val="17"/>
                <c:pt idx="0">
                  <c:v>2098252</c:v>
                </c:pt>
                <c:pt idx="1">
                  <c:v>2411416</c:v>
                </c:pt>
                <c:pt idx="2">
                  <c:v>2920094</c:v>
                </c:pt>
                <c:pt idx="3">
                  <c:v>3063177</c:v>
                </c:pt>
                <c:pt idx="4">
                  <c:v>3287880</c:v>
                </c:pt>
                <c:pt idx="5">
                  <c:v>3458098</c:v>
                </c:pt>
                <c:pt idx="6">
                  <c:v>3463987</c:v>
                </c:pt>
                <c:pt idx="7">
                  <c:v>3623920</c:v>
                </c:pt>
                <c:pt idx="8">
                  <c:v>3982835</c:v>
                </c:pt>
                <c:pt idx="9">
                  <c:v>4551899</c:v>
                </c:pt>
                <c:pt idx="10">
                  <c:v>4868338</c:v>
                </c:pt>
                <c:pt idx="11">
                  <c:v>4531811</c:v>
                </c:pt>
                <c:pt idx="12">
                  <c:v>4782040</c:v>
                </c:pt>
                <c:pt idx="13">
                  <c:v>5014810</c:v>
                </c:pt>
                <c:pt idx="14">
                  <c:v>5109099</c:v>
                </c:pt>
                <c:pt idx="15">
                  <c:v>5158420</c:v>
                </c:pt>
                <c:pt idx="16">
                  <c:v>5243771</c:v>
                </c:pt>
              </c:numCache>
            </c:numRef>
          </c:val>
          <c:extLst>
            <c:ext xmlns:c16="http://schemas.microsoft.com/office/drawing/2014/chart" uri="{C3380CC4-5D6E-409C-BE32-E72D297353CC}">
              <c16:uniqueId val="{00000001-2FBE-1B4B-B571-171845027138}"/>
            </c:ext>
          </c:extLst>
        </c:ser>
        <c:dLbls>
          <c:showLegendKey val="0"/>
          <c:showVal val="0"/>
          <c:showCatName val="0"/>
          <c:showSerName val="0"/>
          <c:showPercent val="0"/>
          <c:showBubbleSize val="0"/>
        </c:dLbls>
        <c:gapWidth val="150"/>
        <c:axId val="2033271967"/>
        <c:axId val="2026317439"/>
      </c:barChart>
      <c:lineChart>
        <c:grouping val="standard"/>
        <c:varyColors val="0"/>
        <c:ser>
          <c:idx val="1"/>
          <c:order val="1"/>
          <c:tx>
            <c:strRef>
              <c:f>Everything!$A$35</c:f>
              <c:strCache>
                <c:ptCount val="1"/>
                <c:pt idx="0">
                  <c:v>yoy</c:v>
                </c:pt>
              </c:strCache>
            </c:strRef>
          </c:tx>
          <c:spPr>
            <a:ln w="28575" cap="rnd">
              <a:solidFill>
                <a:schemeClr val="accent2"/>
              </a:solidFill>
              <a:round/>
            </a:ln>
            <a:effectLst/>
          </c:spPr>
          <c:marker>
            <c:symbol val="none"/>
          </c:marker>
          <c:cat>
            <c:strRef>
              <c:f>Everything!$B$1:$AC$1</c:f>
              <c:strCache>
                <c:ptCount val="18"/>
                <c:pt idx="0">
                  <c:v>2003 FY</c:v>
                </c:pt>
                <c:pt idx="1">
                  <c:v>2004 FY</c:v>
                </c:pt>
                <c:pt idx="2">
                  <c:v>2005 FY</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Everything!$B$35:$AC$35</c:f>
              <c:numCache>
                <c:formatCode>0%</c:formatCode>
                <c:ptCount val="18"/>
                <c:pt idx="0">
                  <c:v>5.577208527681754E-2</c:v>
                </c:pt>
                <c:pt idx="1">
                  <c:v>0.14924994709882311</c:v>
                </c:pt>
                <c:pt idx="2">
                  <c:v>0.21094576796371922</c:v>
                </c:pt>
                <c:pt idx="3">
                  <c:v>4.8999450017704893E-2</c:v>
                </c:pt>
                <c:pt idx="4">
                  <c:v>7.3356191953648064E-2</c:v>
                </c:pt>
                <c:pt idx="5">
                  <c:v>5.1771354185675911E-2</c:v>
                </c:pt>
                <c:pt idx="6">
                  <c:v>1.7029592567938678E-3</c:v>
                </c:pt>
                <c:pt idx="7">
                  <c:v>4.6170207913597938E-2</c:v>
                </c:pt>
                <c:pt idx="8">
                  <c:v>9.9040541733813159E-2</c:v>
                </c:pt>
                <c:pt idx="9">
                  <c:v>0.14287913006689967</c:v>
                </c:pt>
                <c:pt idx="10">
                  <c:v>6.9518018743385923E-2</c:v>
                </c:pt>
                <c:pt idx="11">
                  <c:v>-6.9125644110988205E-2</c:v>
                </c:pt>
                <c:pt idx="12">
                  <c:v>5.5216115588227366E-2</c:v>
                </c:pt>
                <c:pt idx="13">
                  <c:v>4.86758789136017E-2</c:v>
                </c:pt>
                <c:pt idx="14">
                  <c:v>1.8802108155643094E-2</c:v>
                </c:pt>
                <c:pt idx="15">
                  <c:v>9.6535612247874436E-3</c:v>
                </c:pt>
                <c:pt idx="16">
                  <c:v>1.6545957870820915E-2</c:v>
                </c:pt>
              </c:numCache>
            </c:numRef>
          </c:val>
          <c:smooth val="0"/>
          <c:extLst>
            <c:ext xmlns:c16="http://schemas.microsoft.com/office/drawing/2014/chart" uri="{C3380CC4-5D6E-409C-BE32-E72D297353CC}">
              <c16:uniqueId val="{00000003-2FBE-1B4B-B571-171845027138}"/>
            </c:ext>
          </c:extLst>
        </c:ser>
        <c:dLbls>
          <c:showLegendKey val="0"/>
          <c:showVal val="0"/>
          <c:showCatName val="0"/>
          <c:showSerName val="0"/>
          <c:showPercent val="0"/>
          <c:showBubbleSize val="0"/>
        </c:dLbls>
        <c:marker val="1"/>
        <c:smooth val="0"/>
        <c:axId val="1940338943"/>
        <c:axId val="2022031151"/>
      </c:lineChart>
      <c:catAx>
        <c:axId val="203327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26317439"/>
        <c:crosses val="autoZero"/>
        <c:auto val="1"/>
        <c:lblAlgn val="ctr"/>
        <c:lblOffset val="100"/>
        <c:noMultiLvlLbl val="0"/>
      </c:catAx>
      <c:valAx>
        <c:axId val="2026317439"/>
        <c:scaling>
          <c:orientation val="minMax"/>
        </c:scaling>
        <c:delete val="0"/>
        <c:axPos val="l"/>
        <c:majorGridlines>
          <c:spPr>
            <a:ln w="9525" cap="flat" cmpd="sng" algn="ctr">
              <a:no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33271967"/>
        <c:crosses val="autoZero"/>
        <c:crossBetween val="between"/>
      </c:valAx>
      <c:valAx>
        <c:axId val="2022031151"/>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0338943"/>
        <c:crosses val="max"/>
        <c:crossBetween val="between"/>
      </c:valAx>
      <c:catAx>
        <c:axId val="1940338943"/>
        <c:scaling>
          <c:orientation val="minMax"/>
        </c:scaling>
        <c:delete val="1"/>
        <c:axPos val="b"/>
        <c:numFmt formatCode="General" sourceLinked="1"/>
        <c:majorTickMark val="out"/>
        <c:minorTickMark val="none"/>
        <c:tickLblPos val="nextTo"/>
        <c:crossAx val="20220311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Everything!$A$48:$B$48</c:f>
              <c:strCache>
                <c:ptCount val="2"/>
                <c:pt idx="0">
                  <c:v>FFO</c:v>
                </c:pt>
                <c:pt idx="1">
                  <c:v>NA</c:v>
                </c:pt>
              </c:strCache>
            </c:strRef>
          </c:tx>
          <c:spPr>
            <a:solidFill>
              <a:schemeClr val="accent1"/>
            </a:solidFill>
            <a:ln>
              <a:noFill/>
            </a:ln>
            <a:effectLst/>
          </c:spPr>
          <c:invertIfNegative val="0"/>
          <c:cat>
            <c:strRef>
              <c:f>Everything!$C$1:$AB$1</c:f>
              <c:strCache>
                <c:ptCount val="17"/>
                <c:pt idx="0">
                  <c:v>2003 FY</c:v>
                </c:pt>
                <c:pt idx="1">
                  <c:v>2004 FY</c:v>
                </c:pt>
                <c:pt idx="2">
                  <c:v>2005 FY</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strCache>
            </c:strRef>
          </c:cat>
          <c:val>
            <c:numRef>
              <c:f>Everything!$C$48:$AB$48</c:f>
              <c:numCache>
                <c:formatCode>#,##0;[Red]\(#,##0\)</c:formatCode>
                <c:ptCount val="17"/>
                <c:pt idx="0">
                  <c:v>1041105</c:v>
                </c:pt>
                <c:pt idx="1">
                  <c:v>1181924</c:v>
                </c:pt>
                <c:pt idx="2">
                  <c:v>1411368</c:v>
                </c:pt>
                <c:pt idx="3">
                  <c:v>1537223</c:v>
                </c:pt>
                <c:pt idx="4">
                  <c:v>1691887</c:v>
                </c:pt>
                <c:pt idx="5">
                  <c:v>1862851</c:v>
                </c:pt>
                <c:pt idx="6">
                  <c:v>1812227</c:v>
                </c:pt>
                <c:pt idx="7">
                  <c:v>1770491</c:v>
                </c:pt>
                <c:pt idx="8">
                  <c:v>2438765</c:v>
                </c:pt>
                <c:pt idx="9">
                  <c:v>2884915</c:v>
                </c:pt>
                <c:pt idx="10">
                  <c:v>3205693</c:v>
                </c:pt>
                <c:pt idx="11">
                  <c:v>3235298</c:v>
                </c:pt>
                <c:pt idx="12">
                  <c:v>3571237</c:v>
                </c:pt>
                <c:pt idx="13">
                  <c:v>3792951</c:v>
                </c:pt>
                <c:pt idx="14">
                  <c:v>4020505</c:v>
                </c:pt>
                <c:pt idx="15">
                  <c:v>4324601</c:v>
                </c:pt>
                <c:pt idx="16">
                  <c:v>4272271</c:v>
                </c:pt>
              </c:numCache>
            </c:numRef>
          </c:val>
          <c:extLst>
            <c:ext xmlns:c16="http://schemas.microsoft.com/office/drawing/2014/chart" uri="{C3380CC4-5D6E-409C-BE32-E72D297353CC}">
              <c16:uniqueId val="{00000001-2FBE-1B4B-B571-171845027138}"/>
            </c:ext>
          </c:extLst>
        </c:ser>
        <c:dLbls>
          <c:showLegendKey val="0"/>
          <c:showVal val="0"/>
          <c:showCatName val="0"/>
          <c:showSerName val="0"/>
          <c:showPercent val="0"/>
          <c:showBubbleSize val="0"/>
        </c:dLbls>
        <c:gapWidth val="150"/>
        <c:axId val="2033271967"/>
        <c:axId val="2026317439"/>
      </c:barChart>
      <c:lineChart>
        <c:grouping val="standard"/>
        <c:varyColors val="0"/>
        <c:ser>
          <c:idx val="1"/>
          <c:order val="1"/>
          <c:tx>
            <c:strRef>
              <c:f>Everything!$A$49</c:f>
              <c:strCache>
                <c:ptCount val="1"/>
                <c:pt idx="0">
                  <c:v>yoy</c:v>
                </c:pt>
              </c:strCache>
            </c:strRef>
          </c:tx>
          <c:spPr>
            <a:ln w="28575" cap="rnd">
              <a:solidFill>
                <a:schemeClr val="accent2"/>
              </a:solidFill>
              <a:round/>
            </a:ln>
            <a:effectLst/>
          </c:spPr>
          <c:marker>
            <c:symbol val="none"/>
          </c:marker>
          <c:cat>
            <c:strRef>
              <c:f>Everything!$C$1:$AB$1</c:f>
              <c:strCache>
                <c:ptCount val="17"/>
                <c:pt idx="0">
                  <c:v>2003 FY</c:v>
                </c:pt>
                <c:pt idx="1">
                  <c:v>2004 FY</c:v>
                </c:pt>
                <c:pt idx="2">
                  <c:v>2005 FY</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strCache>
            </c:strRef>
          </c:cat>
          <c:val>
            <c:numRef>
              <c:f>Everything!$D$49:$AB$49</c:f>
              <c:numCache>
                <c:formatCode>0%</c:formatCode>
                <c:ptCount val="17"/>
                <c:pt idx="0">
                  <c:v>0.11186877640555526</c:v>
                </c:pt>
                <c:pt idx="1">
                  <c:v>0.13525917174540503</c:v>
                </c:pt>
                <c:pt idx="2">
                  <c:v>0.1941275411955421</c:v>
                </c:pt>
                <c:pt idx="3">
                  <c:v>8.917234909676286E-2</c:v>
                </c:pt>
                <c:pt idx="4">
                  <c:v>0.1006125981721584</c:v>
                </c:pt>
                <c:pt idx="5">
                  <c:v>0.10104930175596838</c:v>
                </c:pt>
                <c:pt idx="6">
                  <c:v>-2.71755497353251E-2</c:v>
                </c:pt>
                <c:pt idx="7">
                  <c:v>-2.3030227449430951E-2</c:v>
                </c:pt>
                <c:pt idx="8">
                  <c:v>0.37745122680657506</c:v>
                </c:pt>
                <c:pt idx="9">
                  <c:v>0.18294095577064629</c:v>
                </c:pt>
                <c:pt idx="10">
                  <c:v>0.11119149091047742</c:v>
                </c:pt>
                <c:pt idx="11">
                  <c:v>9.2351326218698127E-3</c:v>
                </c:pt>
                <c:pt idx="12">
                  <c:v>0.10383556630641144</c:v>
                </c:pt>
                <c:pt idx="13">
                  <c:v>6.2083250145537727E-2</c:v>
                </c:pt>
                <c:pt idx="14">
                  <c:v>5.9993920301105952E-2</c:v>
                </c:pt>
                <c:pt idx="15">
                  <c:v>7.5636269573100989E-2</c:v>
                </c:pt>
                <c:pt idx="16">
                  <c:v>-1.2100538292434404E-2</c:v>
                </c:pt>
              </c:numCache>
            </c:numRef>
          </c:val>
          <c:smooth val="0"/>
          <c:extLst>
            <c:ext xmlns:c16="http://schemas.microsoft.com/office/drawing/2014/chart" uri="{C3380CC4-5D6E-409C-BE32-E72D297353CC}">
              <c16:uniqueId val="{00000003-2FBE-1B4B-B571-171845027138}"/>
            </c:ext>
          </c:extLst>
        </c:ser>
        <c:dLbls>
          <c:showLegendKey val="0"/>
          <c:showVal val="0"/>
          <c:showCatName val="0"/>
          <c:showSerName val="0"/>
          <c:showPercent val="0"/>
          <c:showBubbleSize val="0"/>
        </c:dLbls>
        <c:marker val="1"/>
        <c:smooth val="0"/>
        <c:axId val="1940338943"/>
        <c:axId val="2022031151"/>
      </c:lineChart>
      <c:catAx>
        <c:axId val="203327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26317439"/>
        <c:crosses val="autoZero"/>
        <c:auto val="1"/>
        <c:lblAlgn val="ctr"/>
        <c:lblOffset val="100"/>
        <c:noMultiLvlLbl val="0"/>
      </c:catAx>
      <c:valAx>
        <c:axId val="2026317439"/>
        <c:scaling>
          <c:orientation val="minMax"/>
        </c:scaling>
        <c:delete val="0"/>
        <c:axPos val="l"/>
        <c:majorGridlines>
          <c:spPr>
            <a:ln w="9525" cap="flat" cmpd="sng" algn="ctr">
              <a:no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33271967"/>
        <c:crosses val="autoZero"/>
        <c:crossBetween val="between"/>
      </c:valAx>
      <c:valAx>
        <c:axId val="2022031151"/>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0338943"/>
        <c:crosses val="max"/>
        <c:crossBetween val="between"/>
      </c:valAx>
      <c:catAx>
        <c:axId val="1940338943"/>
        <c:scaling>
          <c:orientation val="minMax"/>
        </c:scaling>
        <c:delete val="1"/>
        <c:axPos val="b"/>
        <c:numFmt formatCode="General" sourceLinked="1"/>
        <c:majorTickMark val="out"/>
        <c:minorTickMark val="none"/>
        <c:tickLblPos val="nextTo"/>
        <c:crossAx val="20220311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Everything!$A$120</c:f>
              <c:strCache>
                <c:ptCount val="1"/>
                <c:pt idx="0">
                  <c:v>Recurring EBITDA/ Interest Expense + Pref. Div. (x)</c:v>
                </c:pt>
              </c:strCache>
            </c:strRef>
          </c:tx>
          <c:spPr>
            <a:ln w="28575" cap="rnd">
              <a:solidFill>
                <a:schemeClr val="accent1"/>
              </a:solidFill>
              <a:round/>
            </a:ln>
            <a:effectLst/>
          </c:spPr>
          <c:marker>
            <c:symbol val="none"/>
          </c:marker>
          <c:dLbls>
            <c:dLbl>
              <c:idx val="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E1-1842-9B6B-E25BE13B2813}"/>
                </c:ext>
              </c:extLst>
            </c:dLbl>
            <c:dLbl>
              <c:idx val="2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EA-6D40-93C2-DF17622A0049}"/>
                </c:ext>
              </c:extLst>
            </c:dLbl>
            <c:numFmt formatCode="#,##0.00;[Red]\(#,##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Everything!$B$1:$AC$1</c:f>
              <c:strCache>
                <c:ptCount val="18"/>
                <c:pt idx="0">
                  <c:v>2003 FY</c:v>
                </c:pt>
                <c:pt idx="1">
                  <c:v>2004 FY</c:v>
                </c:pt>
                <c:pt idx="2">
                  <c:v>2005 FY</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Everything!$B$120:$AC$120</c:f>
              <c:numCache>
                <c:formatCode>#,##0.00;[Red]\(#,##0.00\)</c:formatCode>
                <c:ptCount val="18"/>
                <c:pt idx="0">
                  <c:v>2.36</c:v>
                </c:pt>
                <c:pt idx="1">
                  <c:v>2.4300000000000002</c:v>
                </c:pt>
                <c:pt idx="2">
                  <c:v>2.36</c:v>
                </c:pt>
                <c:pt idx="3">
                  <c:v>2.42</c:v>
                </c:pt>
                <c:pt idx="4">
                  <c:v>2.4300000000000002</c:v>
                </c:pt>
                <c:pt idx="5">
                  <c:v>2.56</c:v>
                </c:pt>
                <c:pt idx="6">
                  <c:v>2.56</c:v>
                </c:pt>
                <c:pt idx="7">
                  <c:v>2.65</c:v>
                </c:pt>
                <c:pt idx="8">
                  <c:v>3.11</c:v>
                </c:pt>
                <c:pt idx="9">
                  <c:v>3.16</c:v>
                </c:pt>
                <c:pt idx="10">
                  <c:v>3.41</c:v>
                </c:pt>
                <c:pt idx="11">
                  <c:v>3.73</c:v>
                </c:pt>
                <c:pt idx="12">
                  <c:v>4.4000000000000004</c:v>
                </c:pt>
                <c:pt idx="13">
                  <c:v>4.9800000000000004</c:v>
                </c:pt>
                <c:pt idx="14">
                  <c:v>5.44</c:v>
                </c:pt>
                <c:pt idx="15">
                  <c:v>5.62</c:v>
                </c:pt>
                <c:pt idx="16">
                  <c:v>5.77</c:v>
                </c:pt>
                <c:pt idx="17">
                  <c:v>4.71</c:v>
                </c:pt>
              </c:numCache>
            </c:numRef>
          </c:val>
          <c:smooth val="0"/>
          <c:extLst>
            <c:ext xmlns:c16="http://schemas.microsoft.com/office/drawing/2014/chart" uri="{C3380CC4-5D6E-409C-BE32-E72D297353CC}">
              <c16:uniqueId val="{00000001-96EA-6D40-93C2-DF17622A0049}"/>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Everything!$A$10</c:f>
              <c:strCache>
                <c:ptCount val="1"/>
                <c:pt idx="0">
                  <c:v>Gross Depreciable Property</c:v>
                </c:pt>
              </c:strCache>
            </c:strRef>
          </c:tx>
          <c:spPr>
            <a:solidFill>
              <a:schemeClr val="accent1"/>
            </a:solidFill>
            <a:ln>
              <a:noFill/>
            </a:ln>
            <a:effectLst/>
          </c:spPr>
          <c:invertIfNegative val="0"/>
          <c:cat>
            <c:strRef>
              <c:f>Everything!$B$1:$AC$1</c:f>
              <c:strCache>
                <c:ptCount val="18"/>
                <c:pt idx="0">
                  <c:v>2003 FY</c:v>
                </c:pt>
                <c:pt idx="1">
                  <c:v>2004 FY</c:v>
                </c:pt>
                <c:pt idx="2">
                  <c:v>2005 FY</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strCache>
            </c:strRef>
          </c:cat>
          <c:val>
            <c:numRef>
              <c:f>Everything!$B$10:$AC$10</c:f>
              <c:numCache>
                <c:formatCode>#,##0;[Red]\(#,##0\)</c:formatCode>
                <c:ptCount val="18"/>
                <c:pt idx="0">
                  <c:v>14727870</c:v>
                </c:pt>
                <c:pt idx="1">
                  <c:v>20859992</c:v>
                </c:pt>
                <c:pt idx="2">
                  <c:v>21361213</c:v>
                </c:pt>
                <c:pt idx="3">
                  <c:v>22333665</c:v>
                </c:pt>
                <c:pt idx="4">
                  <c:v>23767722</c:v>
                </c:pt>
                <c:pt idx="5">
                  <c:v>24847461</c:v>
                </c:pt>
                <c:pt idx="6">
                  <c:v>25054506</c:v>
                </c:pt>
                <c:pt idx="7">
                  <c:v>27383508</c:v>
                </c:pt>
                <c:pt idx="8">
                  <c:v>29192970</c:v>
                </c:pt>
                <c:pt idx="9">
                  <c:v>33922858</c:v>
                </c:pt>
                <c:pt idx="10">
                  <c:v>34761802</c:v>
                </c:pt>
                <c:pt idx="11">
                  <c:v>30678451</c:v>
                </c:pt>
                <c:pt idx="12">
                  <c:v>32799853</c:v>
                </c:pt>
                <c:pt idx="13">
                  <c:v>34719878</c:v>
                </c:pt>
                <c:pt idx="14">
                  <c:v>35889772</c:v>
                </c:pt>
                <c:pt idx="15">
                  <c:v>36531114</c:v>
                </c:pt>
                <c:pt idx="16">
                  <c:v>37506173</c:v>
                </c:pt>
                <c:pt idx="17">
                  <c:v>38563110</c:v>
                </c:pt>
              </c:numCache>
            </c:numRef>
          </c:val>
          <c:extLst>
            <c:ext xmlns:c16="http://schemas.microsoft.com/office/drawing/2014/chart" uri="{C3380CC4-5D6E-409C-BE32-E72D297353CC}">
              <c16:uniqueId val="{00000000-60CE-EE43-B9E2-1ED35BBA5A9D}"/>
            </c:ext>
          </c:extLst>
        </c:ser>
        <c:dLbls>
          <c:showLegendKey val="0"/>
          <c:showVal val="0"/>
          <c:showCatName val="0"/>
          <c:showSerName val="0"/>
          <c:showPercent val="0"/>
          <c:showBubbleSize val="0"/>
        </c:dLbls>
        <c:gapWidth val="219"/>
        <c:overlap val="-27"/>
        <c:axId val="1945635423"/>
        <c:axId val="1942454303"/>
      </c:barChart>
      <c:catAx>
        <c:axId val="194563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2454303"/>
        <c:crosses val="autoZero"/>
        <c:auto val="1"/>
        <c:lblAlgn val="ctr"/>
        <c:lblOffset val="100"/>
        <c:noMultiLvlLbl val="0"/>
      </c:catAx>
      <c:valAx>
        <c:axId val="1942454303"/>
        <c:scaling>
          <c:orientation val="minMax"/>
        </c:scaling>
        <c:delete val="0"/>
        <c:axPos val="l"/>
        <c:majorGridlines>
          <c:spPr>
            <a:ln w="9525" cap="flat" cmpd="sng" algn="ctr">
              <a:solidFill>
                <a:schemeClr val="accent1">
                  <a:alpha val="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5635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Everything!$A$127</c:f>
              <c:strCache>
                <c:ptCount val="1"/>
                <c:pt idx="0">
                  <c:v>Same-store NOI: Change</c:v>
                </c:pt>
              </c:strCache>
            </c:strRef>
          </c:tx>
          <c:spPr>
            <a:ln w="28575" cap="rnd">
              <a:solidFill>
                <a:schemeClr val="accent1"/>
              </a:solidFill>
              <a:round/>
            </a:ln>
            <a:effectLst/>
          </c:spPr>
          <c:marker>
            <c:symbol val="none"/>
          </c:marker>
          <c:dLbls>
            <c:dLbl>
              <c:idx val="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E1-1842-9B6B-E25BE13B2813}"/>
                </c:ext>
              </c:extLst>
            </c:dLbl>
            <c:dLbl>
              <c:idx val="2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EA-6D40-93C2-DF17622A0049}"/>
                </c:ext>
              </c:extLst>
            </c:dLbl>
            <c:numFmt formatCode="#,##0.00;[Red]\(#,##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Everything!$M$127:$AC$127</c:f>
              <c:numCache>
                <c:formatCode>#,##0.00;[Red]\(#,##0.00\)</c:formatCode>
                <c:ptCount val="17"/>
                <c:pt idx="0">
                  <c:v>3</c:v>
                </c:pt>
                <c:pt idx="1">
                  <c:v>4</c:v>
                </c:pt>
                <c:pt idx="2">
                  <c:v>5.03</c:v>
                </c:pt>
                <c:pt idx="3">
                  <c:v>5.12</c:v>
                </c:pt>
                <c:pt idx="4">
                  <c:v>1.77</c:v>
                </c:pt>
                <c:pt idx="5">
                  <c:v>1.1000000000000001</c:v>
                </c:pt>
                <c:pt idx="6">
                  <c:v>2.9</c:v>
                </c:pt>
                <c:pt idx="7">
                  <c:v>3.4</c:v>
                </c:pt>
                <c:pt idx="8">
                  <c:v>4.8</c:v>
                </c:pt>
                <c:pt idx="9">
                  <c:v>5.2</c:v>
                </c:pt>
                <c:pt idx="10">
                  <c:v>5.0999999999999996</c:v>
                </c:pt>
                <c:pt idx="11">
                  <c:v>3.7</c:v>
                </c:pt>
                <c:pt idx="12">
                  <c:v>3.6</c:v>
                </c:pt>
                <c:pt idx="13">
                  <c:v>3.2</c:v>
                </c:pt>
                <c:pt idx="14">
                  <c:v>2.2999999999999998</c:v>
                </c:pt>
                <c:pt idx="15">
                  <c:v>1.4</c:v>
                </c:pt>
                <c:pt idx="16">
                  <c:v>0</c:v>
                </c:pt>
              </c:numCache>
            </c:numRef>
          </c:val>
          <c:smooth val="0"/>
          <c:extLst>
            <c:ext xmlns:c16="http://schemas.microsoft.com/office/drawing/2014/chart" uri="{C3380CC4-5D6E-409C-BE32-E72D297353CC}">
              <c16:uniqueId val="{00000001-96EA-6D40-93C2-DF17622A0049}"/>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'Same Store'!$A$7</c:f>
              <c:strCache>
                <c:ptCount val="1"/>
                <c:pt idx="0">
                  <c:v>SPG Same Store Change (%)</c:v>
                </c:pt>
              </c:strCache>
            </c:strRef>
          </c:tx>
          <c:spPr>
            <a:ln w="28575" cap="rnd">
              <a:solidFill>
                <a:schemeClr val="accent1"/>
              </a:solidFill>
              <a:round/>
            </a:ln>
            <a:effectLst/>
          </c:spPr>
          <c:marker>
            <c:symbol val="none"/>
          </c:marker>
          <c:dLbls>
            <c:dLbl>
              <c:idx val="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E1-1842-9B6B-E25BE13B2813}"/>
                </c:ext>
              </c:extLst>
            </c:dLbl>
            <c:dLbl>
              <c:idx val="2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EA-6D40-93C2-DF17622A0049}"/>
                </c:ext>
              </c:extLst>
            </c:dLbl>
            <c:numFmt formatCode="#,##0.00;[Red]\(#,##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Store'!$L$7:$T$7</c:f>
              <c:numCache>
                <c:formatCode>#,##0.00;[Red]\(#,##0.00\)</c:formatCode>
                <c:ptCount val="9"/>
                <c:pt idx="0">
                  <c:v>3.4</c:v>
                </c:pt>
                <c:pt idx="1">
                  <c:v>4.8</c:v>
                </c:pt>
                <c:pt idx="2">
                  <c:v>5.2</c:v>
                </c:pt>
                <c:pt idx="3">
                  <c:v>5.0999999999999996</c:v>
                </c:pt>
                <c:pt idx="4">
                  <c:v>3.7</c:v>
                </c:pt>
                <c:pt idx="5">
                  <c:v>3.6</c:v>
                </c:pt>
                <c:pt idx="6">
                  <c:v>3.2</c:v>
                </c:pt>
                <c:pt idx="7">
                  <c:v>2.2999999999999998</c:v>
                </c:pt>
                <c:pt idx="8">
                  <c:v>1.4</c:v>
                </c:pt>
              </c:numCache>
            </c:numRef>
          </c:val>
          <c:smooth val="0"/>
          <c:extLst>
            <c:ext xmlns:c16="http://schemas.microsoft.com/office/drawing/2014/chart" uri="{C3380CC4-5D6E-409C-BE32-E72D297353CC}">
              <c16:uniqueId val="{00000001-96EA-6D40-93C2-DF17622A0049}"/>
            </c:ext>
          </c:extLst>
        </c:ser>
        <c:ser>
          <c:idx val="1"/>
          <c:order val="1"/>
          <c:tx>
            <c:strRef>
              <c:f>'Same Store'!$A$8</c:f>
              <c:strCache>
                <c:ptCount val="1"/>
                <c:pt idx="0">
                  <c:v>TCO Same Store Change (%)</c:v>
                </c:pt>
              </c:strCache>
            </c:strRef>
          </c:tx>
          <c:spPr>
            <a:ln w="28575" cap="rnd">
              <a:solidFill>
                <a:schemeClr val="accent2"/>
              </a:solidFill>
              <a:round/>
            </a:ln>
            <a:effectLst/>
          </c:spPr>
          <c:marker>
            <c:symbol val="none"/>
          </c:marker>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Store'!$L$8:$T$8</c:f>
              <c:numCache>
                <c:formatCode>#,##0.00;[Red]\(#,##0.00\)</c:formatCode>
                <c:ptCount val="9"/>
                <c:pt idx="0">
                  <c:v>1.3</c:v>
                </c:pt>
                <c:pt idx="1">
                  <c:v>7.5</c:v>
                </c:pt>
                <c:pt idx="2">
                  <c:v>3.5</c:v>
                </c:pt>
                <c:pt idx="3">
                  <c:v>4</c:v>
                </c:pt>
                <c:pt idx="4">
                  <c:v>2.2999999999999998</c:v>
                </c:pt>
                <c:pt idx="5">
                  <c:v>3.4</c:v>
                </c:pt>
                <c:pt idx="6">
                  <c:v>1.7</c:v>
                </c:pt>
                <c:pt idx="7">
                  <c:v>4.4000000000000004</c:v>
                </c:pt>
                <c:pt idx="8">
                  <c:v>-0.8</c:v>
                </c:pt>
              </c:numCache>
            </c:numRef>
          </c:val>
          <c:smooth val="0"/>
          <c:extLst>
            <c:ext xmlns:c16="http://schemas.microsoft.com/office/drawing/2014/chart" uri="{C3380CC4-5D6E-409C-BE32-E72D297353CC}">
              <c16:uniqueId val="{00000011-5A8B-EB4A-8830-C2CDC959B1A9}"/>
            </c:ext>
          </c:extLst>
        </c:ser>
        <c:ser>
          <c:idx val="2"/>
          <c:order val="2"/>
          <c:tx>
            <c:strRef>
              <c:f>'Same Store'!$A$9</c:f>
              <c:strCache>
                <c:ptCount val="1"/>
                <c:pt idx="0">
                  <c:v>WPG Same Store Change(%)</c:v>
                </c:pt>
              </c:strCache>
            </c:strRef>
          </c:tx>
          <c:spPr>
            <a:ln w="28575" cap="rnd">
              <a:solidFill>
                <a:schemeClr val="accent3"/>
              </a:solidFill>
              <a:round/>
            </a:ln>
            <a:effectLst/>
          </c:spPr>
          <c:marker>
            <c:symbol val="none"/>
          </c:marker>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Store'!$L$9:$T$9</c:f>
              <c:numCache>
                <c:formatCode>#,##0.00;[Red]\(#,##0.00\)</c:formatCode>
                <c:ptCount val="9"/>
                <c:pt idx="3" formatCode="General">
                  <c:v>1.6</c:v>
                </c:pt>
                <c:pt idx="4" formatCode="General">
                  <c:v>0.2</c:v>
                </c:pt>
                <c:pt idx="5" formatCode="General">
                  <c:v>2.1</c:v>
                </c:pt>
                <c:pt idx="6" formatCode="General">
                  <c:v>-1.2</c:v>
                </c:pt>
                <c:pt idx="7" formatCode="General">
                  <c:v>-3</c:v>
                </c:pt>
                <c:pt idx="8" formatCode="General">
                  <c:v>-5.2</c:v>
                </c:pt>
              </c:numCache>
            </c:numRef>
          </c:val>
          <c:smooth val="0"/>
          <c:extLst>
            <c:ext xmlns:c16="http://schemas.microsoft.com/office/drawing/2014/chart" uri="{C3380CC4-5D6E-409C-BE32-E72D297353CC}">
              <c16:uniqueId val="{00000012-5A8B-EB4A-8830-C2CDC959B1A9}"/>
            </c:ext>
          </c:extLst>
        </c:ser>
        <c:ser>
          <c:idx val="3"/>
          <c:order val="3"/>
          <c:tx>
            <c:strRef>
              <c:f>'Same Store'!$A$10</c:f>
              <c:strCache>
                <c:ptCount val="1"/>
                <c:pt idx="0">
                  <c:v>PEI Same Store Change(%)</c:v>
                </c:pt>
              </c:strCache>
            </c:strRef>
          </c:tx>
          <c:spPr>
            <a:ln w="28575" cap="rnd">
              <a:solidFill>
                <a:schemeClr val="accent4"/>
              </a:solidFill>
              <a:round/>
            </a:ln>
            <a:effectLst/>
          </c:spPr>
          <c:marker>
            <c:symbol val="none"/>
          </c:marker>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Store'!$L$10:$T$10</c:f>
              <c:numCache>
                <c:formatCode>General</c:formatCode>
                <c:ptCount val="9"/>
                <c:pt idx="0">
                  <c:v>1</c:v>
                </c:pt>
                <c:pt idx="1">
                  <c:v>1.8</c:v>
                </c:pt>
                <c:pt idx="2">
                  <c:v>2.6</c:v>
                </c:pt>
                <c:pt idx="3">
                  <c:v>3.1</c:v>
                </c:pt>
                <c:pt idx="4">
                  <c:v>2.6</c:v>
                </c:pt>
                <c:pt idx="5">
                  <c:v>2.2999999999999998</c:v>
                </c:pt>
                <c:pt idx="6">
                  <c:v>-0.5</c:v>
                </c:pt>
                <c:pt idx="7">
                  <c:v>0.3</c:v>
                </c:pt>
                <c:pt idx="8">
                  <c:v>-5.5</c:v>
                </c:pt>
              </c:numCache>
            </c:numRef>
          </c:val>
          <c:smooth val="0"/>
          <c:extLst>
            <c:ext xmlns:c16="http://schemas.microsoft.com/office/drawing/2014/chart" uri="{C3380CC4-5D6E-409C-BE32-E72D297353CC}">
              <c16:uniqueId val="{00000013-5A8B-EB4A-8830-C2CDC959B1A9}"/>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'Same Store'!$A$14</c:f>
              <c:strCache>
                <c:ptCount val="1"/>
                <c:pt idx="0">
                  <c:v>SPG Occupancy: Current (%)</c:v>
                </c:pt>
              </c:strCache>
            </c:strRef>
          </c:tx>
          <c:spPr>
            <a:ln w="28575" cap="rnd">
              <a:solidFill>
                <a:schemeClr val="accent1"/>
              </a:solidFill>
              <a:round/>
            </a:ln>
            <a:effectLst/>
          </c:spPr>
          <c:marker>
            <c:symbol val="none"/>
          </c:marker>
          <c:dLbls>
            <c:dLbl>
              <c:idx val="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E1-1842-9B6B-E25BE13B2813}"/>
                </c:ext>
              </c:extLst>
            </c:dLbl>
            <c:dLbl>
              <c:idx val="2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EA-6D40-93C2-DF17622A0049}"/>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Store'!$L$14:$T$14</c:f>
              <c:numCache>
                <c:formatCode>0.00</c:formatCode>
                <c:ptCount val="9"/>
                <c:pt idx="0">
                  <c:v>94.5</c:v>
                </c:pt>
                <c:pt idx="1">
                  <c:v>94.6</c:v>
                </c:pt>
                <c:pt idx="2">
                  <c:v>95.3</c:v>
                </c:pt>
                <c:pt idx="3">
                  <c:v>96.9</c:v>
                </c:pt>
                <c:pt idx="4">
                  <c:v>97.1</c:v>
                </c:pt>
                <c:pt idx="5">
                  <c:v>96.1</c:v>
                </c:pt>
                <c:pt idx="6">
                  <c:v>95.6</c:v>
                </c:pt>
                <c:pt idx="7">
                  <c:v>95.9</c:v>
                </c:pt>
                <c:pt idx="8">
                  <c:v>95.1</c:v>
                </c:pt>
              </c:numCache>
            </c:numRef>
          </c:val>
          <c:smooth val="0"/>
          <c:extLst>
            <c:ext xmlns:c16="http://schemas.microsoft.com/office/drawing/2014/chart" uri="{C3380CC4-5D6E-409C-BE32-E72D297353CC}">
              <c16:uniqueId val="{00000001-96EA-6D40-93C2-DF17622A0049}"/>
            </c:ext>
          </c:extLst>
        </c:ser>
        <c:ser>
          <c:idx val="1"/>
          <c:order val="1"/>
          <c:tx>
            <c:strRef>
              <c:f>'Same Store'!$A$15</c:f>
              <c:strCache>
                <c:ptCount val="1"/>
                <c:pt idx="0">
                  <c:v>TCO Occupancy: Current (%)</c:v>
                </c:pt>
              </c:strCache>
            </c:strRef>
          </c:tx>
          <c:spPr>
            <a:ln w="28575" cap="rnd">
              <a:solidFill>
                <a:schemeClr val="accent2"/>
              </a:solidFill>
              <a:round/>
            </a:ln>
            <a:effectLst/>
          </c:spPr>
          <c:marker>
            <c:symbol val="none"/>
          </c:marker>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Store'!$L$15:$T$15</c:f>
              <c:numCache>
                <c:formatCode>0.00</c:formatCode>
                <c:ptCount val="9"/>
                <c:pt idx="0">
                  <c:v>88.8</c:v>
                </c:pt>
                <c:pt idx="1">
                  <c:v>90.3</c:v>
                </c:pt>
                <c:pt idx="2">
                  <c:v>91.1</c:v>
                </c:pt>
                <c:pt idx="3">
                  <c:v>95.4</c:v>
                </c:pt>
                <c:pt idx="4">
                  <c:v>95.3</c:v>
                </c:pt>
                <c:pt idx="5">
                  <c:v>94.7</c:v>
                </c:pt>
                <c:pt idx="6">
                  <c:v>95</c:v>
                </c:pt>
                <c:pt idx="7">
                  <c:v>94.7</c:v>
                </c:pt>
                <c:pt idx="8">
                  <c:v>94.3</c:v>
                </c:pt>
              </c:numCache>
            </c:numRef>
          </c:val>
          <c:smooth val="0"/>
          <c:extLst>
            <c:ext xmlns:c16="http://schemas.microsoft.com/office/drawing/2014/chart" uri="{C3380CC4-5D6E-409C-BE32-E72D297353CC}">
              <c16:uniqueId val="{00000005-76EE-744D-B1C7-F8AB498301AF}"/>
            </c:ext>
          </c:extLst>
        </c:ser>
        <c:ser>
          <c:idx val="2"/>
          <c:order val="2"/>
          <c:tx>
            <c:strRef>
              <c:f>'Same Store'!$A$16</c:f>
              <c:strCache>
                <c:ptCount val="1"/>
                <c:pt idx="0">
                  <c:v>WPG Occupancy: Current (%)</c:v>
                </c:pt>
              </c:strCache>
            </c:strRef>
          </c:tx>
          <c:spPr>
            <a:ln w="28575" cap="rnd">
              <a:solidFill>
                <a:schemeClr val="accent3"/>
              </a:solidFill>
              <a:round/>
            </a:ln>
            <a:effectLst/>
          </c:spPr>
          <c:marker>
            <c:symbol val="none"/>
          </c:marker>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Store'!$L$16:$T$16</c:f>
              <c:numCache>
                <c:formatCode>0.00</c:formatCode>
                <c:ptCount val="9"/>
                <c:pt idx="4">
                  <c:v>93.4</c:v>
                </c:pt>
                <c:pt idx="5">
                  <c:v>94</c:v>
                </c:pt>
                <c:pt idx="6">
                  <c:v>93.1</c:v>
                </c:pt>
                <c:pt idx="7">
                  <c:v>93.9</c:v>
                </c:pt>
                <c:pt idx="8">
                  <c:v>93.4</c:v>
                </c:pt>
              </c:numCache>
            </c:numRef>
          </c:val>
          <c:smooth val="0"/>
          <c:extLst>
            <c:ext xmlns:c16="http://schemas.microsoft.com/office/drawing/2014/chart" uri="{C3380CC4-5D6E-409C-BE32-E72D297353CC}">
              <c16:uniqueId val="{00000006-76EE-744D-B1C7-F8AB498301AF}"/>
            </c:ext>
          </c:extLst>
        </c:ser>
        <c:ser>
          <c:idx val="3"/>
          <c:order val="3"/>
          <c:tx>
            <c:strRef>
              <c:f>'Same Store'!$A$17</c:f>
              <c:strCache>
                <c:ptCount val="1"/>
                <c:pt idx="0">
                  <c:v>PEI Occupancy: Current (%)</c:v>
                </c:pt>
              </c:strCache>
            </c:strRef>
          </c:tx>
          <c:spPr>
            <a:ln w="28575" cap="rnd">
              <a:solidFill>
                <a:schemeClr val="accent4"/>
              </a:solidFill>
              <a:round/>
            </a:ln>
            <a:effectLst/>
          </c:spPr>
          <c:marker>
            <c:symbol val="none"/>
          </c:marker>
          <c:cat>
            <c:numRef>
              <c:f>'Same Store'!$L$1:$T$1</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'Same Store'!$L$17:$T$17</c:f>
              <c:numCache>
                <c:formatCode>0.00</c:formatCode>
                <c:ptCount val="9"/>
                <c:pt idx="0">
                  <c:v>93</c:v>
                </c:pt>
                <c:pt idx="1">
                  <c:v>94.3</c:v>
                </c:pt>
                <c:pt idx="2">
                  <c:v>95</c:v>
                </c:pt>
                <c:pt idx="3">
                  <c:v>96.7</c:v>
                </c:pt>
                <c:pt idx="4">
                  <c:v>95.4</c:v>
                </c:pt>
                <c:pt idx="5">
                  <c:v>95.9</c:v>
                </c:pt>
                <c:pt idx="6">
                  <c:v>95.9</c:v>
                </c:pt>
                <c:pt idx="7">
                  <c:v>92.7</c:v>
                </c:pt>
                <c:pt idx="8">
                  <c:v>92.6</c:v>
                </c:pt>
              </c:numCache>
            </c:numRef>
          </c:val>
          <c:smooth val="0"/>
          <c:extLst>
            <c:ext xmlns:c16="http://schemas.microsoft.com/office/drawing/2014/chart" uri="{C3380CC4-5D6E-409C-BE32-E72D297353CC}">
              <c16:uniqueId val="{00000007-76EE-744D-B1C7-F8AB498301AF}"/>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Everything!$A$143</c:f>
              <c:strCache>
                <c:ptCount val="1"/>
                <c:pt idx="0">
                  <c:v>Common Dividends Declared per Share</c:v>
                </c:pt>
              </c:strCache>
            </c:strRef>
          </c:tx>
          <c:spPr>
            <a:solidFill>
              <a:schemeClr val="accent1"/>
            </a:solidFill>
            <a:ln>
              <a:noFill/>
            </a:ln>
            <a:effectLst/>
          </c:spPr>
          <c:invertIfNegative val="0"/>
          <c:cat>
            <c:numRef>
              <c:f>Everything!$S$1:$AB$1</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Everything!$S$143:$AB$143</c:f>
              <c:numCache>
                <c:formatCode>#,##0.0000;[Red]\(#,##0.0000\)</c:formatCode>
                <c:ptCount val="10"/>
                <c:pt idx="0">
                  <c:v>2.6</c:v>
                </c:pt>
                <c:pt idx="1">
                  <c:v>3.5</c:v>
                </c:pt>
                <c:pt idx="2">
                  <c:v>4.0999999999999996</c:v>
                </c:pt>
                <c:pt idx="3">
                  <c:v>4.6500000000000004</c:v>
                </c:pt>
                <c:pt idx="4">
                  <c:v>5.15</c:v>
                </c:pt>
                <c:pt idx="5">
                  <c:v>6.05</c:v>
                </c:pt>
                <c:pt idx="6">
                  <c:v>6.5</c:v>
                </c:pt>
                <c:pt idx="7">
                  <c:v>7.15</c:v>
                </c:pt>
                <c:pt idx="8">
                  <c:v>7.9</c:v>
                </c:pt>
                <c:pt idx="9">
                  <c:v>8.3000000000000007</c:v>
                </c:pt>
              </c:numCache>
            </c:numRef>
          </c:val>
          <c:extLst>
            <c:ext xmlns:c16="http://schemas.microsoft.com/office/drawing/2014/chart" uri="{C3380CC4-5D6E-409C-BE32-E72D297353CC}">
              <c16:uniqueId val="{00000000-60CE-EE43-B9E2-1ED35BBA5A9D}"/>
            </c:ext>
          </c:extLst>
        </c:ser>
        <c:dLbls>
          <c:showLegendKey val="0"/>
          <c:showVal val="0"/>
          <c:showCatName val="0"/>
          <c:showSerName val="0"/>
          <c:showPercent val="0"/>
          <c:showBubbleSize val="0"/>
        </c:dLbls>
        <c:gapWidth val="219"/>
        <c:overlap val="-27"/>
        <c:axId val="1945635423"/>
        <c:axId val="1942454303"/>
      </c:barChart>
      <c:catAx>
        <c:axId val="194563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2454303"/>
        <c:crosses val="autoZero"/>
        <c:auto val="1"/>
        <c:lblAlgn val="ctr"/>
        <c:lblOffset val="100"/>
        <c:noMultiLvlLbl val="0"/>
      </c:catAx>
      <c:valAx>
        <c:axId val="1942454303"/>
        <c:scaling>
          <c:orientation val="minMax"/>
        </c:scaling>
        <c:delete val="0"/>
        <c:axPos val="l"/>
        <c:majorGridlines>
          <c:spPr>
            <a:ln w="9525" cap="flat" cmpd="sng" algn="ctr">
              <a:solidFill>
                <a:schemeClr val="accent1">
                  <a:alpha val="5000"/>
                </a:schemeClr>
              </a:solidFill>
              <a:round/>
            </a:ln>
            <a:effectLst/>
          </c:spPr>
        </c:majorGridlines>
        <c:numFmt formatCode="#,##0.0000;[Red]\(#,##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5635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Everything!$A$114</c:f>
              <c:strCache>
                <c:ptCount val="1"/>
                <c:pt idx="0">
                  <c:v>FFO Payout (%)</c:v>
                </c:pt>
              </c:strCache>
            </c:strRef>
          </c:tx>
          <c:spPr>
            <a:ln w="28575" cap="rnd">
              <a:solidFill>
                <a:schemeClr val="accent1"/>
              </a:solidFill>
              <a:round/>
            </a:ln>
            <a:effectLst/>
          </c:spPr>
          <c:marker>
            <c:symbol val="none"/>
          </c:marker>
          <c:cat>
            <c:numRef>
              <c:f>Everything!$S$1:$AB$1</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Everything!$S$114:$AB$114</c:f>
              <c:numCache>
                <c:formatCode>#,##0.00;[Red]\(#,##0.00\)</c:formatCode>
                <c:ptCount val="10"/>
                <c:pt idx="0">
                  <c:v>51.69</c:v>
                </c:pt>
                <c:pt idx="1">
                  <c:v>47.9</c:v>
                </c:pt>
                <c:pt idx="2">
                  <c:v>51.38</c:v>
                </c:pt>
                <c:pt idx="3">
                  <c:v>52.54</c:v>
                </c:pt>
                <c:pt idx="4">
                  <c:v>57.87</c:v>
                </c:pt>
                <c:pt idx="5">
                  <c:v>61.36</c:v>
                </c:pt>
                <c:pt idx="6">
                  <c:v>61.96</c:v>
                </c:pt>
                <c:pt idx="7">
                  <c:v>63.78</c:v>
                </c:pt>
                <c:pt idx="8">
                  <c:v>65.13</c:v>
                </c:pt>
                <c:pt idx="9">
                  <c:v>68.94</c:v>
                </c:pt>
              </c:numCache>
            </c:numRef>
          </c:val>
          <c:smooth val="0"/>
          <c:extLst>
            <c:ext xmlns:c16="http://schemas.microsoft.com/office/drawing/2014/chart" uri="{C3380CC4-5D6E-409C-BE32-E72D297353CC}">
              <c16:uniqueId val="{00000001-96EA-6D40-93C2-DF17622A0049}"/>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Everything!$A$116</c:f>
              <c:strCache>
                <c:ptCount val="1"/>
                <c:pt idx="0">
                  <c:v>Price/ LTM FFO (x)</c:v>
                </c:pt>
              </c:strCache>
            </c:strRef>
          </c:tx>
          <c:spPr>
            <a:ln w="28575" cap="rnd">
              <a:solidFill>
                <a:schemeClr val="accent1"/>
              </a:solidFill>
              <a:round/>
            </a:ln>
            <a:effectLst/>
          </c:spPr>
          <c:marker>
            <c:symbol val="none"/>
          </c:marker>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B94-A941-8059-35A4A9DC9F7D}"/>
                </c:ext>
              </c:extLst>
            </c:dLbl>
            <c:dLbl>
              <c:idx val="1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B94-A941-8059-35A4A9DC9F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Everything!$P$1:$AC$1</c:f>
              <c:numCache>
                <c:formatCode>General</c:formatCode>
                <c:ptCount val="14"/>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numCache>
            </c:numRef>
          </c:cat>
          <c:val>
            <c:numRef>
              <c:f>Everything!$P$116:$AC$116</c:f>
              <c:numCache>
                <c:formatCode>#,##0.00;[Red]\(#,##0.00\)</c:formatCode>
                <c:ptCount val="14"/>
                <c:pt idx="0">
                  <c:v>14.72</c:v>
                </c:pt>
                <c:pt idx="1">
                  <c:v>8.24</c:v>
                </c:pt>
                <c:pt idx="2">
                  <c:v>14.51</c:v>
                </c:pt>
                <c:pt idx="3">
                  <c:v>19.78</c:v>
                </c:pt>
                <c:pt idx="4">
                  <c:v>18.71</c:v>
                </c:pt>
                <c:pt idx="5">
                  <c:v>19.809999999999999</c:v>
                </c:pt>
                <c:pt idx="6">
                  <c:v>17.190000000000001</c:v>
                </c:pt>
                <c:pt idx="7">
                  <c:v>20.46</c:v>
                </c:pt>
                <c:pt idx="8">
                  <c:v>19.72</c:v>
                </c:pt>
                <c:pt idx="9">
                  <c:v>16.940000000000001</c:v>
                </c:pt>
                <c:pt idx="10">
                  <c:v>15.32</c:v>
                </c:pt>
                <c:pt idx="11">
                  <c:v>13.85</c:v>
                </c:pt>
                <c:pt idx="12">
                  <c:v>12.37</c:v>
                </c:pt>
                <c:pt idx="13">
                  <c:v>9.3611416026344703</c:v>
                </c:pt>
              </c:numCache>
            </c:numRef>
          </c:val>
          <c:smooth val="0"/>
          <c:extLst>
            <c:ext xmlns:c16="http://schemas.microsoft.com/office/drawing/2014/chart" uri="{C3380CC4-5D6E-409C-BE32-E72D297353CC}">
              <c16:uniqueId val="{00000002-DB94-A941-8059-35A4A9DC9F7D}"/>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Everything!$A$113</c:f>
              <c:strCache>
                <c:ptCount val="1"/>
                <c:pt idx="0">
                  <c:v>Dividend Yield (%)</c:v>
                </c:pt>
              </c:strCache>
            </c:strRef>
          </c:tx>
          <c:spPr>
            <a:ln w="28575" cap="rnd">
              <a:solidFill>
                <a:schemeClr val="accent1"/>
              </a:solidFill>
              <a:round/>
            </a:ln>
            <a:effectLst/>
          </c:spPr>
          <c:marker>
            <c:symbol val="none"/>
          </c:marker>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307-3349-AFD4-48F26B4E9C34}"/>
                </c:ext>
              </c:extLst>
            </c:dLbl>
            <c:dLbl>
              <c:idx val="1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307-3349-AFD4-48F26B4E9C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Everything!$P$1:$AC$1</c:f>
              <c:numCache>
                <c:formatCode>General</c:formatCode>
                <c:ptCount val="14"/>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numCache>
            </c:numRef>
          </c:cat>
          <c:val>
            <c:numRef>
              <c:f>Everything!$P$113:$AC$113</c:f>
              <c:numCache>
                <c:formatCode>#,##0.00;[Red]\(#,##0.00\)</c:formatCode>
                <c:ptCount val="14"/>
                <c:pt idx="0">
                  <c:v>3.87</c:v>
                </c:pt>
                <c:pt idx="1">
                  <c:v>6.78</c:v>
                </c:pt>
                <c:pt idx="2">
                  <c:v>0.6</c:v>
                </c:pt>
                <c:pt idx="3">
                  <c:v>3.22</c:v>
                </c:pt>
                <c:pt idx="4">
                  <c:v>2.79</c:v>
                </c:pt>
                <c:pt idx="5">
                  <c:v>2.78</c:v>
                </c:pt>
                <c:pt idx="6">
                  <c:v>3.15</c:v>
                </c:pt>
                <c:pt idx="7">
                  <c:v>2.86</c:v>
                </c:pt>
                <c:pt idx="8">
                  <c:v>3.29</c:v>
                </c:pt>
                <c:pt idx="9">
                  <c:v>3.71</c:v>
                </c:pt>
                <c:pt idx="10">
                  <c:v>4.3099999999999996</c:v>
                </c:pt>
                <c:pt idx="11">
                  <c:v>4.76</c:v>
                </c:pt>
                <c:pt idx="12">
                  <c:v>5.64</c:v>
                </c:pt>
                <c:pt idx="13">
                  <c:v>6.0975609756097597</c:v>
                </c:pt>
              </c:numCache>
            </c:numRef>
          </c:val>
          <c:smooth val="0"/>
          <c:extLst>
            <c:ext xmlns:c16="http://schemas.microsoft.com/office/drawing/2014/chart" uri="{C3380CC4-5D6E-409C-BE32-E72D297353CC}">
              <c16:uniqueId val="{00000002-A307-3349-AFD4-48F26B4E9C34}"/>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Everything!$A$113</c:f>
              <c:strCache>
                <c:ptCount val="1"/>
                <c:pt idx="0">
                  <c:v>Dividend Yield (%)</c:v>
                </c:pt>
              </c:strCache>
            </c:strRef>
          </c:tx>
          <c:spPr>
            <a:ln w="28575" cap="rnd">
              <a:solidFill>
                <a:schemeClr val="accent1"/>
              </a:solidFill>
              <a:round/>
            </a:ln>
            <a:effectLst/>
          </c:spPr>
          <c:marker>
            <c:symbol val="none"/>
          </c:marker>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397-4C91-80EC-D6F4D4E4833B}"/>
                </c:ext>
              </c:extLst>
            </c:dLbl>
            <c:dLbl>
              <c:idx val="1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397-4C91-80EC-D6F4D4E4833B}"/>
                </c:ext>
              </c:extLst>
            </c:dLbl>
            <c:numFmt formatCode="#,##0.00;[Red]\(#,##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Everything!$P$1:$AC$1</c:f>
              <c:numCache>
                <c:formatCode>General</c:formatCode>
                <c:ptCount val="14"/>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numCache>
            </c:numRef>
          </c:cat>
          <c:val>
            <c:numRef>
              <c:f>Everything!$P$113:$AC$113</c:f>
              <c:numCache>
                <c:formatCode>#,##0.00;[Red]\(#,##0.00\)</c:formatCode>
                <c:ptCount val="14"/>
                <c:pt idx="0">
                  <c:v>3.87</c:v>
                </c:pt>
                <c:pt idx="1">
                  <c:v>6.78</c:v>
                </c:pt>
                <c:pt idx="2">
                  <c:v>0.6</c:v>
                </c:pt>
                <c:pt idx="3">
                  <c:v>3.22</c:v>
                </c:pt>
                <c:pt idx="4">
                  <c:v>2.79</c:v>
                </c:pt>
                <c:pt idx="5">
                  <c:v>2.78</c:v>
                </c:pt>
                <c:pt idx="6">
                  <c:v>3.15</c:v>
                </c:pt>
                <c:pt idx="7">
                  <c:v>2.86</c:v>
                </c:pt>
                <c:pt idx="8">
                  <c:v>3.29</c:v>
                </c:pt>
                <c:pt idx="9">
                  <c:v>3.71</c:v>
                </c:pt>
                <c:pt idx="10">
                  <c:v>4.3099999999999996</c:v>
                </c:pt>
                <c:pt idx="11">
                  <c:v>4.76</c:v>
                </c:pt>
                <c:pt idx="12">
                  <c:v>5.64</c:v>
                </c:pt>
                <c:pt idx="13">
                  <c:v>6.0975609756097597</c:v>
                </c:pt>
              </c:numCache>
            </c:numRef>
          </c:val>
          <c:smooth val="0"/>
          <c:extLst>
            <c:ext xmlns:c16="http://schemas.microsoft.com/office/drawing/2014/chart" uri="{C3380CC4-5D6E-409C-BE32-E72D297353CC}">
              <c16:uniqueId val="{00000002-6397-4C91-80EC-D6F4D4E4833B}"/>
            </c:ext>
          </c:extLst>
        </c:ser>
        <c:dLbls>
          <c:showLegendKey val="0"/>
          <c:showVal val="0"/>
          <c:showCatName val="0"/>
          <c:showSerName val="0"/>
          <c:showPercent val="0"/>
          <c:showBubbleSize val="0"/>
        </c:dLbls>
        <c:smooth val="0"/>
        <c:axId val="1946101727"/>
        <c:axId val="1982508143"/>
      </c:lineChart>
      <c:catAx>
        <c:axId val="19461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2508143"/>
        <c:crosses val="autoZero"/>
        <c:auto val="1"/>
        <c:lblAlgn val="ctr"/>
        <c:lblOffset val="100"/>
        <c:noMultiLvlLbl val="0"/>
      </c:catAx>
      <c:valAx>
        <c:axId val="1982508143"/>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46101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Everything!$A$189</c:f>
              <c:strCache>
                <c:ptCount val="1"/>
                <c:pt idx="0">
                  <c:v>NOI as in total%(International Properties)</c:v>
                </c:pt>
              </c:strCache>
            </c:strRef>
          </c:tx>
          <c:spPr>
            <a:ln w="28575" cap="rnd">
              <a:solidFill>
                <a:schemeClr val="accent1"/>
              </a:solidFill>
              <a:round/>
            </a:ln>
            <a:effectLst/>
          </c:spPr>
          <c:marker>
            <c:symbol val="none"/>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D3B-1C46-8310-F20E0979A7B3}"/>
                </c:ext>
              </c:extLst>
            </c:dLbl>
            <c:dLbl>
              <c:idx val="1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D3B-1C46-8310-F20E0979A7B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Everything!$M$189:$AC$189</c:f>
              <c:numCache>
                <c:formatCode>0.00%</c:formatCode>
                <c:ptCount val="17"/>
                <c:pt idx="0">
                  <c:v>3.5999999999999997E-2</c:v>
                </c:pt>
                <c:pt idx="1">
                  <c:v>5.2999999999999999E-2</c:v>
                </c:pt>
                <c:pt idx="2">
                  <c:v>5.2999999999999999E-2</c:v>
                </c:pt>
                <c:pt idx="3">
                  <c:v>6.2E-2</c:v>
                </c:pt>
                <c:pt idx="4">
                  <c:v>0.04</c:v>
                </c:pt>
                <c:pt idx="5">
                  <c:v>4.2000000000000003E-2</c:v>
                </c:pt>
                <c:pt idx="6">
                  <c:v>0.04</c:v>
                </c:pt>
                <c:pt idx="7">
                  <c:v>3.5999999999999997E-2</c:v>
                </c:pt>
                <c:pt idx="8">
                  <c:v>6.3E-2</c:v>
                </c:pt>
                <c:pt idx="9">
                  <c:v>8.4000000000000005E-2</c:v>
                </c:pt>
                <c:pt idx="10">
                  <c:v>0.09</c:v>
                </c:pt>
                <c:pt idx="11">
                  <c:v>7.9000000000000001E-2</c:v>
                </c:pt>
                <c:pt idx="12">
                  <c:v>8.4000000000000005E-2</c:v>
                </c:pt>
                <c:pt idx="13">
                  <c:v>0.09</c:v>
                </c:pt>
                <c:pt idx="14">
                  <c:v>0.1</c:v>
                </c:pt>
                <c:pt idx="15">
                  <c:v>9.2999999999999999E-2</c:v>
                </c:pt>
                <c:pt idx="16">
                  <c:v>9.2999999999999999E-2</c:v>
                </c:pt>
              </c:numCache>
            </c:numRef>
          </c:val>
          <c:smooth val="0"/>
          <c:extLst>
            <c:ext xmlns:c16="http://schemas.microsoft.com/office/drawing/2014/chart" uri="{C3380CC4-5D6E-409C-BE32-E72D297353CC}">
              <c16:uniqueId val="{00000002-960B-C240-AAAF-B39A06F07917}"/>
            </c:ext>
          </c:extLst>
        </c:ser>
        <c:ser>
          <c:idx val="1"/>
          <c:order val="1"/>
          <c:tx>
            <c:strRef>
              <c:f>Everything!$A$169</c:f>
              <c:strCache>
                <c:ptCount val="1"/>
                <c:pt idx="0">
                  <c:v>NOI as in total%(US Malls and Outlets)</c:v>
                </c:pt>
              </c:strCache>
            </c:strRef>
          </c:tx>
          <c:spPr>
            <a:ln w="28575" cap="rnd">
              <a:solidFill>
                <a:schemeClr val="accent2"/>
              </a:solidFill>
              <a:round/>
            </a:ln>
            <a:effectLst/>
          </c:spPr>
          <c:marker>
            <c:symbol val="none"/>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D3B-1C46-8310-F20E0979A7B3}"/>
                </c:ext>
              </c:extLst>
            </c:dLbl>
            <c:dLbl>
              <c:idx val="1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D3B-1C46-8310-F20E0979A7B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Everything!$M$169:$AC$169</c:f>
              <c:numCache>
                <c:formatCode>0.00%</c:formatCode>
                <c:ptCount val="17"/>
                <c:pt idx="0">
                  <c:v>0.89400000000000002</c:v>
                </c:pt>
                <c:pt idx="1">
                  <c:v>0.88500000000000001</c:v>
                </c:pt>
                <c:pt idx="2">
                  <c:v>0.9</c:v>
                </c:pt>
                <c:pt idx="3">
                  <c:v>0.89400000000000002</c:v>
                </c:pt>
                <c:pt idx="4">
                  <c:v>0.84699999999999998</c:v>
                </c:pt>
                <c:pt idx="5">
                  <c:v>0.871</c:v>
                </c:pt>
                <c:pt idx="6">
                  <c:v>0.879</c:v>
                </c:pt>
                <c:pt idx="7">
                  <c:v>0.88300000000000001</c:v>
                </c:pt>
                <c:pt idx="8">
                  <c:v>0.81799999999999995</c:v>
                </c:pt>
                <c:pt idx="9">
                  <c:v>0.79400000000000004</c:v>
                </c:pt>
                <c:pt idx="10">
                  <c:v>0.79900000000000004</c:v>
                </c:pt>
                <c:pt idx="11">
                  <c:v>0.80700000000000005</c:v>
                </c:pt>
                <c:pt idx="12">
                  <c:v>0.80400000000000005</c:v>
                </c:pt>
                <c:pt idx="13">
                  <c:v>0.79900000000000004</c:v>
                </c:pt>
                <c:pt idx="14">
                  <c:v>0.79</c:v>
                </c:pt>
                <c:pt idx="15">
                  <c:v>0.79</c:v>
                </c:pt>
                <c:pt idx="16">
                  <c:v>0.79400000000000004</c:v>
                </c:pt>
              </c:numCache>
            </c:numRef>
          </c:val>
          <c:smooth val="0"/>
          <c:extLst>
            <c:ext xmlns:c16="http://schemas.microsoft.com/office/drawing/2014/chart" uri="{C3380CC4-5D6E-409C-BE32-E72D297353CC}">
              <c16:uniqueId val="{00000005-960B-C240-AAAF-B39A06F07917}"/>
            </c:ext>
          </c:extLst>
        </c:ser>
        <c:dLbls>
          <c:showLegendKey val="0"/>
          <c:showVal val="0"/>
          <c:showCatName val="0"/>
          <c:showSerName val="0"/>
          <c:showPercent val="0"/>
          <c:showBubbleSize val="0"/>
        </c:dLbls>
        <c:smooth val="0"/>
        <c:axId val="1367391263"/>
        <c:axId val="1368121503"/>
      </c:lineChart>
      <c:catAx>
        <c:axId val="1367391263"/>
        <c:scaling>
          <c:orientation val="minMax"/>
        </c:scaling>
        <c:delete val="0"/>
        <c:axPos val="b"/>
        <c:numFmt formatCode="yyyy\-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68121503"/>
        <c:crosses val="autoZero"/>
        <c:auto val="1"/>
        <c:lblAlgn val="ctr"/>
        <c:lblOffset val="100"/>
        <c:noMultiLvlLbl val="0"/>
      </c:catAx>
      <c:valAx>
        <c:axId val="13681215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67391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Everything!$A$171</c:f>
              <c:strCache>
                <c:ptCount val="1"/>
                <c:pt idx="0">
                  <c:v>Number of properties(US Malls and Outlets)</c:v>
                </c:pt>
              </c:strCache>
            </c:strRef>
          </c:tx>
          <c:spPr>
            <a:ln w="28575" cap="rnd">
              <a:solidFill>
                <a:schemeClr val="accent1"/>
              </a:solidFill>
              <a:round/>
            </a:ln>
            <a:effectLst/>
          </c:spPr>
          <c:marker>
            <c:symbol val="none"/>
          </c:marker>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Everything!$M$171:$AC$171</c:f>
              <c:numCache>
                <c:formatCode>General</c:formatCode>
                <c:ptCount val="17"/>
                <c:pt idx="0">
                  <c:v>203</c:v>
                </c:pt>
                <c:pt idx="1">
                  <c:v>204</c:v>
                </c:pt>
                <c:pt idx="2">
                  <c:v>207</c:v>
                </c:pt>
                <c:pt idx="3">
                  <c:v>206</c:v>
                </c:pt>
                <c:pt idx="4">
                  <c:v>204</c:v>
                </c:pt>
                <c:pt idx="5">
                  <c:v>203</c:v>
                </c:pt>
                <c:pt idx="6">
                  <c:v>209</c:v>
                </c:pt>
                <c:pt idx="7">
                  <c:v>219</c:v>
                </c:pt>
                <c:pt idx="8">
                  <c:v>223</c:v>
                </c:pt>
                <c:pt idx="9">
                  <c:v>178</c:v>
                </c:pt>
                <c:pt idx="10">
                  <c:v>177</c:v>
                </c:pt>
                <c:pt idx="11">
                  <c:v>179</c:v>
                </c:pt>
                <c:pt idx="12">
                  <c:v>175</c:v>
                </c:pt>
                <c:pt idx="13">
                  <c:v>175</c:v>
                </c:pt>
                <c:pt idx="14">
                  <c:v>176</c:v>
                </c:pt>
                <c:pt idx="15">
                  <c:v>175</c:v>
                </c:pt>
                <c:pt idx="16">
                  <c:v>168</c:v>
                </c:pt>
              </c:numCache>
            </c:numRef>
          </c:val>
          <c:smooth val="0"/>
          <c:extLst>
            <c:ext xmlns:c16="http://schemas.microsoft.com/office/drawing/2014/chart" uri="{C3380CC4-5D6E-409C-BE32-E72D297353CC}">
              <c16:uniqueId val="{00000000-B238-9A46-B6CD-216B4725A4C1}"/>
            </c:ext>
          </c:extLst>
        </c:ser>
        <c:ser>
          <c:idx val="1"/>
          <c:order val="1"/>
          <c:tx>
            <c:strRef>
              <c:f>Everything!$A$198</c:f>
              <c:strCache>
                <c:ptCount val="1"/>
                <c:pt idx="0">
                  <c:v>Number of properties(International Properties)</c:v>
                </c:pt>
              </c:strCache>
            </c:strRef>
          </c:tx>
          <c:spPr>
            <a:ln w="28575" cap="rnd">
              <a:solidFill>
                <a:schemeClr val="accent2"/>
              </a:solidFill>
              <a:round/>
            </a:ln>
            <a:effectLst/>
          </c:spPr>
          <c:marker>
            <c:symbol val="none"/>
          </c:marker>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Everything!$M$198:$AC$198</c:f>
              <c:numCache>
                <c:formatCode>General</c:formatCode>
                <c:ptCount val="17"/>
                <c:pt idx="0">
                  <c:v>4</c:v>
                </c:pt>
                <c:pt idx="1">
                  <c:v>5</c:v>
                </c:pt>
                <c:pt idx="2">
                  <c:v>5</c:v>
                </c:pt>
                <c:pt idx="3">
                  <c:v>6</c:v>
                </c:pt>
                <c:pt idx="4">
                  <c:v>7</c:v>
                </c:pt>
                <c:pt idx="5">
                  <c:v>8</c:v>
                </c:pt>
                <c:pt idx="6">
                  <c:v>8</c:v>
                </c:pt>
                <c:pt idx="7">
                  <c:v>12</c:v>
                </c:pt>
                <c:pt idx="8">
                  <c:v>12</c:v>
                </c:pt>
                <c:pt idx="9">
                  <c:v>20</c:v>
                </c:pt>
                <c:pt idx="10">
                  <c:v>21</c:v>
                </c:pt>
                <c:pt idx="11">
                  <c:v>22</c:v>
                </c:pt>
                <c:pt idx="12">
                  <c:v>23</c:v>
                </c:pt>
                <c:pt idx="13">
                  <c:v>27</c:v>
                </c:pt>
                <c:pt idx="14">
                  <c:v>28</c:v>
                </c:pt>
                <c:pt idx="15">
                  <c:v>29</c:v>
                </c:pt>
                <c:pt idx="16">
                  <c:v>31</c:v>
                </c:pt>
              </c:numCache>
            </c:numRef>
          </c:val>
          <c:smooth val="0"/>
          <c:extLst>
            <c:ext xmlns:c16="http://schemas.microsoft.com/office/drawing/2014/chart" uri="{C3380CC4-5D6E-409C-BE32-E72D297353CC}">
              <c16:uniqueId val="{00000001-B238-9A46-B6CD-216B4725A4C1}"/>
            </c:ext>
          </c:extLst>
        </c:ser>
        <c:dLbls>
          <c:showLegendKey val="0"/>
          <c:showVal val="0"/>
          <c:showCatName val="0"/>
          <c:showSerName val="0"/>
          <c:showPercent val="0"/>
          <c:showBubbleSize val="0"/>
        </c:dLbls>
        <c:smooth val="0"/>
        <c:axId val="1367391263"/>
        <c:axId val="1368121503"/>
      </c:lineChart>
      <c:catAx>
        <c:axId val="1367391263"/>
        <c:scaling>
          <c:orientation val="minMax"/>
        </c:scaling>
        <c:delete val="0"/>
        <c:axPos val="b"/>
        <c:numFmt formatCode="yyyy\-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68121503"/>
        <c:crosses val="autoZero"/>
        <c:auto val="1"/>
        <c:lblAlgn val="ctr"/>
        <c:lblOffset val="100"/>
        <c:noMultiLvlLbl val="0"/>
      </c:catAx>
      <c:valAx>
        <c:axId val="1368121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67391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'Operating Analysis'!$A$51</c:f>
              <c:strCache>
                <c:ptCount val="1"/>
                <c:pt idx="0">
                  <c:v>Total Square Footage of Properties in millions(US Malls and Outlets)</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4A6-F744-B213-9487BB24D988}"/>
                </c:ext>
              </c:extLst>
            </c:dLbl>
            <c:dLbl>
              <c:idx val="1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A6-F744-B213-9487BB24D988}"/>
                </c:ext>
              </c:extLst>
            </c:dLbl>
            <c:dLbl>
              <c:idx val="1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A6-F744-B213-9487BB24D9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'Operating Analysis'!$M$1:$AC$1</c:f>
              <c:strCache>
                <c:ptCount val="17"/>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pt idx="16">
                  <c:v>2020 FY</c:v>
                </c:pt>
              </c:strCache>
            </c:strRef>
          </c:cat>
          <c:val>
            <c:numRef>
              <c:f>'Operating Analysis'!$M$51:$AC$51</c:f>
              <c:numCache>
                <c:formatCode>General</c:formatCode>
                <c:ptCount val="17"/>
                <c:pt idx="0">
                  <c:v>179.29999999999998</c:v>
                </c:pt>
                <c:pt idx="1">
                  <c:v>179</c:v>
                </c:pt>
                <c:pt idx="2">
                  <c:v>180.3</c:v>
                </c:pt>
                <c:pt idx="3">
                  <c:v>179</c:v>
                </c:pt>
                <c:pt idx="4">
                  <c:v>178.6</c:v>
                </c:pt>
                <c:pt idx="5">
                  <c:v>177.1</c:v>
                </c:pt>
                <c:pt idx="6">
                  <c:v>182.4</c:v>
                </c:pt>
                <c:pt idx="7">
                  <c:v>175.6</c:v>
                </c:pt>
                <c:pt idx="8">
                  <c:v>190</c:v>
                </c:pt>
                <c:pt idx="9">
                  <c:v>152.69999999999999</c:v>
                </c:pt>
                <c:pt idx="10">
                  <c:v>151.5</c:v>
                </c:pt>
                <c:pt idx="11">
                  <c:v>153.30000000000001</c:v>
                </c:pt>
                <c:pt idx="12">
                  <c:v>152</c:v>
                </c:pt>
                <c:pt idx="13">
                  <c:v>151.1</c:v>
                </c:pt>
                <c:pt idx="14">
                  <c:v>151.19999999999999</c:v>
                </c:pt>
                <c:pt idx="15">
                  <c:v>150.30000000000001</c:v>
                </c:pt>
                <c:pt idx="16">
                  <c:v>142.30000000000001</c:v>
                </c:pt>
              </c:numCache>
            </c:numRef>
          </c:val>
          <c:extLst>
            <c:ext xmlns:c16="http://schemas.microsoft.com/office/drawing/2014/chart" uri="{C3380CC4-5D6E-409C-BE32-E72D297353CC}">
              <c16:uniqueId val="{00000003-7FA8-1F41-9CAB-BD9DA36475F1}"/>
            </c:ext>
          </c:extLst>
        </c:ser>
        <c:dLbls>
          <c:showLegendKey val="0"/>
          <c:showVal val="0"/>
          <c:showCatName val="0"/>
          <c:showSerName val="0"/>
          <c:showPercent val="0"/>
          <c:showBubbleSize val="0"/>
        </c:dLbls>
        <c:gapWidth val="150"/>
        <c:axId val="338252368"/>
        <c:axId val="280878704"/>
      </c:barChart>
      <c:lineChart>
        <c:grouping val="standard"/>
        <c:varyColors val="0"/>
        <c:ser>
          <c:idx val="1"/>
          <c:order val="1"/>
          <c:tx>
            <c:strRef>
              <c:f>'Operating Analysis'!$A$52</c:f>
              <c:strCache>
                <c:ptCount val="1"/>
                <c:pt idx="0">
                  <c:v>Ending Occupancy(US Malls and Outlets)</c:v>
                </c:pt>
              </c:strCache>
            </c:strRef>
          </c:tx>
          <c:spPr>
            <a:ln w="28575" cap="rnd">
              <a:solidFill>
                <a:schemeClr val="accent2"/>
              </a:solidFill>
              <a:round/>
            </a:ln>
            <a:effectLst/>
          </c:spPr>
          <c:marker>
            <c:symbol val="none"/>
          </c:marker>
          <c:cat>
            <c:strRef>
              <c:f>'Operating Analysis'!$M$1:$AC$1</c:f>
              <c:strCache>
                <c:ptCount val="17"/>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pt idx="16">
                  <c:v>2020 FY</c:v>
                </c:pt>
              </c:strCache>
            </c:strRef>
          </c:cat>
          <c:val>
            <c:numRef>
              <c:f>'Operating Analysis'!$M$52:$AC$52</c:f>
              <c:numCache>
                <c:formatCode>0.00%</c:formatCode>
                <c:ptCount val="17"/>
                <c:pt idx="0">
                  <c:v>0.92700000000000005</c:v>
                </c:pt>
                <c:pt idx="1">
                  <c:v>0.93100000000000005</c:v>
                </c:pt>
                <c:pt idx="2">
                  <c:v>0.93200000000000005</c:v>
                </c:pt>
                <c:pt idx="3">
                  <c:v>0.93500000000000005</c:v>
                </c:pt>
                <c:pt idx="4">
                  <c:v>0.92400000000000004</c:v>
                </c:pt>
                <c:pt idx="5">
                  <c:v>0.92100000000000004</c:v>
                </c:pt>
                <c:pt idx="6">
                  <c:v>0.94499999999999995</c:v>
                </c:pt>
                <c:pt idx="7">
                  <c:v>0.94599999999999995</c:v>
                </c:pt>
                <c:pt idx="8">
                  <c:v>0.95299999999999996</c:v>
                </c:pt>
                <c:pt idx="9">
                  <c:v>0.96899999999999997</c:v>
                </c:pt>
                <c:pt idx="10">
                  <c:v>0.97099999999999997</c:v>
                </c:pt>
                <c:pt idx="11">
                  <c:v>0.96099999999999997</c:v>
                </c:pt>
                <c:pt idx="12">
                  <c:v>0.96799999999999997</c:v>
                </c:pt>
                <c:pt idx="13">
                  <c:v>0.95599999999999996</c:v>
                </c:pt>
                <c:pt idx="14">
                  <c:v>0.95899999999999996</c:v>
                </c:pt>
                <c:pt idx="15">
                  <c:v>0.95099999999999996</c:v>
                </c:pt>
                <c:pt idx="16">
                  <c:v>0.91300000000000003</c:v>
                </c:pt>
              </c:numCache>
            </c:numRef>
          </c:val>
          <c:smooth val="0"/>
          <c:extLst>
            <c:ext xmlns:c16="http://schemas.microsoft.com/office/drawing/2014/chart" uri="{C3380CC4-5D6E-409C-BE32-E72D297353CC}">
              <c16:uniqueId val="{00000004-7FA8-1F41-9CAB-BD9DA36475F1}"/>
            </c:ext>
          </c:extLst>
        </c:ser>
        <c:dLbls>
          <c:showLegendKey val="0"/>
          <c:showVal val="0"/>
          <c:showCatName val="0"/>
          <c:showSerName val="0"/>
          <c:showPercent val="0"/>
          <c:showBubbleSize val="0"/>
        </c:dLbls>
        <c:marker val="1"/>
        <c:smooth val="0"/>
        <c:axId val="399526336"/>
        <c:axId val="399712800"/>
      </c:lineChart>
      <c:catAx>
        <c:axId val="33825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80878704"/>
        <c:crosses val="autoZero"/>
        <c:auto val="1"/>
        <c:lblAlgn val="ctr"/>
        <c:lblOffset val="100"/>
        <c:noMultiLvlLbl val="0"/>
      </c:catAx>
      <c:valAx>
        <c:axId val="28087870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8252368"/>
        <c:crosses val="autoZero"/>
        <c:crossBetween val="between"/>
      </c:valAx>
      <c:valAx>
        <c:axId val="39971280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99526336"/>
        <c:crosses val="max"/>
        <c:crossBetween val="between"/>
      </c:valAx>
      <c:catAx>
        <c:axId val="399526336"/>
        <c:scaling>
          <c:orientation val="minMax"/>
        </c:scaling>
        <c:delete val="1"/>
        <c:axPos val="b"/>
        <c:numFmt formatCode="General" sourceLinked="1"/>
        <c:majorTickMark val="out"/>
        <c:minorTickMark val="none"/>
        <c:tickLblPos val="nextTo"/>
        <c:crossAx val="3997128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'Operating Analysis'!$A$62</c:f>
              <c:strCache>
                <c:ptCount val="1"/>
                <c:pt idx="0">
                  <c:v>Total Square Footage of Properties in millions(US Mills)</c:v>
                </c:pt>
              </c:strCache>
            </c:strRef>
          </c:tx>
          <c:spPr>
            <a:solidFill>
              <a:schemeClr val="accent1"/>
            </a:solidFill>
            <a:ln>
              <a:noFill/>
            </a:ln>
            <a:effectLst/>
          </c:spPr>
          <c:invertIfNegative val="0"/>
          <c:cat>
            <c:strRef>
              <c:f>'Operating Analysis'!$Q$1:$AC$1</c:f>
              <c:strCache>
                <c:ptCount val="13"/>
                <c:pt idx="0">
                  <c:v>2008 FY</c:v>
                </c:pt>
                <c:pt idx="1">
                  <c:v>2009 FY</c:v>
                </c:pt>
                <c:pt idx="2">
                  <c:v>2010 FY</c:v>
                </c:pt>
                <c:pt idx="3">
                  <c:v>2011 FY</c:v>
                </c:pt>
                <c:pt idx="4">
                  <c:v>2012 FY</c:v>
                </c:pt>
                <c:pt idx="5">
                  <c:v>2013 FY</c:v>
                </c:pt>
                <c:pt idx="6">
                  <c:v>2014 FY</c:v>
                </c:pt>
                <c:pt idx="7">
                  <c:v>2015 FY</c:v>
                </c:pt>
                <c:pt idx="8">
                  <c:v>2016 FY</c:v>
                </c:pt>
                <c:pt idx="9">
                  <c:v>2017 FY</c:v>
                </c:pt>
                <c:pt idx="10">
                  <c:v>2018 FY</c:v>
                </c:pt>
                <c:pt idx="11">
                  <c:v>2019 FY</c:v>
                </c:pt>
                <c:pt idx="12">
                  <c:v>2020 FY</c:v>
                </c:pt>
              </c:strCache>
            </c:strRef>
          </c:cat>
          <c:val>
            <c:numRef>
              <c:f>'Operating Analysis'!$Q$62:$AC$62</c:f>
              <c:numCache>
                <c:formatCode>General</c:formatCode>
                <c:ptCount val="13"/>
                <c:pt idx="0">
                  <c:v>22.7</c:v>
                </c:pt>
                <c:pt idx="1">
                  <c:v>22.8</c:v>
                </c:pt>
                <c:pt idx="2">
                  <c:v>22.8</c:v>
                </c:pt>
                <c:pt idx="3">
                  <c:v>19</c:v>
                </c:pt>
                <c:pt idx="4">
                  <c:v>19</c:v>
                </c:pt>
                <c:pt idx="5">
                  <c:v>19.600000000000001</c:v>
                </c:pt>
                <c:pt idx="6">
                  <c:v>19.600000000000001</c:v>
                </c:pt>
                <c:pt idx="7">
                  <c:v>20.9</c:v>
                </c:pt>
                <c:pt idx="8">
                  <c:v>21.1</c:v>
                </c:pt>
                <c:pt idx="9">
                  <c:v>21.1</c:v>
                </c:pt>
                <c:pt idx="10">
                  <c:v>21.4</c:v>
                </c:pt>
                <c:pt idx="11">
                  <c:v>21.5</c:v>
                </c:pt>
                <c:pt idx="12">
                  <c:v>21.3</c:v>
                </c:pt>
              </c:numCache>
            </c:numRef>
          </c:val>
          <c:extLst>
            <c:ext xmlns:c16="http://schemas.microsoft.com/office/drawing/2014/chart" uri="{C3380CC4-5D6E-409C-BE32-E72D297353CC}">
              <c16:uniqueId val="{00000000-359F-2A48-A44F-0E32F682DBD7}"/>
            </c:ext>
          </c:extLst>
        </c:ser>
        <c:dLbls>
          <c:showLegendKey val="0"/>
          <c:showVal val="0"/>
          <c:showCatName val="0"/>
          <c:showSerName val="0"/>
          <c:showPercent val="0"/>
          <c:showBubbleSize val="0"/>
        </c:dLbls>
        <c:gapWidth val="150"/>
        <c:axId val="338252368"/>
        <c:axId val="280878704"/>
      </c:barChart>
      <c:lineChart>
        <c:grouping val="standard"/>
        <c:varyColors val="0"/>
        <c:ser>
          <c:idx val="1"/>
          <c:order val="1"/>
          <c:tx>
            <c:strRef>
              <c:f>'Operating Analysis'!$A$63</c:f>
              <c:strCache>
                <c:ptCount val="1"/>
                <c:pt idx="0">
                  <c:v>Ending Occupancy(US Mills)</c:v>
                </c:pt>
              </c:strCache>
            </c:strRef>
          </c:tx>
          <c:spPr>
            <a:ln w="28575" cap="rnd">
              <a:solidFill>
                <a:schemeClr val="accent2"/>
              </a:solidFill>
              <a:round/>
            </a:ln>
            <a:effectLst/>
          </c:spPr>
          <c:marker>
            <c:symbol val="none"/>
          </c:marker>
          <c:cat>
            <c:strRef>
              <c:f>'Operating Analysis'!$Q$1:$AC$1</c:f>
              <c:strCache>
                <c:ptCount val="13"/>
                <c:pt idx="0">
                  <c:v>2008 FY</c:v>
                </c:pt>
                <c:pt idx="1">
                  <c:v>2009 FY</c:v>
                </c:pt>
                <c:pt idx="2">
                  <c:v>2010 FY</c:v>
                </c:pt>
                <c:pt idx="3">
                  <c:v>2011 FY</c:v>
                </c:pt>
                <c:pt idx="4">
                  <c:v>2012 FY</c:v>
                </c:pt>
                <c:pt idx="5">
                  <c:v>2013 FY</c:v>
                </c:pt>
                <c:pt idx="6">
                  <c:v>2014 FY</c:v>
                </c:pt>
                <c:pt idx="7">
                  <c:v>2015 FY</c:v>
                </c:pt>
                <c:pt idx="8">
                  <c:v>2016 FY</c:v>
                </c:pt>
                <c:pt idx="9">
                  <c:v>2017 FY</c:v>
                </c:pt>
                <c:pt idx="10">
                  <c:v>2018 FY</c:v>
                </c:pt>
                <c:pt idx="11">
                  <c:v>2019 FY</c:v>
                </c:pt>
                <c:pt idx="12">
                  <c:v>2020 FY</c:v>
                </c:pt>
              </c:strCache>
            </c:strRef>
          </c:cat>
          <c:val>
            <c:numRef>
              <c:f>'Operating Analysis'!$Q$63:$AC$63</c:f>
              <c:numCache>
                <c:formatCode>0.00%</c:formatCode>
                <c:ptCount val="13"/>
                <c:pt idx="0">
                  <c:v>0.94499999999999995</c:v>
                </c:pt>
                <c:pt idx="1">
                  <c:v>0.93899999999999995</c:v>
                </c:pt>
                <c:pt idx="2">
                  <c:v>0.93700000000000006</c:v>
                </c:pt>
                <c:pt idx="3">
                  <c:v>0.97</c:v>
                </c:pt>
                <c:pt idx="4">
                  <c:v>0.97199999999999998</c:v>
                </c:pt>
                <c:pt idx="5">
                  <c:v>0.98499999999999999</c:v>
                </c:pt>
                <c:pt idx="6">
                  <c:v>0.98399999999999999</c:v>
                </c:pt>
                <c:pt idx="7">
                  <c:v>0.98499999999999999</c:v>
                </c:pt>
                <c:pt idx="8">
                  <c:v>0.98399999999999999</c:v>
                </c:pt>
                <c:pt idx="9">
                  <c:v>0.98399999999999999</c:v>
                </c:pt>
                <c:pt idx="10">
                  <c:v>0.97599999999999998</c:v>
                </c:pt>
                <c:pt idx="11">
                  <c:v>0.97</c:v>
                </c:pt>
                <c:pt idx="12">
                  <c:v>0.95299999999999996</c:v>
                </c:pt>
              </c:numCache>
            </c:numRef>
          </c:val>
          <c:smooth val="0"/>
          <c:extLst>
            <c:ext xmlns:c16="http://schemas.microsoft.com/office/drawing/2014/chart" uri="{C3380CC4-5D6E-409C-BE32-E72D297353CC}">
              <c16:uniqueId val="{00000001-359F-2A48-A44F-0E32F682DBD7}"/>
            </c:ext>
          </c:extLst>
        </c:ser>
        <c:dLbls>
          <c:showLegendKey val="0"/>
          <c:showVal val="0"/>
          <c:showCatName val="0"/>
          <c:showSerName val="0"/>
          <c:showPercent val="0"/>
          <c:showBubbleSize val="0"/>
        </c:dLbls>
        <c:marker val="1"/>
        <c:smooth val="0"/>
        <c:axId val="399526336"/>
        <c:axId val="399712800"/>
      </c:lineChart>
      <c:catAx>
        <c:axId val="33825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80878704"/>
        <c:crosses val="autoZero"/>
        <c:auto val="1"/>
        <c:lblAlgn val="ctr"/>
        <c:lblOffset val="100"/>
        <c:noMultiLvlLbl val="0"/>
      </c:catAx>
      <c:valAx>
        <c:axId val="28087870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8252368"/>
        <c:crosses val="autoZero"/>
        <c:crossBetween val="between"/>
      </c:valAx>
      <c:valAx>
        <c:axId val="39971280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99526336"/>
        <c:crosses val="max"/>
        <c:crossBetween val="between"/>
      </c:valAx>
      <c:catAx>
        <c:axId val="399526336"/>
        <c:scaling>
          <c:orientation val="minMax"/>
        </c:scaling>
        <c:delete val="1"/>
        <c:axPos val="b"/>
        <c:numFmt formatCode="General" sourceLinked="1"/>
        <c:majorTickMark val="out"/>
        <c:minorTickMark val="none"/>
        <c:tickLblPos val="nextTo"/>
        <c:crossAx val="3997128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'Operating Analysis'!$A$106:$A$111</c:f>
              <c:strCache>
                <c:ptCount val="6"/>
                <c:pt idx="0">
                  <c:v>Price%</c:v>
                </c:pt>
                <c:pt idx="1">
                  <c:v>Area%</c:v>
                </c:pt>
                <c:pt idx="2">
                  <c:v>FFO Ratio(pct)</c:v>
                </c:pt>
                <c:pt idx="3">
                  <c:v>Common Shares Outstanding shrink(-)</c:v>
                </c:pt>
                <c:pt idx="4">
                  <c:v>Internationalization</c:v>
                </c:pt>
                <c:pt idx="5">
                  <c:v>FFO/S%</c:v>
                </c:pt>
              </c:strCache>
            </c:strRef>
          </c:cat>
          <c:val>
            <c:numRef>
              <c:f>'Operating Analysis'!$B$106:$B$111</c:f>
              <c:numCache>
                <c:formatCode>General</c:formatCode>
                <c:ptCount val="6"/>
              </c:numCache>
            </c:numRef>
          </c:val>
          <c:extLst>
            <c:ext xmlns:c16="http://schemas.microsoft.com/office/drawing/2014/chart" uri="{C3380CC4-5D6E-409C-BE32-E72D297353CC}">
              <c16:uniqueId val="{00000000-6830-3949-96C1-9CAB7BA7F6C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'Operating Analysis'!$A$106:$A$111</c:f>
              <c:strCache>
                <c:ptCount val="6"/>
                <c:pt idx="0">
                  <c:v>Price%</c:v>
                </c:pt>
                <c:pt idx="1">
                  <c:v>Area%</c:v>
                </c:pt>
                <c:pt idx="2">
                  <c:v>FFO Ratio(pct)</c:v>
                </c:pt>
                <c:pt idx="3">
                  <c:v>Common Shares Outstanding shrink(-)</c:v>
                </c:pt>
                <c:pt idx="4">
                  <c:v>Internationalization</c:v>
                </c:pt>
                <c:pt idx="5">
                  <c:v>FFO/S%</c:v>
                </c:pt>
              </c:strCache>
            </c:strRef>
          </c:cat>
          <c:val>
            <c:numRef>
              <c:f>'Operating Analysis'!$C$106:$C$111</c:f>
              <c:numCache>
                <c:formatCode>0.0%</c:formatCode>
                <c:ptCount val="6"/>
                <c:pt idx="0">
                  <c:v>4.0819989781405643E-2</c:v>
                </c:pt>
                <c:pt idx="1">
                  <c:v>-3.5866239261966191E-3</c:v>
                </c:pt>
                <c:pt idx="2">
                  <c:v>1.0771244954088632E-2</c:v>
                </c:pt>
                <c:pt idx="3">
                  <c:v>2.5219449495316624E-3</c:v>
                </c:pt>
                <c:pt idx="4">
                  <c:v>1.1773724502171113E-2</c:v>
                </c:pt>
                <c:pt idx="5">
                  <c:v>6.2300280261000429E-2</c:v>
                </c:pt>
              </c:numCache>
            </c:numRef>
          </c:val>
          <c:extLst>
            <c:ext xmlns:c16="http://schemas.microsoft.com/office/drawing/2014/chart" uri="{C3380CC4-5D6E-409C-BE32-E72D297353CC}">
              <c16:uniqueId val="{00000001-6830-3949-96C1-9CAB7BA7F6C4}"/>
            </c:ext>
          </c:extLst>
        </c:ser>
        <c:dLbls>
          <c:dLblPos val="outEnd"/>
          <c:showLegendKey val="0"/>
          <c:showVal val="1"/>
          <c:showCatName val="0"/>
          <c:showSerName val="0"/>
          <c:showPercent val="0"/>
          <c:showBubbleSize val="0"/>
        </c:dLbls>
        <c:gapWidth val="219"/>
        <c:overlap val="-27"/>
        <c:axId val="1669718000"/>
        <c:axId val="2052169952"/>
      </c:barChart>
      <c:catAx>
        <c:axId val="166971800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52169952"/>
        <c:crosses val="autoZero"/>
        <c:auto val="1"/>
        <c:lblAlgn val="ctr"/>
        <c:lblOffset val="100"/>
        <c:noMultiLvlLbl val="0"/>
      </c:catAx>
      <c:valAx>
        <c:axId val="2052169952"/>
        <c:scaling>
          <c:orientation val="minMax"/>
        </c:scaling>
        <c:delete val="0"/>
        <c:axPos val="r"/>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69718000"/>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accent1"/>
            </a:solidFill>
            <a:ln>
              <a:noFill/>
            </a:ln>
            <a:effectLst/>
          </c:spPr>
          <c:invertIfNegative val="0"/>
          <c:cat>
            <c:strRef>
              <c:f>'Operating Analysis'!$B$100:$B$101</c:f>
              <c:strCache>
                <c:ptCount val="2"/>
                <c:pt idx="0">
                  <c:v>Price%(US malls and Premium Outlets)</c:v>
                </c:pt>
                <c:pt idx="1">
                  <c:v>Area%(US malls and Premium Outlets)</c:v>
                </c:pt>
              </c:strCache>
            </c:strRef>
          </c:cat>
          <c:val>
            <c:numRef>
              <c:f>'Operating Analysis'!$C$100:$C$101</c:f>
              <c:numCache>
                <c:formatCode>0.0%</c:formatCode>
                <c:ptCount val="2"/>
                <c:pt idx="0">
                  <c:v>3.9347596961556208E-2</c:v>
                </c:pt>
                <c:pt idx="1">
                  <c:v>-5.7364302769640219E-3</c:v>
                </c:pt>
              </c:numCache>
            </c:numRef>
          </c:val>
          <c:extLst>
            <c:ext xmlns:c16="http://schemas.microsoft.com/office/drawing/2014/chart" uri="{C3380CC4-5D6E-409C-BE32-E72D297353CC}">
              <c16:uniqueId val="{00000000-27E3-DC48-9F5F-015C5B71B1CB}"/>
            </c:ext>
          </c:extLst>
        </c:ser>
        <c:dLbls>
          <c:showLegendKey val="0"/>
          <c:showVal val="0"/>
          <c:showCatName val="0"/>
          <c:showSerName val="0"/>
          <c:showPercent val="0"/>
          <c:showBubbleSize val="0"/>
        </c:dLbls>
        <c:gapWidth val="219"/>
        <c:overlap val="-27"/>
        <c:axId val="1669718000"/>
        <c:axId val="2052169952"/>
      </c:barChart>
      <c:catAx>
        <c:axId val="166971800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52169952"/>
        <c:crosses val="autoZero"/>
        <c:auto val="1"/>
        <c:lblAlgn val="ctr"/>
        <c:lblOffset val="100"/>
        <c:noMultiLvlLbl val="0"/>
      </c:catAx>
      <c:valAx>
        <c:axId val="2052169952"/>
        <c:scaling>
          <c:orientation val="minMax"/>
        </c:scaling>
        <c:delete val="0"/>
        <c:axPos val="r"/>
        <c:majorGridlines>
          <c:spPr>
            <a:ln w="9525" cap="flat" cmpd="sng" algn="ctr">
              <a:no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69718000"/>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'Operating Analysis'!$A$82</c:f>
              <c:strCache>
                <c:ptCount val="1"/>
                <c:pt idx="0">
                  <c:v>NOI ratio</c:v>
                </c:pt>
              </c:strCache>
            </c:strRef>
          </c:tx>
          <c:spPr>
            <a:ln w="28575" cap="rnd">
              <a:solidFill>
                <a:schemeClr val="accent1"/>
              </a:solidFill>
              <a:round/>
            </a:ln>
            <a:effectLst/>
          </c:spPr>
          <c:marker>
            <c:symbol val="none"/>
          </c:marker>
          <c:cat>
            <c:strRef>
              <c:f>'Operating Analysis'!$M$1:$AC$1</c:f>
              <c:strCache>
                <c:ptCount val="17"/>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pt idx="16">
                  <c:v>2020 FY</c:v>
                </c:pt>
              </c:strCache>
            </c:strRef>
          </c:cat>
          <c:val>
            <c:numRef>
              <c:f>'Operating Analysis'!$M$82:$AC$82</c:f>
              <c:numCache>
                <c:formatCode>0.0%</c:formatCode>
                <c:ptCount val="17"/>
                <c:pt idx="0">
                  <c:v>0.61616077776929001</c:v>
                </c:pt>
                <c:pt idx="1">
                  <c:v>0.63916968842538158</c:v>
                </c:pt>
                <c:pt idx="2">
                  <c:v>0.64084475049789047</c:v>
                </c:pt>
                <c:pt idx="3">
                  <c:v>0.61819807409457894</c:v>
                </c:pt>
                <c:pt idx="4">
                  <c:v>0.63936588684467033</c:v>
                </c:pt>
                <c:pt idx="5">
                  <c:v>0.65486425524048875</c:v>
                </c:pt>
                <c:pt idx="6">
                  <c:v>0.65223044921778994</c:v>
                </c:pt>
                <c:pt idx="7">
                  <c:v>0.66476842882395193</c:v>
                </c:pt>
                <c:pt idx="8">
                  <c:v>0.61522786870405843</c:v>
                </c:pt>
                <c:pt idx="9">
                  <c:v>0.66966308616881121</c:v>
                </c:pt>
                <c:pt idx="10">
                  <c:v>0.68348262878085553</c:v>
                </c:pt>
                <c:pt idx="11">
                  <c:v>0.6342783103187648</c:v>
                </c:pt>
                <c:pt idx="12">
                  <c:v>0.6639953520225631</c:v>
                </c:pt>
                <c:pt idx="13">
                  <c:v>0.66566746825672929</c:v>
                </c:pt>
                <c:pt idx="14">
                  <c:v>0.64679061056932152</c:v>
                </c:pt>
                <c:pt idx="15">
                  <c:v>0.65121629671900982</c:v>
                </c:pt>
                <c:pt idx="16">
                  <c:v>0.67990070579651285</c:v>
                </c:pt>
              </c:numCache>
            </c:numRef>
          </c:val>
          <c:smooth val="0"/>
          <c:extLst>
            <c:ext xmlns:c16="http://schemas.microsoft.com/office/drawing/2014/chart" uri="{C3380CC4-5D6E-409C-BE32-E72D297353CC}">
              <c16:uniqueId val="{00000000-C40D-E04C-9A64-6C509E5221ED}"/>
            </c:ext>
          </c:extLst>
        </c:ser>
        <c:ser>
          <c:idx val="1"/>
          <c:order val="1"/>
          <c:tx>
            <c:strRef>
              <c:f>'Operating Analysis'!$A$83</c:f>
              <c:strCache>
                <c:ptCount val="1"/>
                <c:pt idx="0">
                  <c:v>FFO ratio</c:v>
                </c:pt>
              </c:strCache>
            </c:strRef>
          </c:tx>
          <c:spPr>
            <a:ln w="28575" cap="rnd">
              <a:solidFill>
                <a:schemeClr val="accent2"/>
              </a:solidFill>
              <a:round/>
            </a:ln>
            <a:effectLst/>
          </c:spPr>
          <c:marker>
            <c:symbol val="none"/>
          </c:marker>
          <c:cat>
            <c:strRef>
              <c:f>'Operating Analysis'!$M$1:$AC$1</c:f>
              <c:strCache>
                <c:ptCount val="17"/>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pt idx="16">
                  <c:v>2020 FY</c:v>
                </c:pt>
              </c:strCache>
            </c:strRef>
          </c:cat>
          <c:val>
            <c:numRef>
              <c:f>'Operating Analysis'!$M$83:$AC$83</c:f>
              <c:numCache>
                <c:formatCode>0.0%</c:formatCode>
                <c:ptCount val="17"/>
                <c:pt idx="0">
                  <c:v>0.43407382814565837</c:v>
                </c:pt>
                <c:pt idx="1">
                  <c:v>0.43444620243423443</c:v>
                </c:pt>
                <c:pt idx="2">
                  <c:v>0.45054815579025731</c:v>
                </c:pt>
                <c:pt idx="3">
                  <c:v>0.460059066610506</c:v>
                </c:pt>
                <c:pt idx="4">
                  <c:v>0.4896935319532843</c:v>
                </c:pt>
                <c:pt idx="5">
                  <c:v>0.47719795599479886</c:v>
                </c:pt>
                <c:pt idx="6">
                  <c:v>0.43952388683586374</c:v>
                </c:pt>
                <c:pt idx="7">
                  <c:v>0.55639069097652216</c:v>
                </c:pt>
                <c:pt idx="8">
                  <c:v>0.52440776531724786</c:v>
                </c:pt>
                <c:pt idx="9">
                  <c:v>0.58633900480730627</c:v>
                </c:pt>
                <c:pt idx="10">
                  <c:v>0.63680324690534251</c:v>
                </c:pt>
                <c:pt idx="11">
                  <c:v>0.62093815424777143</c:v>
                </c:pt>
                <c:pt idx="12">
                  <c:v>0.65217337478547899</c:v>
                </c:pt>
                <c:pt idx="13">
                  <c:v>0.67962818527244762</c:v>
                </c:pt>
                <c:pt idx="14">
                  <c:v>0.706960368640693</c:v>
                </c:pt>
                <c:pt idx="15">
                  <c:v>0.69065947167578567</c:v>
                </c:pt>
                <c:pt idx="16">
                  <c:v>0.6717347910096495</c:v>
                </c:pt>
              </c:numCache>
            </c:numRef>
          </c:val>
          <c:smooth val="0"/>
          <c:extLst>
            <c:ext xmlns:c16="http://schemas.microsoft.com/office/drawing/2014/chart" uri="{C3380CC4-5D6E-409C-BE32-E72D297353CC}">
              <c16:uniqueId val="{00000001-C40D-E04C-9A64-6C509E5221ED}"/>
            </c:ext>
          </c:extLst>
        </c:ser>
        <c:dLbls>
          <c:showLegendKey val="0"/>
          <c:showVal val="0"/>
          <c:showCatName val="0"/>
          <c:showSerName val="0"/>
          <c:showPercent val="0"/>
          <c:showBubbleSize val="0"/>
        </c:dLbls>
        <c:smooth val="0"/>
        <c:axId val="1367391263"/>
        <c:axId val="1368121503"/>
      </c:lineChart>
      <c:catAx>
        <c:axId val="1367391263"/>
        <c:scaling>
          <c:orientation val="minMax"/>
        </c:scaling>
        <c:delete val="0"/>
        <c:axPos val="b"/>
        <c:numFmt formatCode="yyyy\-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68121503"/>
        <c:crosses val="autoZero"/>
        <c:auto val="1"/>
        <c:lblAlgn val="ctr"/>
        <c:lblOffset val="100"/>
        <c:noMultiLvlLbl val="0"/>
      </c:catAx>
      <c:valAx>
        <c:axId val="1368121503"/>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67391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Everything!$A$114</c:f>
              <c:strCache>
                <c:ptCount val="1"/>
                <c:pt idx="0">
                  <c:v>FFO Payout (%)</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10D-214D-94A0-8FD79C6BF50D}"/>
                </c:ext>
              </c:extLst>
            </c:dLbl>
            <c:dLbl>
              <c:idx val="1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10D-214D-94A0-8FD79C6BF5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Everything!$M$1:$AC$1</c:f>
              <c:strCache>
                <c:ptCount val="17"/>
                <c:pt idx="0">
                  <c:v>2004 FY</c:v>
                </c:pt>
                <c:pt idx="1">
                  <c:v>2005 FY</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strCache>
            </c:strRef>
          </c:cat>
          <c:val>
            <c:numRef>
              <c:f>Everything!$M$114:$AC$114</c:f>
              <c:numCache>
                <c:formatCode>#,##0.00;[Red]\(#,##0.00\)</c:formatCode>
                <c:ptCount val="17"/>
                <c:pt idx="0">
                  <c:v>58.3</c:v>
                </c:pt>
                <c:pt idx="1">
                  <c:v>56.45</c:v>
                </c:pt>
                <c:pt idx="2">
                  <c:v>56.4</c:v>
                </c:pt>
                <c:pt idx="3">
                  <c:v>56.95</c:v>
                </c:pt>
                <c:pt idx="4">
                  <c:v>55.81</c:v>
                </c:pt>
                <c:pt idx="5">
                  <c:v>8.18</c:v>
                </c:pt>
                <c:pt idx="6">
                  <c:v>51.69</c:v>
                </c:pt>
                <c:pt idx="7">
                  <c:v>47.9</c:v>
                </c:pt>
                <c:pt idx="8">
                  <c:v>51.38</c:v>
                </c:pt>
                <c:pt idx="9">
                  <c:v>52.54</c:v>
                </c:pt>
                <c:pt idx="10">
                  <c:v>57.87</c:v>
                </c:pt>
                <c:pt idx="11">
                  <c:v>61.36</c:v>
                </c:pt>
                <c:pt idx="12">
                  <c:v>61.96</c:v>
                </c:pt>
                <c:pt idx="13">
                  <c:v>63.78</c:v>
                </c:pt>
                <c:pt idx="14">
                  <c:v>65.13</c:v>
                </c:pt>
                <c:pt idx="15">
                  <c:v>68.94</c:v>
                </c:pt>
                <c:pt idx="16">
                  <c:v>51.591657519209697</c:v>
                </c:pt>
              </c:numCache>
            </c:numRef>
          </c:val>
          <c:extLst>
            <c:ext xmlns:c16="http://schemas.microsoft.com/office/drawing/2014/chart" uri="{C3380CC4-5D6E-409C-BE32-E72D297353CC}">
              <c16:uniqueId val="{00000002-C10D-214D-94A0-8FD79C6BF50D}"/>
            </c:ext>
          </c:extLst>
        </c:ser>
        <c:dLbls>
          <c:showLegendKey val="0"/>
          <c:showVal val="0"/>
          <c:showCatName val="0"/>
          <c:showSerName val="0"/>
          <c:showPercent val="0"/>
          <c:showBubbleSize val="0"/>
        </c:dLbls>
        <c:gapWidth val="219"/>
        <c:overlap val="-27"/>
        <c:axId val="733048912"/>
        <c:axId val="588345904"/>
      </c:barChart>
      <c:catAx>
        <c:axId val="73304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8345904"/>
        <c:crosses val="autoZero"/>
        <c:auto val="1"/>
        <c:lblAlgn val="ctr"/>
        <c:lblOffset val="100"/>
        <c:noMultiLvlLbl val="0"/>
      </c:catAx>
      <c:valAx>
        <c:axId val="588345904"/>
        <c:scaling>
          <c:orientation val="minMax"/>
        </c:scaling>
        <c:delete val="0"/>
        <c:axPos val="l"/>
        <c:majorGridlines>
          <c:spPr>
            <a:ln w="9525" cap="flat" cmpd="sng" algn="ctr">
              <a:noFill/>
              <a:round/>
            </a:ln>
            <a:effectLst/>
          </c:spPr>
        </c:majorGridlines>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304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'Operating Analysis'!$A$86</c:f>
              <c:strCache>
                <c:ptCount val="1"/>
                <c:pt idx="0">
                  <c:v>Incremental Gross Depreciable Property($000)</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C75-9A4F-97BF-D4422E86F118}"/>
                </c:ext>
              </c:extLst>
            </c:dLbl>
            <c:dLbl>
              <c:idx val="1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C75-9A4F-97BF-D4422E86F11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'Operating Analysis'!$M$1:$AC$1</c:f>
              <c:strCache>
                <c:ptCount val="17"/>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pt idx="16">
                  <c:v>2020 FY</c:v>
                </c:pt>
              </c:strCache>
            </c:strRef>
          </c:cat>
          <c:val>
            <c:numRef>
              <c:f>'Operating Analysis'!$M$86:$AC$86</c:f>
              <c:numCache>
                <c:formatCode>#,##0;[Red]\(#,##0\)</c:formatCode>
                <c:ptCount val="17"/>
                <c:pt idx="0">
                  <c:v>6132122</c:v>
                </c:pt>
                <c:pt idx="1">
                  <c:v>501221</c:v>
                </c:pt>
                <c:pt idx="2">
                  <c:v>972452</c:v>
                </c:pt>
                <c:pt idx="3">
                  <c:v>1434057</c:v>
                </c:pt>
                <c:pt idx="4">
                  <c:v>1079739</c:v>
                </c:pt>
                <c:pt idx="5">
                  <c:v>207045</c:v>
                </c:pt>
                <c:pt idx="6">
                  <c:v>2329002</c:v>
                </c:pt>
                <c:pt idx="7">
                  <c:v>1809462</c:v>
                </c:pt>
                <c:pt idx="8">
                  <c:v>4729888</c:v>
                </c:pt>
                <c:pt idx="9">
                  <c:v>838944</c:v>
                </c:pt>
                <c:pt idx="10">
                  <c:v>-4083351</c:v>
                </c:pt>
                <c:pt idx="11">
                  <c:v>2121402</c:v>
                </c:pt>
                <c:pt idx="12">
                  <c:v>1920025</c:v>
                </c:pt>
                <c:pt idx="13">
                  <c:v>1169894</c:v>
                </c:pt>
                <c:pt idx="14">
                  <c:v>641342</c:v>
                </c:pt>
                <c:pt idx="15">
                  <c:v>975059</c:v>
                </c:pt>
                <c:pt idx="16">
                  <c:v>1056937</c:v>
                </c:pt>
              </c:numCache>
            </c:numRef>
          </c:val>
          <c:extLst>
            <c:ext xmlns:c16="http://schemas.microsoft.com/office/drawing/2014/chart" uri="{C3380CC4-5D6E-409C-BE32-E72D297353CC}">
              <c16:uniqueId val="{00000002-FC75-9A4F-97BF-D4422E86F118}"/>
            </c:ext>
          </c:extLst>
        </c:ser>
        <c:dLbls>
          <c:showLegendKey val="0"/>
          <c:showVal val="0"/>
          <c:showCatName val="0"/>
          <c:showSerName val="0"/>
          <c:showPercent val="0"/>
          <c:showBubbleSize val="0"/>
        </c:dLbls>
        <c:gapWidth val="219"/>
        <c:overlap val="-27"/>
        <c:axId val="733048912"/>
        <c:axId val="588345904"/>
      </c:barChart>
      <c:catAx>
        <c:axId val="73304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8345904"/>
        <c:crosses val="autoZero"/>
        <c:auto val="1"/>
        <c:lblAlgn val="ctr"/>
        <c:lblOffset val="100"/>
        <c:noMultiLvlLbl val="0"/>
      </c:catAx>
      <c:valAx>
        <c:axId val="588345904"/>
        <c:scaling>
          <c:orientation val="minMax"/>
        </c:scaling>
        <c:delete val="0"/>
        <c:axPos val="l"/>
        <c:majorGridlines>
          <c:spPr>
            <a:ln w="9525" cap="flat" cmpd="sng" algn="ctr">
              <a:no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304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'Operating Analysis'!$A$54</c:f>
              <c:strCache>
                <c:ptCount val="1"/>
                <c:pt idx="0">
                  <c:v>Total sales PSF(US Malls and Premium Outlets)</c:v>
                </c:pt>
              </c:strCache>
            </c:strRef>
          </c:tx>
          <c:spPr>
            <a:solidFill>
              <a:schemeClr val="accent1"/>
            </a:solidFill>
            <a:ln>
              <a:noFill/>
            </a:ln>
            <a:effectLst/>
          </c:spPr>
          <c:invertIfNegative val="0"/>
          <c:cat>
            <c:strRef>
              <c:f>'Operating Analysis'!$M$1:$AB$1</c:f>
              <c:strCache>
                <c:ptCount val="16"/>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strCache>
            </c:strRef>
          </c:cat>
          <c:val>
            <c:numRef>
              <c:f>'Operating Analysis'!$M$54:$AB$54</c:f>
              <c:numCache>
                <c:formatCode>\$#,##0_);[Red]\(\$#,##0\)</c:formatCode>
                <c:ptCount val="16"/>
                <c:pt idx="0">
                  <c:v>427</c:v>
                </c:pt>
                <c:pt idx="1">
                  <c:v>450</c:v>
                </c:pt>
                <c:pt idx="2">
                  <c:v>476</c:v>
                </c:pt>
                <c:pt idx="3">
                  <c:v>491</c:v>
                </c:pt>
                <c:pt idx="4">
                  <c:v>470</c:v>
                </c:pt>
                <c:pt idx="5">
                  <c:v>433</c:v>
                </c:pt>
                <c:pt idx="6" formatCode="\$#,##0.00_);[Red]\(\$#,##0.00\)">
                  <c:v>484</c:v>
                </c:pt>
                <c:pt idx="7" formatCode="\$#,##0.00_);[Red]\(\$#,##0.00\)">
                  <c:v>553</c:v>
                </c:pt>
                <c:pt idx="8" formatCode="\$#,##0.00_);[Red]\(\$#,##0.00\)">
                  <c:v>568</c:v>
                </c:pt>
                <c:pt idx="9" formatCode="\$#,##0.00_);[Red]\(\$#,##0.00\)">
                  <c:v>619</c:v>
                </c:pt>
                <c:pt idx="10" formatCode="\$#,##0.00_);[Red]\(\$#,##0.00\)">
                  <c:v>618</c:v>
                </c:pt>
                <c:pt idx="11" formatCode="\$#,##0.00_);[Red]\(\$#,##0.00\)">
                  <c:v>620</c:v>
                </c:pt>
                <c:pt idx="12" formatCode="\$#,##0.00_);[Red]\(\$#,##0.00\)">
                  <c:v>614</c:v>
                </c:pt>
                <c:pt idx="13" formatCode="\$#,##0.00_);[Red]\(\$#,##0.00\)">
                  <c:v>628</c:v>
                </c:pt>
                <c:pt idx="14" formatCode="\$#,##0.00_);[Red]\(\$#,##0.00\)">
                  <c:v>661</c:v>
                </c:pt>
                <c:pt idx="15" formatCode="\$#,##0.00_);[Red]\(\$#,##0.00\)">
                  <c:v>693</c:v>
                </c:pt>
              </c:numCache>
            </c:numRef>
          </c:val>
          <c:extLst>
            <c:ext xmlns:c16="http://schemas.microsoft.com/office/drawing/2014/chart" uri="{C3380CC4-5D6E-409C-BE32-E72D297353CC}">
              <c16:uniqueId val="{00000000-36AE-694B-B7CD-CA3554D1A87E}"/>
            </c:ext>
          </c:extLst>
        </c:ser>
        <c:dLbls>
          <c:showLegendKey val="0"/>
          <c:showVal val="0"/>
          <c:showCatName val="0"/>
          <c:showSerName val="0"/>
          <c:showPercent val="0"/>
          <c:showBubbleSize val="0"/>
        </c:dLbls>
        <c:gapWidth val="150"/>
        <c:axId val="338252368"/>
        <c:axId val="280878704"/>
      </c:barChart>
      <c:lineChart>
        <c:grouping val="standard"/>
        <c:varyColors val="0"/>
        <c:ser>
          <c:idx val="1"/>
          <c:order val="1"/>
          <c:tx>
            <c:strRef>
              <c:f>'Operating Analysis'!$A$56</c:f>
              <c:strCache>
                <c:ptCount val="1"/>
                <c:pt idx="0">
                  <c:v>Occupancy Cost As Percentage Sales(US Malls and Premium Outlets)</c:v>
                </c:pt>
              </c:strCache>
            </c:strRef>
          </c:tx>
          <c:spPr>
            <a:ln w="28575" cap="rnd">
              <a:solidFill>
                <a:schemeClr val="accent2"/>
              </a:solidFill>
              <a:round/>
            </a:ln>
            <a:effectLst/>
          </c:spPr>
          <c:marker>
            <c:symbol val="none"/>
          </c:marker>
          <c:val>
            <c:numRef>
              <c:f>'Operating Analysis'!$M$56:$AB$56</c:f>
              <c:numCache>
                <c:formatCode>0.00%</c:formatCode>
                <c:ptCount val="16"/>
                <c:pt idx="0">
                  <c:v>0.17100000000000001</c:v>
                </c:pt>
                <c:pt idx="1">
                  <c:v>0.20699999999999999</c:v>
                </c:pt>
                <c:pt idx="2">
                  <c:v>0.17599999999999999</c:v>
                </c:pt>
                <c:pt idx="3">
                  <c:v>0.14399999999999999</c:v>
                </c:pt>
                <c:pt idx="4">
                  <c:v>0.21299999999999999</c:v>
                </c:pt>
                <c:pt idx="5">
                  <c:v>0.128</c:v>
                </c:pt>
                <c:pt idx="6">
                  <c:v>0.122</c:v>
                </c:pt>
                <c:pt idx="7">
                  <c:v>9.2999999999999999E-2</c:v>
                </c:pt>
                <c:pt idx="8">
                  <c:v>0.108</c:v>
                </c:pt>
                <c:pt idx="9">
                  <c:v>0.113</c:v>
                </c:pt>
                <c:pt idx="10">
                  <c:v>0.11700000000000001</c:v>
                </c:pt>
                <c:pt idx="11">
                  <c:v>0.123</c:v>
                </c:pt>
                <c:pt idx="12">
                  <c:v>0.13100000000000001</c:v>
                </c:pt>
                <c:pt idx="13">
                  <c:v>0.13200000000000001</c:v>
                </c:pt>
                <c:pt idx="14">
                  <c:v>0.128</c:v>
                </c:pt>
                <c:pt idx="15">
                  <c:v>0.125</c:v>
                </c:pt>
              </c:numCache>
            </c:numRef>
          </c:val>
          <c:smooth val="0"/>
          <c:extLst>
            <c:ext xmlns:c16="http://schemas.microsoft.com/office/drawing/2014/chart" uri="{C3380CC4-5D6E-409C-BE32-E72D297353CC}">
              <c16:uniqueId val="{00000001-36AE-694B-B7CD-CA3554D1A87E}"/>
            </c:ext>
          </c:extLst>
        </c:ser>
        <c:dLbls>
          <c:showLegendKey val="0"/>
          <c:showVal val="0"/>
          <c:showCatName val="0"/>
          <c:showSerName val="0"/>
          <c:showPercent val="0"/>
          <c:showBubbleSize val="0"/>
        </c:dLbls>
        <c:marker val="1"/>
        <c:smooth val="0"/>
        <c:axId val="399526336"/>
        <c:axId val="399712800"/>
      </c:lineChart>
      <c:catAx>
        <c:axId val="33825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80878704"/>
        <c:crosses val="autoZero"/>
        <c:auto val="1"/>
        <c:lblAlgn val="ctr"/>
        <c:lblOffset val="100"/>
        <c:noMultiLvlLbl val="0"/>
      </c:catAx>
      <c:valAx>
        <c:axId val="280878704"/>
        <c:scaling>
          <c:orientation val="minMax"/>
        </c:scaling>
        <c:delete val="0"/>
        <c:axPos val="l"/>
        <c:majorGridlines>
          <c:spPr>
            <a:ln w="9525" cap="flat" cmpd="sng" algn="ctr">
              <a:noFill/>
              <a:round/>
            </a:ln>
            <a:effectLst/>
          </c:spPr>
        </c:majorGridlines>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8252368"/>
        <c:crosses val="autoZero"/>
        <c:crossBetween val="between"/>
      </c:valAx>
      <c:valAx>
        <c:axId val="39971280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99526336"/>
        <c:crosses val="max"/>
        <c:crossBetween val="between"/>
      </c:valAx>
      <c:catAx>
        <c:axId val="399526336"/>
        <c:scaling>
          <c:orientation val="minMax"/>
        </c:scaling>
        <c:delete val="1"/>
        <c:axPos val="b"/>
        <c:majorTickMark val="out"/>
        <c:minorTickMark val="none"/>
        <c:tickLblPos val="nextTo"/>
        <c:crossAx val="3997128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'Operating Analysis'!$A$53</c:f>
              <c:strCache>
                <c:ptCount val="1"/>
                <c:pt idx="0">
                  <c:v>Base Minimum Rent PSF(US Malls and Premium Outlets)</c:v>
                </c:pt>
              </c:strCache>
            </c:strRef>
          </c:tx>
          <c:spPr>
            <a:solidFill>
              <a:schemeClr val="accent1"/>
            </a:solidFill>
            <a:ln>
              <a:noFill/>
            </a:ln>
            <a:effectLst/>
          </c:spPr>
          <c:invertIfNegative val="0"/>
          <c:cat>
            <c:strRef>
              <c:f>'Operating Analysis'!$M$1:$AB$1</c:f>
              <c:strCache>
                <c:ptCount val="16"/>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strCache>
            </c:strRef>
          </c:cat>
          <c:val>
            <c:numRef>
              <c:f>'Operating Analysis'!$M$53:$AB$53</c:f>
              <c:numCache>
                <c:formatCode>\$#,##0.00_);[Red]\(\$#,##0.00\)</c:formatCode>
                <c:ptCount val="16"/>
                <c:pt idx="0">
                  <c:v>33.5</c:v>
                </c:pt>
                <c:pt idx="1">
                  <c:v>34.49</c:v>
                </c:pt>
                <c:pt idx="2">
                  <c:v>35.380000000000003</c:v>
                </c:pt>
                <c:pt idx="3">
                  <c:v>37.090000000000003</c:v>
                </c:pt>
                <c:pt idx="4">
                  <c:v>39.49</c:v>
                </c:pt>
                <c:pt idx="5">
                  <c:v>40.04</c:v>
                </c:pt>
                <c:pt idx="6" formatCode="General">
                  <c:v>37.770000000000003</c:v>
                </c:pt>
                <c:pt idx="7">
                  <c:v>39.4</c:v>
                </c:pt>
                <c:pt idx="8">
                  <c:v>40.729999999999997</c:v>
                </c:pt>
                <c:pt idx="9">
                  <c:v>47.01</c:v>
                </c:pt>
                <c:pt idx="10">
                  <c:v>45.01</c:v>
                </c:pt>
                <c:pt idx="11">
                  <c:v>48.96</c:v>
                </c:pt>
                <c:pt idx="12">
                  <c:v>51.59</c:v>
                </c:pt>
                <c:pt idx="13">
                  <c:v>53.11</c:v>
                </c:pt>
                <c:pt idx="14">
                  <c:v>54.18</c:v>
                </c:pt>
                <c:pt idx="15">
                  <c:v>54.59</c:v>
                </c:pt>
              </c:numCache>
            </c:numRef>
          </c:val>
          <c:extLst>
            <c:ext xmlns:c16="http://schemas.microsoft.com/office/drawing/2014/chart" uri="{C3380CC4-5D6E-409C-BE32-E72D297353CC}">
              <c16:uniqueId val="{00000000-0381-9545-B576-337C151EF930}"/>
            </c:ext>
          </c:extLst>
        </c:ser>
        <c:dLbls>
          <c:showLegendKey val="0"/>
          <c:showVal val="0"/>
          <c:showCatName val="0"/>
          <c:showSerName val="0"/>
          <c:showPercent val="0"/>
          <c:showBubbleSize val="0"/>
        </c:dLbls>
        <c:gapWidth val="219"/>
        <c:overlap val="-27"/>
        <c:axId val="534316240"/>
        <c:axId val="534283136"/>
      </c:barChart>
      <c:catAx>
        <c:axId val="53431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34283136"/>
        <c:crosses val="autoZero"/>
        <c:auto val="1"/>
        <c:lblAlgn val="ctr"/>
        <c:lblOffset val="100"/>
        <c:noMultiLvlLbl val="0"/>
      </c:catAx>
      <c:valAx>
        <c:axId val="534283136"/>
        <c:scaling>
          <c:orientation val="minMax"/>
        </c:scaling>
        <c:delete val="0"/>
        <c:axPos val="l"/>
        <c:majorGridlines>
          <c:spPr>
            <a:ln w="9525" cap="flat" cmpd="sng" algn="ctr">
              <a:noFill/>
              <a:round/>
            </a:ln>
            <a:effectLst/>
          </c:spPr>
        </c:majorGridlines>
        <c:numFmt formatCode="\$#,##0.00_);[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3431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spPr>
            <a:solidFill>
              <a:schemeClr val="accent1"/>
            </a:solidFill>
            <a:ln>
              <a:noFill/>
            </a:ln>
            <a:effectLst/>
          </c:spPr>
          <c:invertIfNegative val="0"/>
          <c:cat>
            <c:strRef>
              <c:f>'Operating Analysis'!$B$103:$B$104</c:f>
              <c:strCache>
                <c:ptCount val="2"/>
                <c:pt idx="0">
                  <c:v>Price%(US Mills)</c:v>
                </c:pt>
                <c:pt idx="1">
                  <c:v>Area%(US Mills)</c:v>
                </c:pt>
              </c:strCache>
            </c:strRef>
          </c:cat>
          <c:val>
            <c:numRef>
              <c:f>'Operating Analysis'!$C$103:$C$104</c:f>
              <c:numCache>
                <c:formatCode>0.0%</c:formatCode>
                <c:ptCount val="2"/>
                <c:pt idx="0">
                  <c:v>5.4071525160050538E-2</c:v>
                </c:pt>
                <c:pt idx="1">
                  <c:v>1.5761633230710004E-2</c:v>
                </c:pt>
              </c:numCache>
            </c:numRef>
          </c:val>
          <c:extLst>
            <c:ext xmlns:c16="http://schemas.microsoft.com/office/drawing/2014/chart" uri="{C3380CC4-5D6E-409C-BE32-E72D297353CC}">
              <c16:uniqueId val="{00000000-2327-9F4C-82A6-62DEE308DA5D}"/>
            </c:ext>
          </c:extLst>
        </c:ser>
        <c:dLbls>
          <c:showLegendKey val="0"/>
          <c:showVal val="0"/>
          <c:showCatName val="0"/>
          <c:showSerName val="0"/>
          <c:showPercent val="0"/>
          <c:showBubbleSize val="0"/>
        </c:dLbls>
        <c:gapWidth val="219"/>
        <c:overlap val="-27"/>
        <c:axId val="1669718000"/>
        <c:axId val="2052169952"/>
      </c:barChart>
      <c:catAx>
        <c:axId val="166971800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52169952"/>
        <c:crosses val="autoZero"/>
        <c:auto val="1"/>
        <c:lblAlgn val="ctr"/>
        <c:lblOffset val="100"/>
        <c:noMultiLvlLbl val="0"/>
      </c:catAx>
      <c:valAx>
        <c:axId val="2052169952"/>
        <c:scaling>
          <c:orientation val="minMax"/>
        </c:scaling>
        <c:delete val="0"/>
        <c:axPos val="r"/>
        <c:majorGridlines>
          <c:spPr>
            <a:ln w="9525" cap="flat" cmpd="sng" algn="ctr">
              <a:no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69718000"/>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'Operating Analysis'!$A$57</c:f>
              <c:strCache>
                <c:ptCount val="1"/>
                <c:pt idx="0">
                  <c:v>Implied Space Occupied by Anchors</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2E4-7F48-AE1E-EF750BC7A45D}"/>
                </c:ext>
              </c:extLst>
            </c:dLbl>
            <c:dLbl>
              <c:idx val="1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2E4-7F48-AE1E-EF750BC7A4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'Operating Analysis'!$M$1:$AB$1</c:f>
              <c:strCache>
                <c:ptCount val="16"/>
                <c:pt idx="0">
                  <c:v>2004 FY</c:v>
                </c:pt>
                <c:pt idx="1">
                  <c:v>2005 FY</c:v>
                </c:pt>
                <c:pt idx="2">
                  <c:v>2006 FY</c:v>
                </c:pt>
                <c:pt idx="3">
                  <c:v>2007 FY</c:v>
                </c:pt>
                <c:pt idx="4">
                  <c:v>2008 FY</c:v>
                </c:pt>
                <c:pt idx="5">
                  <c:v>2009 FY</c:v>
                </c:pt>
                <c:pt idx="6">
                  <c:v>2010 FY</c:v>
                </c:pt>
                <c:pt idx="7">
                  <c:v>2011 FY</c:v>
                </c:pt>
                <c:pt idx="8">
                  <c:v>2012 FY</c:v>
                </c:pt>
                <c:pt idx="9">
                  <c:v>2013 FY</c:v>
                </c:pt>
                <c:pt idx="10">
                  <c:v>2014 FY</c:v>
                </c:pt>
                <c:pt idx="11">
                  <c:v>2015 FY</c:v>
                </c:pt>
                <c:pt idx="12">
                  <c:v>2016 FY</c:v>
                </c:pt>
                <c:pt idx="13">
                  <c:v>2017 FY</c:v>
                </c:pt>
                <c:pt idx="14">
                  <c:v>2018 FY</c:v>
                </c:pt>
                <c:pt idx="15">
                  <c:v>2019 FY</c:v>
                </c:pt>
              </c:strCache>
            </c:strRef>
          </c:cat>
          <c:val>
            <c:numRef>
              <c:f>'Operating Analysis'!$M$57:$AB$57</c:f>
              <c:numCache>
                <c:formatCode>0.00%</c:formatCode>
                <c:ptCount val="16"/>
                <c:pt idx="0">
                  <c:v>0.56692081837988495</c:v>
                </c:pt>
                <c:pt idx="1">
                  <c:v>0.49195646921815239</c:v>
                </c:pt>
                <c:pt idx="2">
                  <c:v>0.48476824147770037</c:v>
                </c:pt>
                <c:pt idx="3">
                  <c:v>0.47034328428645378</c:v>
                </c:pt>
                <c:pt idx="4">
                  <c:v>0.46936396742817177</c:v>
                </c:pt>
                <c:pt idx="5">
                  <c:v>0.46959941635284697</c:v>
                </c:pt>
                <c:pt idx="6">
                  <c:v>0.44335927827885158</c:v>
                </c:pt>
                <c:pt idx="7">
                  <c:v>0.39147216946839603</c:v>
                </c:pt>
                <c:pt idx="8">
                  <c:v>0.38279177420536026</c:v>
                </c:pt>
                <c:pt idx="9">
                  <c:v>0.30011343385911504</c:v>
                </c:pt>
                <c:pt idx="10">
                  <c:v>0.31556704313129091</c:v>
                </c:pt>
                <c:pt idx="11">
                  <c:v>0.33701110687378533</c:v>
                </c:pt>
                <c:pt idx="12">
                  <c:v>0.33935217415461916</c:v>
                </c:pt>
                <c:pt idx="13">
                  <c:v>0.33404380978958148</c:v>
                </c:pt>
                <c:pt idx="14">
                  <c:v>0.34339029035924362</c:v>
                </c:pt>
                <c:pt idx="15">
                  <c:v>0.32796618591144822</c:v>
                </c:pt>
              </c:numCache>
            </c:numRef>
          </c:val>
          <c:extLst>
            <c:ext xmlns:c16="http://schemas.microsoft.com/office/drawing/2014/chart" uri="{C3380CC4-5D6E-409C-BE32-E72D297353CC}">
              <c16:uniqueId val="{00000002-42E4-7F48-AE1E-EF750BC7A45D}"/>
            </c:ext>
          </c:extLst>
        </c:ser>
        <c:dLbls>
          <c:showLegendKey val="0"/>
          <c:showVal val="0"/>
          <c:showCatName val="0"/>
          <c:showSerName val="0"/>
          <c:showPercent val="0"/>
          <c:showBubbleSize val="0"/>
        </c:dLbls>
        <c:gapWidth val="219"/>
        <c:overlap val="-27"/>
        <c:axId val="733048912"/>
        <c:axId val="588345904"/>
      </c:barChart>
      <c:catAx>
        <c:axId val="73304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88345904"/>
        <c:crosses val="autoZero"/>
        <c:auto val="1"/>
        <c:lblAlgn val="ctr"/>
        <c:lblOffset val="100"/>
        <c:noMultiLvlLbl val="0"/>
      </c:catAx>
      <c:valAx>
        <c:axId val="588345904"/>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304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extLst/>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18" Type="http://schemas.openxmlformats.org/officeDocument/2006/relationships/chart" Target="../charts/chart19.xml"/><Relationship Id="rId26" Type="http://schemas.openxmlformats.org/officeDocument/2006/relationships/image" Target="../media/image2.png"/><Relationship Id="rId3" Type="http://schemas.openxmlformats.org/officeDocument/2006/relationships/chart" Target="../charts/chart4.xml"/><Relationship Id="rId21" Type="http://schemas.openxmlformats.org/officeDocument/2006/relationships/chart" Target="../charts/chart22.xml"/><Relationship Id="rId7" Type="http://schemas.openxmlformats.org/officeDocument/2006/relationships/chart" Target="../charts/chart8.xml"/><Relationship Id="rId12" Type="http://schemas.openxmlformats.org/officeDocument/2006/relationships/chart" Target="../charts/chart13.xml"/><Relationship Id="rId17" Type="http://schemas.openxmlformats.org/officeDocument/2006/relationships/chart" Target="../charts/chart18.xml"/><Relationship Id="rId25" Type="http://schemas.openxmlformats.org/officeDocument/2006/relationships/chart" Target="../charts/chart26.xml"/><Relationship Id="rId2" Type="http://schemas.openxmlformats.org/officeDocument/2006/relationships/chart" Target="../charts/chart3.xml"/><Relationship Id="rId16" Type="http://schemas.openxmlformats.org/officeDocument/2006/relationships/chart" Target="../charts/chart17.xml"/><Relationship Id="rId20" Type="http://schemas.openxmlformats.org/officeDocument/2006/relationships/chart" Target="../charts/chart21.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24" Type="http://schemas.openxmlformats.org/officeDocument/2006/relationships/chart" Target="../charts/chart25.xml"/><Relationship Id="rId5" Type="http://schemas.openxmlformats.org/officeDocument/2006/relationships/chart" Target="../charts/chart6.xml"/><Relationship Id="rId15" Type="http://schemas.openxmlformats.org/officeDocument/2006/relationships/chart" Target="../charts/chart16.xml"/><Relationship Id="rId23" Type="http://schemas.openxmlformats.org/officeDocument/2006/relationships/chart" Target="../charts/chart24.xml"/><Relationship Id="rId10" Type="http://schemas.openxmlformats.org/officeDocument/2006/relationships/chart" Target="../charts/chart11.xml"/><Relationship Id="rId19" Type="http://schemas.openxmlformats.org/officeDocument/2006/relationships/chart" Target="../charts/chart20.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chart" Target="../charts/chart15.xml"/><Relationship Id="rId22" Type="http://schemas.openxmlformats.org/officeDocument/2006/relationships/chart" Target="../charts/chart23.xml"/><Relationship Id="rId27"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203200</xdr:colOff>
      <xdr:row>231</xdr:row>
      <xdr:rowOff>12700</xdr:rowOff>
    </xdr:from>
    <xdr:to>
      <xdr:col>0</xdr:col>
      <xdr:colOff>1943100</xdr:colOff>
      <xdr:row>233</xdr:row>
      <xdr:rowOff>3175</xdr:rowOff>
    </xdr:to>
    <xdr:pic>
      <xdr:nvPicPr>
        <xdr:cNvPr id="2" name="Picture 1">
          <a:extLst>
            <a:ext uri="{FF2B5EF4-FFF2-40B4-BE49-F238E27FC236}">
              <a16:creationId xmlns:a16="http://schemas.microsoft.com/office/drawing/2014/main" id="{B64948AC-E566-5C4E-AD5B-61E71A2C1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35</xdr:col>
      <xdr:colOff>359834</xdr:colOff>
      <xdr:row>0</xdr:row>
      <xdr:rowOff>91017</xdr:rowOff>
    </xdr:from>
    <xdr:to>
      <xdr:col>41</xdr:col>
      <xdr:colOff>58209</xdr:colOff>
      <xdr:row>13</xdr:row>
      <xdr:rowOff>136525</xdr:rowOff>
    </xdr:to>
    <xdr:graphicFrame macro="">
      <xdr:nvGraphicFramePr>
        <xdr:cNvPr id="6" name="Chart 4">
          <a:extLst>
            <a:ext uri="{FF2B5EF4-FFF2-40B4-BE49-F238E27FC236}">
              <a16:creationId xmlns:a16="http://schemas.microsoft.com/office/drawing/2014/main" id="{AB339788-5000-5345-9CD0-03BA4D55F0D4}"/>
            </a:ext>
            <a:ext uri="{147F2762-F138-4A5C-976F-8EAC2B608ADB}">
              <a16:predDERef xmlns:a16="http://schemas.microsoft.com/office/drawing/2014/main" pred="{B64948AC-E566-5C4E-AD5B-61E71A2C1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xdr:row>
      <xdr:rowOff>57150</xdr:rowOff>
    </xdr:from>
    <xdr:to>
      <xdr:col>5</xdr:col>
      <xdr:colOff>628650</xdr:colOff>
      <xdr:row>18</xdr:row>
      <xdr:rowOff>142875</xdr:rowOff>
    </xdr:to>
    <xdr:graphicFrame macro="">
      <xdr:nvGraphicFramePr>
        <xdr:cNvPr id="2" name="Chart 1">
          <a:extLst>
            <a:ext uri="{FF2B5EF4-FFF2-40B4-BE49-F238E27FC236}">
              <a16:creationId xmlns:a16="http://schemas.microsoft.com/office/drawing/2014/main" id="{9CA3900B-05A6-8440-A2F1-5CA64313D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180975</xdr:colOff>
      <xdr:row>19</xdr:row>
      <xdr:rowOff>171450</xdr:rowOff>
    </xdr:from>
    <xdr:to>
      <xdr:col>5</xdr:col>
      <xdr:colOff>676275</xdr:colOff>
      <xdr:row>33</xdr:row>
      <xdr:rowOff>133350</xdr:rowOff>
    </xdr:to>
    <xdr:graphicFrame macro="">
      <xdr:nvGraphicFramePr>
        <xdr:cNvPr id="3" name="Chart 2">
          <a:extLst>
            <a:ext uri="{FF2B5EF4-FFF2-40B4-BE49-F238E27FC236}">
              <a16:creationId xmlns:a16="http://schemas.microsoft.com/office/drawing/2014/main" id="{E0DD22D4-7B6F-CF4A-9E83-20C2B589E4B8}"/>
            </a:ext>
            <a:ext uri="{147F2762-F138-4A5C-976F-8EAC2B608ADB}">
              <a16:predDERef xmlns:a16="http://schemas.microsoft.com/office/drawing/2014/main" pred="{9CA3900B-05A6-8440-A2F1-5CA64313D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723900</xdr:colOff>
      <xdr:row>1</xdr:row>
      <xdr:rowOff>0</xdr:rowOff>
    </xdr:from>
    <xdr:to>
      <xdr:col>11</xdr:col>
      <xdr:colOff>409575</xdr:colOff>
      <xdr:row>17</xdr:row>
      <xdr:rowOff>171450</xdr:rowOff>
    </xdr:to>
    <xdr:graphicFrame macro="">
      <xdr:nvGraphicFramePr>
        <xdr:cNvPr id="4" name="Chart 3">
          <a:extLst>
            <a:ext uri="{FF2B5EF4-FFF2-40B4-BE49-F238E27FC236}">
              <a16:creationId xmlns:a16="http://schemas.microsoft.com/office/drawing/2014/main" id="{E1A4AF13-CD40-8D4E-8B50-876281BF2AA3}"/>
            </a:ext>
            <a:ext uri="{147F2762-F138-4A5C-976F-8EAC2B608ADB}">
              <a16:predDERef xmlns:a16="http://schemas.microsoft.com/office/drawing/2014/main" pred="{E0DD22D4-7B6F-CF4A-9E83-20C2B589E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123825</xdr:colOff>
      <xdr:row>18</xdr:row>
      <xdr:rowOff>161925</xdr:rowOff>
    </xdr:from>
    <xdr:to>
      <xdr:col>11</xdr:col>
      <xdr:colOff>485775</xdr:colOff>
      <xdr:row>33</xdr:row>
      <xdr:rowOff>123825</xdr:rowOff>
    </xdr:to>
    <xdr:graphicFrame macro="">
      <xdr:nvGraphicFramePr>
        <xdr:cNvPr id="5" name="Chart 4">
          <a:extLst>
            <a:ext uri="{FF2B5EF4-FFF2-40B4-BE49-F238E27FC236}">
              <a16:creationId xmlns:a16="http://schemas.microsoft.com/office/drawing/2014/main" id="{8AF17784-4043-014A-9C3D-33CCB2B5C271}"/>
            </a:ext>
            <a:ext uri="{147F2762-F138-4A5C-976F-8EAC2B608ADB}">
              <a16:predDERef xmlns:a16="http://schemas.microsoft.com/office/drawing/2014/main" pred="{E1A4AF13-CD40-8D4E-8B50-876281BF2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457200</xdr:colOff>
      <xdr:row>0</xdr:row>
      <xdr:rowOff>85725</xdr:rowOff>
    </xdr:from>
    <xdr:to>
      <xdr:col>17</xdr:col>
      <xdr:colOff>409575</xdr:colOff>
      <xdr:row>16</xdr:row>
      <xdr:rowOff>161925</xdr:rowOff>
    </xdr:to>
    <xdr:graphicFrame macro="">
      <xdr:nvGraphicFramePr>
        <xdr:cNvPr id="6" name="Chart 5">
          <a:extLst>
            <a:ext uri="{FF2B5EF4-FFF2-40B4-BE49-F238E27FC236}">
              <a16:creationId xmlns:a16="http://schemas.microsoft.com/office/drawing/2014/main" id="{0E098A6C-3B3E-2A4D-9E7C-69AEAE165CC0}"/>
            </a:ext>
            <a:ext uri="{147F2762-F138-4A5C-976F-8EAC2B608ADB}">
              <a16:predDERef xmlns:a16="http://schemas.microsoft.com/office/drawing/2014/main" pred="{8AF17784-4043-014A-9C3D-33CCB2B5C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570522</xdr:colOff>
      <xdr:row>18</xdr:row>
      <xdr:rowOff>58859</xdr:rowOff>
    </xdr:from>
    <xdr:to>
      <xdr:col>17</xdr:col>
      <xdr:colOff>180974</xdr:colOff>
      <xdr:row>32</xdr:row>
      <xdr:rowOff>66675</xdr:rowOff>
    </xdr:to>
    <xdr:graphicFrame macro="">
      <xdr:nvGraphicFramePr>
        <xdr:cNvPr id="7" name="Chart 6">
          <a:extLst>
            <a:ext uri="{FF2B5EF4-FFF2-40B4-BE49-F238E27FC236}">
              <a16:creationId xmlns:a16="http://schemas.microsoft.com/office/drawing/2014/main" id="{DE2E9C18-C818-C342-8D66-59F7941C1DB3}"/>
            </a:ext>
            <a:ext uri="{147F2762-F138-4A5C-976F-8EAC2B608ADB}">
              <a16:predDERef xmlns:a16="http://schemas.microsoft.com/office/drawing/2014/main" pred="{0E098A6C-3B3E-2A4D-9E7C-69AEAE165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381000</xdr:colOff>
      <xdr:row>33</xdr:row>
      <xdr:rowOff>142875</xdr:rowOff>
    </xdr:from>
    <xdr:to>
      <xdr:col>15</xdr:col>
      <xdr:colOff>781050</xdr:colOff>
      <xdr:row>44</xdr:row>
      <xdr:rowOff>76200</xdr:rowOff>
    </xdr:to>
    <xdr:graphicFrame macro="">
      <xdr:nvGraphicFramePr>
        <xdr:cNvPr id="8" name="Chart 7">
          <a:extLst>
            <a:ext uri="{FF2B5EF4-FFF2-40B4-BE49-F238E27FC236}">
              <a16:creationId xmlns:a16="http://schemas.microsoft.com/office/drawing/2014/main" id="{E7F1CD25-D885-174F-9221-9DE915680A9B}"/>
            </a:ext>
            <a:ext uri="{147F2762-F138-4A5C-976F-8EAC2B608ADB}">
              <a16:predDERef xmlns:a16="http://schemas.microsoft.com/office/drawing/2014/main" pred="{DE2E9C18-C818-C342-8D66-59F7941C1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34</xdr:row>
      <xdr:rowOff>9525</xdr:rowOff>
    </xdr:from>
    <xdr:to>
      <xdr:col>5</xdr:col>
      <xdr:colOff>485775</xdr:colOff>
      <xdr:row>45</xdr:row>
      <xdr:rowOff>28575</xdr:rowOff>
    </xdr:to>
    <xdr:graphicFrame macro="">
      <xdr:nvGraphicFramePr>
        <xdr:cNvPr id="9" name="Chart 8">
          <a:extLst>
            <a:ext uri="{FF2B5EF4-FFF2-40B4-BE49-F238E27FC236}">
              <a16:creationId xmlns:a16="http://schemas.microsoft.com/office/drawing/2014/main" id="{360D3E70-9074-1641-9CC1-AA11A5BE0E05}"/>
            </a:ext>
            <a:ext uri="{147F2762-F138-4A5C-976F-8EAC2B608ADB}">
              <a16:predDERef xmlns:a16="http://schemas.microsoft.com/office/drawing/2014/main" pred="{E7F1CD25-D885-174F-9221-9DE915680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514350</xdr:colOff>
      <xdr:row>35</xdr:row>
      <xdr:rowOff>123825</xdr:rowOff>
    </xdr:from>
    <xdr:to>
      <xdr:col>10</xdr:col>
      <xdr:colOff>314325</xdr:colOff>
      <xdr:row>44</xdr:row>
      <xdr:rowOff>152400</xdr:rowOff>
    </xdr:to>
    <xdr:graphicFrame macro="">
      <xdr:nvGraphicFramePr>
        <xdr:cNvPr id="10" name="Chart 9">
          <a:extLst>
            <a:ext uri="{FF2B5EF4-FFF2-40B4-BE49-F238E27FC236}">
              <a16:creationId xmlns:a16="http://schemas.microsoft.com/office/drawing/2014/main" id="{63305FC0-D831-904B-924E-4148E85E29F6}"/>
            </a:ext>
            <a:ext uri="{147F2762-F138-4A5C-976F-8EAC2B608ADB}">
              <a16:predDERef xmlns:a16="http://schemas.microsoft.com/office/drawing/2014/main" pred="{360D3E70-9074-1641-9CC1-AA11A5BE0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400050</xdr:colOff>
      <xdr:row>43</xdr:row>
      <xdr:rowOff>180975</xdr:rowOff>
    </xdr:from>
    <xdr:to>
      <xdr:col>11</xdr:col>
      <xdr:colOff>10502</xdr:colOff>
      <xdr:row>57</xdr:row>
      <xdr:rowOff>188790</xdr:rowOff>
    </xdr:to>
    <xdr:graphicFrame macro="">
      <xdr:nvGraphicFramePr>
        <xdr:cNvPr id="11" name="Chart 10">
          <a:extLst>
            <a:ext uri="{FF2B5EF4-FFF2-40B4-BE49-F238E27FC236}">
              <a16:creationId xmlns:a16="http://schemas.microsoft.com/office/drawing/2014/main" id="{132B3468-B041-124E-8629-58FAA60B9D6A}"/>
            </a:ext>
            <a:ext uri="{147F2762-F138-4A5C-976F-8EAC2B608ADB}">
              <a16:predDERef xmlns:a16="http://schemas.microsoft.com/office/drawing/2014/main" pred="{63305FC0-D831-904B-924E-4148E85E2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19050</xdr:colOff>
      <xdr:row>44</xdr:row>
      <xdr:rowOff>133350</xdr:rowOff>
    </xdr:from>
    <xdr:to>
      <xdr:col>16</xdr:col>
      <xdr:colOff>439127</xdr:colOff>
      <xdr:row>58</xdr:row>
      <xdr:rowOff>141165</xdr:rowOff>
    </xdr:to>
    <xdr:graphicFrame macro="">
      <xdr:nvGraphicFramePr>
        <xdr:cNvPr id="12" name="Chart 11">
          <a:extLst>
            <a:ext uri="{FF2B5EF4-FFF2-40B4-BE49-F238E27FC236}">
              <a16:creationId xmlns:a16="http://schemas.microsoft.com/office/drawing/2014/main" id="{EF938B6C-C70C-8944-9AF0-4434ED1778A3}"/>
            </a:ext>
            <a:ext uri="{147F2762-F138-4A5C-976F-8EAC2B608ADB}">
              <a16:predDERef xmlns:a16="http://schemas.microsoft.com/office/drawing/2014/main" pred="{132B3468-B041-124E-8629-58FAA60B9D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28575</xdr:colOff>
      <xdr:row>45</xdr:row>
      <xdr:rowOff>104775</xdr:rowOff>
    </xdr:from>
    <xdr:to>
      <xdr:col>5</xdr:col>
      <xdr:colOff>361950</xdr:colOff>
      <xdr:row>57</xdr:row>
      <xdr:rowOff>161925</xdr:rowOff>
    </xdr:to>
    <xdr:graphicFrame macro="">
      <xdr:nvGraphicFramePr>
        <xdr:cNvPr id="13" name="Chart 12">
          <a:extLst>
            <a:ext uri="{FF2B5EF4-FFF2-40B4-BE49-F238E27FC236}">
              <a16:creationId xmlns:a16="http://schemas.microsoft.com/office/drawing/2014/main" id="{67DEFD6D-B14D-4307-91EF-0D89F81DB04D}"/>
            </a:ext>
            <a:ext uri="{147F2762-F138-4A5C-976F-8EAC2B608ADB}">
              <a16:predDERef xmlns:a16="http://schemas.microsoft.com/office/drawing/2014/main" pred="{EF938B6C-C70C-8944-9AF0-4434ED177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523875</xdr:colOff>
      <xdr:row>59</xdr:row>
      <xdr:rowOff>47625</xdr:rowOff>
    </xdr:from>
    <xdr:to>
      <xdr:col>11</xdr:col>
      <xdr:colOff>232020</xdr:colOff>
      <xdr:row>73</xdr:row>
      <xdr:rowOff>55441</xdr:rowOff>
    </xdr:to>
    <xdr:graphicFrame macro="">
      <xdr:nvGraphicFramePr>
        <xdr:cNvPr id="14" name="Chart 13">
          <a:extLst>
            <a:ext uri="{FF2B5EF4-FFF2-40B4-BE49-F238E27FC236}">
              <a16:creationId xmlns:a16="http://schemas.microsoft.com/office/drawing/2014/main" id="{7ED3C55B-3AB2-234F-A220-C87DE8B6279B}"/>
            </a:ext>
            <a:ext uri="{147F2762-F138-4A5C-976F-8EAC2B608ADB}">
              <a16:predDERef xmlns:a16="http://schemas.microsoft.com/office/drawing/2014/main" pred="{67DEFD6D-B14D-4307-91EF-0D89F81DB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247650</xdr:colOff>
      <xdr:row>59</xdr:row>
      <xdr:rowOff>76200</xdr:rowOff>
    </xdr:from>
    <xdr:to>
      <xdr:col>16</xdr:col>
      <xdr:colOff>714375</xdr:colOff>
      <xdr:row>73</xdr:row>
      <xdr:rowOff>47625</xdr:rowOff>
    </xdr:to>
    <xdr:graphicFrame macro="">
      <xdr:nvGraphicFramePr>
        <xdr:cNvPr id="15" name="Chart 14">
          <a:extLst>
            <a:ext uri="{FF2B5EF4-FFF2-40B4-BE49-F238E27FC236}">
              <a16:creationId xmlns:a16="http://schemas.microsoft.com/office/drawing/2014/main" id="{1809F9CC-8F11-DF4E-866A-5F1B9AF5E968}"/>
            </a:ext>
            <a:ext uri="{147F2762-F138-4A5C-976F-8EAC2B608ADB}">
              <a16:predDERef xmlns:a16="http://schemas.microsoft.com/office/drawing/2014/main" pred="{7ED3C55B-3AB2-234F-A220-C87DE8B6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59</xdr:row>
      <xdr:rowOff>47625</xdr:rowOff>
    </xdr:from>
    <xdr:to>
      <xdr:col>5</xdr:col>
      <xdr:colOff>517769</xdr:colOff>
      <xdr:row>73</xdr:row>
      <xdr:rowOff>55440</xdr:rowOff>
    </xdr:to>
    <xdr:graphicFrame macro="">
      <xdr:nvGraphicFramePr>
        <xdr:cNvPr id="16" name="Chart 15">
          <a:extLst>
            <a:ext uri="{FF2B5EF4-FFF2-40B4-BE49-F238E27FC236}">
              <a16:creationId xmlns:a16="http://schemas.microsoft.com/office/drawing/2014/main" id="{7094C8B1-646C-644F-A330-E0DD979324FC}"/>
            </a:ext>
            <a:ext uri="{147F2762-F138-4A5C-976F-8EAC2B608ADB}">
              <a16:predDERef xmlns:a16="http://schemas.microsoft.com/office/drawing/2014/main" pred="{1809F9CC-8F11-DF4E-866A-5F1B9AF5E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685800</xdr:colOff>
      <xdr:row>75</xdr:row>
      <xdr:rowOff>0</xdr:rowOff>
    </xdr:from>
    <xdr:to>
      <xdr:col>11</xdr:col>
      <xdr:colOff>393945</xdr:colOff>
      <xdr:row>89</xdr:row>
      <xdr:rowOff>7816</xdr:rowOff>
    </xdr:to>
    <xdr:graphicFrame macro="">
      <xdr:nvGraphicFramePr>
        <xdr:cNvPr id="17" name="Chart 16">
          <a:extLst>
            <a:ext uri="{FF2B5EF4-FFF2-40B4-BE49-F238E27FC236}">
              <a16:creationId xmlns:a16="http://schemas.microsoft.com/office/drawing/2014/main" id="{02D2BE8B-5CDB-A049-BC13-D8BBCB54685B}"/>
            </a:ext>
            <a:ext uri="{147F2762-F138-4A5C-976F-8EAC2B608ADB}">
              <a16:predDERef xmlns:a16="http://schemas.microsoft.com/office/drawing/2014/main" pred="{7094C8B1-646C-644F-A330-E0DD97932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38100</xdr:colOff>
      <xdr:row>74</xdr:row>
      <xdr:rowOff>133350</xdr:rowOff>
    </xdr:from>
    <xdr:to>
      <xdr:col>5</xdr:col>
      <xdr:colOff>555869</xdr:colOff>
      <xdr:row>88</xdr:row>
      <xdr:rowOff>141165</xdr:rowOff>
    </xdr:to>
    <xdr:graphicFrame macro="">
      <xdr:nvGraphicFramePr>
        <xdr:cNvPr id="18" name="Chart 17">
          <a:extLst>
            <a:ext uri="{FF2B5EF4-FFF2-40B4-BE49-F238E27FC236}">
              <a16:creationId xmlns:a16="http://schemas.microsoft.com/office/drawing/2014/main" id="{3DBE3982-81A1-0749-ACAD-EB2F26394F2A}"/>
            </a:ext>
            <a:ext uri="{147F2762-F138-4A5C-976F-8EAC2B608ADB}">
              <a16:predDERef xmlns:a16="http://schemas.microsoft.com/office/drawing/2014/main" pred="{02D2BE8B-5CDB-A049-BC13-D8BBCB546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714375</xdr:colOff>
      <xdr:row>89</xdr:row>
      <xdr:rowOff>152400</xdr:rowOff>
    </xdr:from>
    <xdr:to>
      <xdr:col>11</xdr:col>
      <xdr:colOff>422519</xdr:colOff>
      <xdr:row>103</xdr:row>
      <xdr:rowOff>160215</xdr:rowOff>
    </xdr:to>
    <xdr:graphicFrame macro="">
      <xdr:nvGraphicFramePr>
        <xdr:cNvPr id="19" name="Chart 18">
          <a:extLst>
            <a:ext uri="{FF2B5EF4-FFF2-40B4-BE49-F238E27FC236}">
              <a16:creationId xmlns:a16="http://schemas.microsoft.com/office/drawing/2014/main" id="{9DD5DE8F-AC12-0441-91EC-2631481EE1E8}"/>
            </a:ext>
            <a:ext uri="{147F2762-F138-4A5C-976F-8EAC2B608ADB}">
              <a16:predDERef xmlns:a16="http://schemas.microsoft.com/office/drawing/2014/main" pred="{3DBE3982-81A1-0749-ACAD-EB2F26394F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495300</xdr:colOff>
      <xdr:row>89</xdr:row>
      <xdr:rowOff>161925</xdr:rowOff>
    </xdr:from>
    <xdr:to>
      <xdr:col>17</xdr:col>
      <xdr:colOff>203444</xdr:colOff>
      <xdr:row>103</xdr:row>
      <xdr:rowOff>169740</xdr:rowOff>
    </xdr:to>
    <xdr:graphicFrame macro="">
      <xdr:nvGraphicFramePr>
        <xdr:cNvPr id="20" name="Chart 19">
          <a:extLst>
            <a:ext uri="{FF2B5EF4-FFF2-40B4-BE49-F238E27FC236}">
              <a16:creationId xmlns:a16="http://schemas.microsoft.com/office/drawing/2014/main" id="{5029EFF1-2A11-2942-87FE-56CD9FC3F7A1}"/>
            </a:ext>
            <a:ext uri="{147F2762-F138-4A5C-976F-8EAC2B608ADB}">
              <a16:predDERef xmlns:a16="http://schemas.microsoft.com/office/drawing/2014/main" pred="{9DD5DE8F-AC12-0441-91EC-2631481EE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0</xdr:colOff>
      <xdr:row>105</xdr:row>
      <xdr:rowOff>0</xdr:rowOff>
    </xdr:from>
    <xdr:to>
      <xdr:col>5</xdr:col>
      <xdr:colOff>517769</xdr:colOff>
      <xdr:row>119</xdr:row>
      <xdr:rowOff>7816</xdr:rowOff>
    </xdr:to>
    <xdr:graphicFrame macro="">
      <xdr:nvGraphicFramePr>
        <xdr:cNvPr id="21" name="Chart 20">
          <a:extLst>
            <a:ext uri="{FF2B5EF4-FFF2-40B4-BE49-F238E27FC236}">
              <a16:creationId xmlns:a16="http://schemas.microsoft.com/office/drawing/2014/main" id="{42CDD535-1DE4-A04B-A576-22DCBD5DCB47}"/>
            </a:ext>
            <a:ext uri="{147F2762-F138-4A5C-976F-8EAC2B608ADB}">
              <a16:predDERef xmlns:a16="http://schemas.microsoft.com/office/drawing/2014/main" pred="{5029EFF1-2A11-2942-87FE-56CD9FC3F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xdr:col>
      <xdr:colOff>0</xdr:colOff>
      <xdr:row>105</xdr:row>
      <xdr:rowOff>0</xdr:rowOff>
    </xdr:from>
    <xdr:to>
      <xdr:col>11</xdr:col>
      <xdr:colOff>517769</xdr:colOff>
      <xdr:row>119</xdr:row>
      <xdr:rowOff>7816</xdr:rowOff>
    </xdr:to>
    <xdr:graphicFrame macro="">
      <xdr:nvGraphicFramePr>
        <xdr:cNvPr id="22" name="Chart 21">
          <a:extLst>
            <a:ext uri="{FF2B5EF4-FFF2-40B4-BE49-F238E27FC236}">
              <a16:creationId xmlns:a16="http://schemas.microsoft.com/office/drawing/2014/main" id="{B9D3D2EE-FA7F-E649-8CB0-8D3443ACEAF3}"/>
            </a:ext>
            <a:ext uri="{147F2762-F138-4A5C-976F-8EAC2B608ADB}">
              <a16:predDERef xmlns:a16="http://schemas.microsoft.com/office/drawing/2014/main" pred="{42CDD535-1DE4-A04B-A576-22DCBD5DC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0</xdr:colOff>
      <xdr:row>121</xdr:row>
      <xdr:rowOff>0</xdr:rowOff>
    </xdr:from>
    <xdr:to>
      <xdr:col>5</xdr:col>
      <xdr:colOff>517769</xdr:colOff>
      <xdr:row>135</xdr:row>
      <xdr:rowOff>7816</xdr:rowOff>
    </xdr:to>
    <xdr:graphicFrame macro="">
      <xdr:nvGraphicFramePr>
        <xdr:cNvPr id="23" name="Chart 22">
          <a:extLst>
            <a:ext uri="{FF2B5EF4-FFF2-40B4-BE49-F238E27FC236}">
              <a16:creationId xmlns:a16="http://schemas.microsoft.com/office/drawing/2014/main" id="{E726CF8A-F798-F84B-8943-367D32CAB1B4}"/>
            </a:ext>
            <a:ext uri="{147F2762-F138-4A5C-976F-8EAC2B608ADB}">
              <a16:predDERef xmlns:a16="http://schemas.microsoft.com/office/drawing/2014/main" pred="{B9D3D2EE-FA7F-E649-8CB0-8D3443ACE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6</xdr:col>
      <xdr:colOff>0</xdr:colOff>
      <xdr:row>121</xdr:row>
      <xdr:rowOff>0</xdr:rowOff>
    </xdr:from>
    <xdr:to>
      <xdr:col>11</xdr:col>
      <xdr:colOff>517769</xdr:colOff>
      <xdr:row>135</xdr:row>
      <xdr:rowOff>7816</xdr:rowOff>
    </xdr:to>
    <xdr:graphicFrame macro="">
      <xdr:nvGraphicFramePr>
        <xdr:cNvPr id="24" name="Chart 23">
          <a:extLst>
            <a:ext uri="{FF2B5EF4-FFF2-40B4-BE49-F238E27FC236}">
              <a16:creationId xmlns:a16="http://schemas.microsoft.com/office/drawing/2014/main" id="{10451450-5803-5345-98D6-FA4CE9E75E68}"/>
            </a:ext>
            <a:ext uri="{147F2762-F138-4A5C-976F-8EAC2B608ADB}">
              <a16:predDERef xmlns:a16="http://schemas.microsoft.com/office/drawing/2014/main" pred="{E726CF8A-F798-F84B-8943-367D32CAB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12</xdr:col>
      <xdr:colOff>0</xdr:colOff>
      <xdr:row>105</xdr:row>
      <xdr:rowOff>0</xdr:rowOff>
    </xdr:from>
    <xdr:to>
      <xdr:col>17</xdr:col>
      <xdr:colOff>517769</xdr:colOff>
      <xdr:row>119</xdr:row>
      <xdr:rowOff>7816</xdr:rowOff>
    </xdr:to>
    <xdr:graphicFrame macro="">
      <xdr:nvGraphicFramePr>
        <xdr:cNvPr id="25" name="Chart 24">
          <a:extLst>
            <a:ext uri="{FF2B5EF4-FFF2-40B4-BE49-F238E27FC236}">
              <a16:creationId xmlns:a16="http://schemas.microsoft.com/office/drawing/2014/main" id="{607BC3BA-3084-2D47-84A8-E86A606376CA}"/>
            </a:ext>
            <a:ext uri="{147F2762-F138-4A5C-976F-8EAC2B608ADB}">
              <a16:predDERef xmlns:a16="http://schemas.microsoft.com/office/drawing/2014/main" pred="{10451450-5803-5345-98D6-FA4CE9E75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12</xdr:col>
      <xdr:colOff>0</xdr:colOff>
      <xdr:row>120</xdr:row>
      <xdr:rowOff>0</xdr:rowOff>
    </xdr:from>
    <xdr:to>
      <xdr:col>17</xdr:col>
      <xdr:colOff>517769</xdr:colOff>
      <xdr:row>134</xdr:row>
      <xdr:rowOff>7815</xdr:rowOff>
    </xdr:to>
    <xdr:graphicFrame macro="">
      <xdr:nvGraphicFramePr>
        <xdr:cNvPr id="26" name="Chart 25">
          <a:extLst>
            <a:ext uri="{FF2B5EF4-FFF2-40B4-BE49-F238E27FC236}">
              <a16:creationId xmlns:a16="http://schemas.microsoft.com/office/drawing/2014/main" id="{6F1F174F-D4CB-744B-A660-BDD2074FE05E}"/>
            </a:ext>
            <a:ext uri="{147F2762-F138-4A5C-976F-8EAC2B608ADB}">
              <a16:predDERef xmlns:a16="http://schemas.microsoft.com/office/drawing/2014/main" pred="{607BC3BA-3084-2D47-84A8-E86A60637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oneCell">
    <xdr:from>
      <xdr:col>0</xdr:col>
      <xdr:colOff>457200</xdr:colOff>
      <xdr:row>136</xdr:row>
      <xdr:rowOff>76200</xdr:rowOff>
    </xdr:from>
    <xdr:to>
      <xdr:col>6</xdr:col>
      <xdr:colOff>171450</xdr:colOff>
      <xdr:row>150</xdr:row>
      <xdr:rowOff>161925</xdr:rowOff>
    </xdr:to>
    <xdr:pic>
      <xdr:nvPicPr>
        <xdr:cNvPr id="27" name="Picture 26">
          <a:extLst>
            <a:ext uri="{FF2B5EF4-FFF2-40B4-BE49-F238E27FC236}">
              <a16:creationId xmlns:a16="http://schemas.microsoft.com/office/drawing/2014/main" id="{C10AC0D7-6F5E-4728-835D-C91970D82D81}"/>
            </a:ext>
            <a:ext uri="{147F2762-F138-4A5C-976F-8EAC2B608ADB}">
              <a16:predDERef xmlns:a16="http://schemas.microsoft.com/office/drawing/2014/main" pred="{6F1F174F-D4CB-744B-A660-BDD2074FE05E}"/>
            </a:ext>
          </a:extLst>
        </xdr:cNvPr>
        <xdr:cNvPicPr>
          <a:picLocks noChangeAspect="1"/>
        </xdr:cNvPicPr>
      </xdr:nvPicPr>
      <xdr:blipFill>
        <a:blip xmlns:r="http://schemas.openxmlformats.org/officeDocument/2006/relationships" r:embed="rId26"/>
        <a:stretch>
          <a:fillRect/>
        </a:stretch>
      </xdr:blipFill>
      <xdr:spPr>
        <a:xfrm>
          <a:off x="457200" y="25984200"/>
          <a:ext cx="4572000" cy="2743200"/>
        </a:xfrm>
        <a:prstGeom prst="rect">
          <a:avLst/>
        </a:prstGeom>
      </xdr:spPr>
    </xdr:pic>
    <xdr:clientData/>
  </xdr:twoCellAnchor>
  <xdr:twoCellAnchor editAs="oneCell">
    <xdr:from>
      <xdr:col>0</xdr:col>
      <xdr:colOff>390525</xdr:colOff>
      <xdr:row>151</xdr:row>
      <xdr:rowOff>161925</xdr:rowOff>
    </xdr:from>
    <xdr:to>
      <xdr:col>6</xdr:col>
      <xdr:colOff>104775</xdr:colOff>
      <xdr:row>166</xdr:row>
      <xdr:rowOff>47625</xdr:rowOff>
    </xdr:to>
    <xdr:pic>
      <xdr:nvPicPr>
        <xdr:cNvPr id="28" name="Picture 27">
          <a:extLst>
            <a:ext uri="{FF2B5EF4-FFF2-40B4-BE49-F238E27FC236}">
              <a16:creationId xmlns:a16="http://schemas.microsoft.com/office/drawing/2014/main" id="{A4F161FE-5038-4CC2-9ED5-0FCF29346E8E}"/>
            </a:ext>
            <a:ext uri="{147F2762-F138-4A5C-976F-8EAC2B608ADB}">
              <a16:predDERef xmlns:a16="http://schemas.microsoft.com/office/drawing/2014/main" pred="{C10AC0D7-6F5E-4728-835D-C91970D82D81}"/>
            </a:ext>
          </a:extLst>
        </xdr:cNvPr>
        <xdr:cNvPicPr>
          <a:picLocks noChangeAspect="1"/>
        </xdr:cNvPicPr>
      </xdr:nvPicPr>
      <xdr:blipFill>
        <a:blip xmlns:r="http://schemas.openxmlformats.org/officeDocument/2006/relationships" r:embed="rId27"/>
        <a:stretch>
          <a:fillRect/>
        </a:stretch>
      </xdr:blipFill>
      <xdr:spPr>
        <a:xfrm>
          <a:off x="390525" y="28917900"/>
          <a:ext cx="4572000" cy="2743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43543</xdr:colOff>
      <xdr:row>68</xdr:row>
      <xdr:rowOff>61686</xdr:rowOff>
    </xdr:from>
    <xdr:to>
      <xdr:col>2</xdr:col>
      <xdr:colOff>1320800</xdr:colOff>
      <xdr:row>71</xdr:row>
      <xdr:rowOff>99786</xdr:rowOff>
    </xdr:to>
    <xdr:pic>
      <xdr:nvPicPr>
        <xdr:cNvPr id="2" name="Picture 2">
          <a:extLst>
            <a:ext uri="{FF2B5EF4-FFF2-40B4-BE49-F238E27FC236}">
              <a16:creationId xmlns:a16="http://schemas.microsoft.com/office/drawing/2014/main" id="{F07BD254-231A-FB48-8EBB-D3472C04C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43" y="15392400"/>
          <a:ext cx="5114471"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7710DA30-517B-405C-8713-99C97F500051}"/>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twoCellAnchor editAs="oneCell">
    <xdr:from>
      <xdr:col>0</xdr:col>
      <xdr:colOff>0</xdr:colOff>
      <xdr:row>8</xdr:row>
      <xdr:rowOff>9525</xdr:rowOff>
    </xdr:from>
    <xdr:to>
      <xdr:col>14</xdr:col>
      <xdr:colOff>266700</xdr:colOff>
      <xdr:row>35</xdr:row>
      <xdr:rowOff>76200</xdr:rowOff>
    </xdr:to>
    <xdr:pic>
      <xdr:nvPicPr>
        <xdr:cNvPr id="3" name="图片 2">
          <a:extLst>
            <a:ext uri="{FF2B5EF4-FFF2-40B4-BE49-F238E27FC236}">
              <a16:creationId xmlns:a16="http://schemas.microsoft.com/office/drawing/2014/main" id="{16C72F96-1283-451D-B871-8A509007C3D8}"/>
            </a:ext>
            <a:ext uri="{147F2762-F138-4A5C-976F-8EAC2B608ADB}">
              <a16:predDERef xmlns:a16="http://schemas.microsoft.com/office/drawing/2014/main" pred="{7710DA30-517B-405C-8713-99C97F500051}"/>
            </a:ext>
          </a:extLst>
        </xdr:cNvPr>
        <xdr:cNvPicPr>
          <a:picLocks noChangeAspect="1"/>
        </xdr:cNvPicPr>
      </xdr:nvPicPr>
      <xdr:blipFill>
        <a:blip xmlns:r="http://schemas.openxmlformats.org/officeDocument/2006/relationships" r:embed="rId2"/>
        <a:stretch>
          <a:fillRect/>
        </a:stretch>
      </xdr:blipFill>
      <xdr:spPr>
        <a:xfrm>
          <a:off x="0" y="2038350"/>
          <a:ext cx="16611600" cy="52101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215900</xdr:colOff>
      <xdr:row>59</xdr:row>
      <xdr:rowOff>25400</xdr:rowOff>
    </xdr:from>
    <xdr:to>
      <xdr:col>3</xdr:col>
      <xdr:colOff>666262</xdr:colOff>
      <xdr:row>61</xdr:row>
      <xdr:rowOff>63500</xdr:rowOff>
    </xdr:to>
    <xdr:pic>
      <xdr:nvPicPr>
        <xdr:cNvPr id="2" name="Picture 2">
          <a:extLst>
            <a:ext uri="{FF2B5EF4-FFF2-40B4-BE49-F238E27FC236}">
              <a16:creationId xmlns:a16="http://schemas.microsoft.com/office/drawing/2014/main" id="{D7A80DC3-E479-7D49-A8C2-0823C8E8B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5400"/>
          <a:ext cx="17399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Hung Alex" id="{C3742D39-5134-4CAA-8C3B-EA507CABE9FB}" userId="7b305a5a7d184120" providerId="Windows Live"/>
  <person displayName="liu venus" id="{5F2841C8-14E8-469F-825C-CC8ACD19B9C1}" userId="a04b7f1812fd8958" providerId="Windows Live"/>
  <person displayName="Chao Yongzhao" id="{B7787638-7405-449F-BE3E-63CB54F6DFDE}" userId="f869634df09a56ee" providerId="Windows Live"/>
</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AE37" dT="2023-02-23T02:46:49.50" personId="{C3742D39-5134-4CAA-8C3B-EA507CABE9FB}" id="{AC89B313-2787-407E-80D3-AB2D17FE2C2E}">
    <text>consolidated portfolio</text>
  </threadedComment>
  <threadedComment ref="A173" dT="2021-05-18T10:48:26.85" personId="{C3742D39-5134-4CAA-8C3B-EA507CABE9FB}" id="{801231CD-2A36-4576-889D-C40B224FC6A1}">
    <text>Ending Occupancy is the percentage of total owned square footage (GLA) which is leased as of the last day of the reporting period. We include all company owned space except formall anchors, mall majors, mall freestanding and mall outlots in the calculation</text>
  </threadedComment>
  <threadedComment ref="A174" dT="2021-05-18T10:49:09.62" personId="{C3742D39-5134-4CAA-8C3B-EA507CABE9FB}" id="{6700A763-28B8-4C5C-9870-12EF5DAFDF89}">
    <text>Base Minimum Rent PSF is the average base minimum rent charge in effect for the reporting period for all tenants that would qualify to be included in Ending Occupancy as definedabove.</text>
  </threadedComment>
  <threadedComment ref="A175" dT="2021-05-18T10:48:55.26" personId="{C3742D39-5134-4CAA-8C3B-EA507CABE9FB}" id="{12FD5810-6977-492D-8E91-C35A6895DE86}">
    <text>Total Sales PSF is defined as total sales as reported of the tenants open and operating in the center during the reporting period divided by the associated company owned andoccupied GLA on a trailing 12-month basis. Includes tenant sales activity for all months a tenant is open within the trailing 12-month period. In accordance with the standarddefinition of sales for regional malls adopted by the International Council of Shopping Centers, stores with less than 10,000 square feet are included for malls and stores with lessthan 20,000 square feet are included for Premium Outlets</text>
  </threadedComment>
  <threadedComment ref="AD175" dT="2022-03-16T10:06:42.67" personId="{C3742D39-5134-4CAA-8C3B-EA507CABE9FB}" id="{9AE56D0F-679F-412C-9017-1F4DB6E3815F}">
    <text>Mall sales for the fourth quarter were up 8% compared to the fourth quarter of 2019, and up 34% year-over-year.</text>
  </threadedComment>
  <threadedComment ref="A177" dT="2021-05-18T10:49:53.03" personId="{C3742D39-5134-4CAA-8C3B-EA507CABE9FB}" id="{C96D0C6B-4C1C-4665-9705-E12FD9B0831F}">
    <text>Occupancy Cost as a Percentage of Sales is the trailing 12-month Base Minimum Rent, plus all applicable ancillary charges, plus overage rent, if applicable (based on last 12 monthsof sales), divided by the trailing 12-month Total Sales PSF for the same tena</text>
  </threadedComment>
  <threadedComment ref="U177" dT="2021-05-18T06:01:33.66" personId="{5F2841C8-14E8-469F-825C-CC8ACD19B9C1}" id="{932F2861-DE35-4AF5-B810-3DEC14B5E076}">
    <text> Releasing Spread is a ‘‘same space’’ measure that compares opening and closing rates on individual spaces, including spaces greater than 10,000 square feet. The Opening Rate is the average of the initial cash Total Rent per Square Foot for spaces leased during the trailing 12-month period, and includes new leases and existing tenant renewals, amendments and relocations (including expansions and downsizings). The Closing Rate is the average of the final cash Total Rent per Square Foot as of the month the tenant terminates or closes. Total Rent per Square Foot includes Base Minimum Rent, common area maintenance (‘‘CAM’’) and base percentage rent. It includes leasing activity on all spaces occupied by tenants that would qualify to be included in Ending Occupancy as defined above as long as the opening and closing dates are within 24 months of one another.</text>
  </threadedComment>
  <threadedComment ref="A179" dT="2021-05-18T07:10:12.83" personId="{5F2841C8-14E8-469F-825C-CC8ACD19B9C1}" id="{3A022D93-F9DD-42F1-8B29-F54AF1C08746}">
    <text>the Company acquired the Mills portfolio an interest in on March 29, 2007</text>
  </threadedComment>
  <threadedComment ref="A191" dT="2021-05-18T06:48:16.05" personId="{5F2841C8-14E8-469F-825C-CC8ACD19B9C1}" id="{98630220-73B3-4D22-962F-1CEE4E55BBBD}">
    <text>Europe</text>
  </threadedComment>
  <threadedComment ref="T191" dT="2021-05-19T04:07:22.74" personId="{5F2841C8-14E8-469F-825C-CC8ACD19B9C1}" id="{D89C7F97-31C1-4270-8AAC-EB1BA280C3CF}">
    <text>Q3</text>
  </threadedComment>
  <threadedComment ref="N194" dT="2021-05-19T04:05:47.85" personId="{5F2841C8-14E8-469F-825C-CC8ACD19B9C1}" id="{A11A3CF0-07FF-4766-AF35-1FDBEEB6EB7D}">
    <text>euro dollars</text>
  </threadedComment>
  <threadedComment ref="A197" dT="2021-05-18T06:46:52.38" personId="{5F2841C8-14E8-469F-825C-CC8ACD19B9C1}" id="{AD343F9B-AF32-48AA-8FA7-742A47E4B7DC}">
    <text>Japan</text>
  </threadedComment>
  <threadedComment ref="A203" dT="2021-05-17T04:08:59.64" personId="{5F2841C8-14E8-469F-825C-CC8ACD19B9C1}" id="{7EBDE4FB-5FDE-412F-AD0E-DE44A797EA66}">
    <text> Prior period has been restated to include community centers previously owned by TMLP, now owned by Simon Property Group, L.P.</text>
  </threadedComment>
</ThreadedComments>
</file>

<file path=xl/threadedComments/threadedComment2.xml><?xml version="1.0" encoding="utf-8"?>
<ThreadedComments xmlns="http://schemas.microsoft.com/office/spreadsheetml/2018/threadedcomments" xmlns:x="http://schemas.openxmlformats.org/spreadsheetml/2006/main">
  <threadedComment ref="G7" dT="2022-03-16T09:12:10.34" personId="{C3742D39-5134-4CAA-8C3B-EA507CABE9FB}" id="{7929130D-05C1-447C-8683-8A4171F0B9E9}">
    <text>in line</text>
  </threadedComment>
  <threadedComment ref="H7" dT="2022-08-10T06:45:14.66" personId="{C3742D39-5134-4CAA-8C3B-EA507CABE9FB}" id="{9518CFC9-894F-41CC-B748-1BC9A2D57F4D}">
    <text>630 137.6</text>
  </threadedComment>
  <threadedComment ref="G8" dT="2022-03-16T09:31:01.48" personId="{C3742D39-5134-4CAA-8C3B-EA507CABE9FB}" id="{6BD0906F-A5F1-4269-B5AD-C9E8A8196818}">
    <text>beat</text>
  </threadedComment>
  <threadedComment ref="H8" dT="2022-08-10T06:24:58.13" personId="{C3742D39-5134-4CAA-8C3B-EA507CABE9FB}" id="{162BE5D8-AE78-4F62-8430-D5B78A462F7B}">
    <text>630 93.9%</text>
  </threadedComment>
  <threadedComment ref="G18" dT="2022-03-16T10:14:00.34" personId="{C3742D39-5134-4CAA-8C3B-EA507CABE9FB}" id="{0F963FFE-9EBC-4D97-B960-08717856855D}">
    <text>beat</text>
  </threadedComment>
  <threadedComment ref="G19" dT="2022-03-16T10:14:29.04" personId="{C3742D39-5134-4CAA-8C3B-EA507CABE9FB}" id="{F2106BC4-1E0A-4DBF-B7C1-9356592358D6}">
    <text>beat</text>
  </threadedComment>
  <threadedComment ref="G27" dT="2022-03-16T10:16:38.67" personId="{C3742D39-5134-4CAA-8C3B-EA507CABE9FB}" id="{C96282CF-D746-497E-B184-73A44643B09F}">
    <text>in line</text>
  </threadedComment>
  <threadedComment ref="L27" dT="2022-08-10T06:59:07.01" personId="{C3742D39-5134-4CAA-8C3B-EA507CABE9FB}" id="{39A79AA2-EEC5-41C2-ACED-26BC6978326E}">
    <text>lowered to 0.5 as little growth as of 630</text>
  </threadedComment>
  <threadedComment ref="A28" dT="2021-05-17T03:58:34.27" personId="{5F2841C8-14E8-469F-825C-CC8ACD19B9C1}" id="{CEB6E06D-2A47-431E-8490-BCB7314F6827}">
    <text>Japan</text>
  </threadedComment>
  <threadedComment ref="G28" dT="2022-03-16T10:18:19.14" personId="{C3742D39-5134-4CAA-8C3B-EA507CABE9FB}" id="{C05217D6-33C9-4D13-A691-DA4D589B8F08}">
    <text>beat</text>
  </threadedComment>
  <threadedComment ref="A29" dT="2021-05-17T03:58:42.43" personId="{5F2841C8-14E8-469F-825C-CC8ACD19B9C1}" id="{5C09FB92-22A3-4EA5-9573-352989F68B2B}">
    <text>Japan</text>
  </threadedComment>
  <threadedComment ref="H31" dT="2022-03-16T10:19:39.83" personId="{C3742D39-5134-4CAA-8C3B-EA507CABE9FB}" id="{2E9867BD-BF43-417B-A608-7260F0966EE3}">
    <text>missed</text>
  </threadedComment>
</ThreadedComments>
</file>

<file path=xl/threadedComments/threadedComment3.xml><?xml version="1.0" encoding="utf-8"?>
<ThreadedComments xmlns="http://schemas.microsoft.com/office/spreadsheetml/2018/threadedcomments" xmlns:x="http://schemas.openxmlformats.org/spreadsheetml/2006/main">
  <threadedComment ref="T24" dT="2022-03-17T09:29:12.16" personId="{C3742D39-5134-4CAA-8C3B-EA507CABE9FB}" id="{3C6A0484-11FB-4D61-BCAA-0B9848EAFBDF}">
    <text>huge beat</text>
  </threadedComment>
  <threadedComment ref="U27" dT="2022-03-17T09:35:08.45" personId="{C3742D39-5134-4CAA-8C3B-EA507CABE9FB}" id="{8EA68981-EA44-4A44-9160-290590510873}">
    <text>missed</text>
  </threadedComment>
  <threadedComment ref="T35" dT="2022-03-17T09:41:54.35" personId="{C3742D39-5134-4CAA-8C3B-EA507CABE9FB}" id="{6A249D06-F858-4D10-B280-DAC19F9B0853}">
    <text>beat</text>
  </threadedComment>
  <threadedComment ref="T37" dT="2022-03-17T09:43:15.35" personId="{C3742D39-5134-4CAA-8C3B-EA507CABE9FB}" id="{1005BE92-B30E-4968-B9FB-1E29F386C812}">
    <text>missed</text>
  </threadedComment>
  <threadedComment ref="I57" dT="2021-02-09T05:33:04.28" personId="{5F2841C8-14E8-469F-825C-CC8ACD19B9C1}" id="{A9FBDA45-8D84-4439-AF25-6F95E6A9EF07}" done="1">
    <text>暂未披露</text>
  </threadedComment>
  <threadedComment ref="I57" dT="2021-02-10T06:58:05.87" personId="{C3742D39-5134-4CAA-8C3B-EA507CABE9FB}" id="{65657B1F-DB48-440C-869F-D7F40CC89078}" parentId="{A9FBDA45-8D84-4439-AF25-6F95E6A9EF07}">
    <text>disclosed on PPT P31</text>
  </threadedComment>
  <threadedComment ref="T75" dT="2022-03-18T05:46:55.45" personId="{C3742D39-5134-4CAA-8C3B-EA507CABE9FB}" id="{CB5B1824-EF71-4ABB-B989-71241DC3EB1D}">
    <text>est. 27.9%</text>
  </threadedComment>
  <threadedComment ref="T92" dT="2022-03-18T05:59:17.64" personId="{C3742D39-5134-4CAA-8C3B-EA507CABE9FB}" id="{AD545E3E-9FD5-48C9-A0FD-5CD15BA51750}">
    <text>missed</text>
  </threadedComment>
  <threadedComment ref="T97" dT="2022-03-18T06:05:07.52" personId="{C3742D39-5134-4CAA-8C3B-EA507CABE9FB}" id="{8EEB7DFC-B047-469C-BEF4-4433530A1215}">
    <text>beat</text>
  </threadedComment>
</ThreadedComments>
</file>

<file path=xl/threadedComments/threadedComment4.xml><?xml version="1.0" encoding="utf-8"?>
<ThreadedComments xmlns="http://schemas.microsoft.com/office/spreadsheetml/2018/threadedcomments" xmlns:x="http://schemas.openxmlformats.org/spreadsheetml/2006/main">
  <threadedComment ref="AD39" dT="2021-05-17T03:51:56.47" personId="{C3742D39-5134-4CAA-8C3B-EA507CABE9FB}" id="{B6BCC43C-3456-4618-AB84-FC942CC96B95}">
    <text>guidance</text>
  </threadedComment>
  <threadedComment ref="U56" dT="2021-05-18T06:01:33.66" personId="{5F2841C8-14E8-469F-825C-CC8ACD19B9C1}" id="{E2F91A41-9830-4D51-8130-6AE8424E154C}">
    <text> Releasing Spread is a ‘‘same space’’ measure that compares opening and closing rates on individual spaces, including spaces greater than 10,000 square feet. The Opening Rate is the average of the initial cash Total Rent per Square Foot for spaces leased during the trailing 12-month period, and includes new leases and existing tenant renewals, amendments and relocations (including expansions and downsizings). The Closing Rate is the average of the final cash Total Rent per Square Foot as of the month the tenant terminates or closes. Total Rent per Square Foot includes Base Minimum Rent, common area maintenance (‘‘CAM’’) and base percentage rent. It includes leasing activity on all spaces occupied by tenants that would qualify to be included in Ending Occupancy as defined above as long as the opening and closing dates are within 24 months of one another.</text>
  </threadedComment>
  <threadedComment ref="A72" dT="2021-05-17T03:58:34.27" personId="{5F2841C8-14E8-469F-825C-CC8ACD19B9C1}" id="{C0A04C1C-D078-4A84-88DA-11A04C3821E6}">
    <text>Japan</text>
  </threadedComment>
  <threadedComment ref="A73" dT="2021-05-17T03:58:42.43" personId="{5F2841C8-14E8-469F-825C-CC8ACD19B9C1}" id="{5752EA3E-627C-4C21-9302-8F2FC4177F19}">
    <text>Japan</text>
  </threadedComment>
  <threadedComment ref="A76" dT="2021-05-17T04:08:59.64" personId="{5F2841C8-14E8-469F-825C-CC8ACD19B9C1}" id="{ECA5A0E4-4D42-4FAC-93C9-0E81FDAF9D60}">
    <text> Prior period has been restated to include community centers previously owned by TMLP, now owned by Simon Property Group, L.P.</text>
  </threadedComment>
  <threadedComment ref="A79" dT="2021-05-17T03:58:34.27" personId="{5F2841C8-14E8-469F-825C-CC8ACD19B9C1}" id="{EB985D7C-A217-4DEE-B8C5-F566F2F118D8}">
    <text>Japan</text>
  </threadedComment>
  <threadedComment ref="A80" dT="2021-05-17T03:58:42.43" personId="{5F2841C8-14E8-469F-825C-CC8ACD19B9C1}" id="{8E801103-579D-4B2D-968C-7B93D459B848}">
    <text>Japan</text>
  </threadedComment>
</ThreadedComments>
</file>

<file path=xl/threadedComments/threadedComment5.xml><?xml version="1.0" encoding="utf-8"?>
<ThreadedComments xmlns="http://schemas.microsoft.com/office/spreadsheetml/2018/threadedcomments" xmlns:x="http://schemas.openxmlformats.org/spreadsheetml/2006/main">
  <threadedComment ref="A18" dT="2022-03-18T07:10:44.56" personId="{C3742D39-5134-4CAA-8C3B-EA507CABE9FB}" id="{5D55FFED-7A87-F342-AA82-9507F8834060}">
    <text>2021 new</text>
  </threadedComment>
</ThreadedComments>
</file>

<file path=xl/threadedComments/threadedComment6.xml><?xml version="1.0" encoding="utf-8"?>
<ThreadedComments xmlns="http://schemas.microsoft.com/office/spreadsheetml/2018/threadedcomments" xmlns:x="http://schemas.openxmlformats.org/spreadsheetml/2006/main">
  <threadedComment ref="A32" dT="2022-03-18T06:43:44.41" personId="{C3742D39-5134-4CAA-8C3B-EA507CABE9FB}" id="{33032715-18F4-43B5-B7DC-AC41C7F828F0}">
    <text>2021 new</text>
  </threadedComment>
</ThreadedComments>
</file>

<file path=xl/threadedComments/threadedComment7.xml><?xml version="1.0" encoding="utf-8"?>
<ThreadedComments xmlns="http://schemas.microsoft.com/office/spreadsheetml/2018/threadedcomments" xmlns:x="http://schemas.openxmlformats.org/spreadsheetml/2006/main">
  <threadedComment ref="A13" dT="2022-03-18T06:14:26.57" personId="{C3742D39-5134-4CAA-8C3B-EA507CABE9FB}" id="{63E1201E-6B28-413E-8437-6DED2ADBD4C4}">
    <text>2021 newly added</text>
  </threadedComment>
  <threadedComment ref="A23" dT="2022-03-18T06:20:29.09" personId="{C3742D39-5134-4CAA-8C3B-EA507CABE9FB}" id="{77380A17-752E-4BBB-87DD-E22E5FD24BB8}">
    <text>2021 new</text>
  </threadedComment>
  <threadedComment ref="A39" dT="2022-03-18T06:14:04.87" personId="{C3742D39-5134-4CAA-8C3B-EA507CABE9FB}" id="{AB10BB4D-9C27-49EF-B48E-D2950884AC4B}">
    <text>2021 newly added</text>
  </threadedComment>
  <threadedComment ref="A40" dT="2022-03-18T06:14:13.90" personId="{C3742D39-5134-4CAA-8C3B-EA507CABE9FB}" id="{26F440CA-ABB0-499F-BBE0-3C6B131B0BCC}">
    <text>2021 newly added</text>
  </threadedComment>
</ThreadedComments>
</file>

<file path=xl/threadedComments/threadedComment8.xml><?xml version="1.0" encoding="utf-8"?>
<ThreadedComments xmlns="http://schemas.microsoft.com/office/spreadsheetml/2018/threadedcomments" xmlns:x="http://schemas.openxmlformats.org/spreadsheetml/2006/main">
  <threadedComment ref="M128" dT="2021-08-12T07:11:39.97" personId="{B7787638-7405-449F-BE3E-63CB54F6DFDE}" id="{A6C7D7DA-89BD-4E7B-AA0B-79081595AAE1}">
    <text>未找到数据</text>
  </threadedComment>
</ThreadedComments>
</file>

<file path=xl/threadedComments/threadedComment9.xml><?xml version="1.0" encoding="utf-8"?>
<ThreadedComments xmlns="http://schemas.microsoft.com/office/spreadsheetml/2018/threadedcomments" xmlns:x="http://schemas.openxmlformats.org/spreadsheetml/2006/main">
  <threadedComment ref="N1" dT="2021-08-09T08:45:23.02" personId="{C3742D39-5134-4CAA-8C3B-EA507CABE9FB}" id="{018234E4-804A-4436-835B-548DE12C6777}">
    <text>S&amp;P NAV Estimates</text>
  </threadedComment>
  <threadedComment ref="P1" dT="2021-08-11T02:47:21.76" personId="{B7787638-7405-449F-BE3E-63CB54F6DFDE}" id="{20E89E93-6846-49C6-AF29-173963DF2D41}">
    <text>未找到数据</text>
  </threadedComment>
  <threadedComment ref="AB1" dT="2021-08-11T06:54:39.29" personId="{B7787638-7405-449F-BE3E-63CB54F6DFDE}" id="{8BF62A43-66EA-4807-8D89-970241AA2DA8}">
    <text>未找到数据</text>
  </threadedComment>
  <threadedComment ref="AB1" dT="2021-08-12T09:46:18.16" personId="{C3742D39-5134-4CAA-8C3B-EA507CABE9FB}" id="{193076F8-F33F-4B10-BCD4-B2EB11CC9B6C}" parentId="{8BF62A43-66EA-4807-8D89-970241AA2DA8}">
    <text>Comparable lease income in 10-Q</text>
  </threadedComment>
  <threadedComment ref="AB116" dT="2021-11-03T03:29:55.89" personId="{C3742D39-5134-4CAA-8C3B-EA507CABE9FB}" id="{2DE5C593-8A5A-4E7B-8634-B3B0B711A35C}">
    <text>Mall sales for the third quarter were up 11%, compared to third quarter 2019, up 43% year-over-year</text>
  </threadedComment>
</ThreadedComments>
</file>

<file path=xl/threadedComments/threadedComment10.xml><?xml version="1.0" encoding="utf-8"?>
<ThreadedComments xmlns="http://schemas.microsoft.com/office/spreadsheetml/2018/threadedcomments" xmlns:x="http://schemas.openxmlformats.org/spreadsheetml/2006/main">
  <threadedComment ref="N2" dT="2021-08-11T07:36:14.68" personId="{B7787638-7405-449F-BE3E-63CB54F6DFDE}" id="{CE59FEBD-7207-4C34-B9EB-16B13E5B63ED}">
    <text>Diluted FFO per share (actual)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bin"/><Relationship Id="rId4" Type="http://schemas.microsoft.com/office/2017/10/relationships/threadedComment" Target="../threadedComments/threadedComment10.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6EAC6-92B8-F146-A5AA-98629E9EC1E7}">
  <dimension ref="A1:AG240"/>
  <sheetViews>
    <sheetView zoomScale="115" zoomScaleNormal="115" workbookViewId="0">
      <pane xSplit="1" ySplit="1" topLeftCell="P2" activePane="bottomRight" state="frozen"/>
      <selection pane="topRight" activeCell="B1" sqref="B1"/>
      <selection pane="bottomLeft" activeCell="A13" sqref="A13"/>
      <selection pane="bottomRight" activeCell="Z5" sqref="Z5"/>
    </sheetView>
  </sheetViews>
  <sheetFormatPr defaultColWidth="10.58203125" defaultRowHeight="14" outlineLevelCol="2"/>
  <cols>
    <col min="1" max="1" width="28.08203125" style="233" customWidth="1"/>
    <col min="2" max="5" width="0" style="233" hidden="1" customWidth="1" outlineLevel="1"/>
    <col min="6" max="11" width="10.58203125" style="233" hidden="1" customWidth="1" outlineLevel="2"/>
    <col min="12" max="12" width="10.58203125" style="233" collapsed="1"/>
    <col min="13" max="22" width="10.58203125" style="233"/>
    <col min="23" max="23" width="12.5" style="233" customWidth="1"/>
    <col min="24" max="25" width="10.58203125" style="233"/>
    <col min="26" max="26" width="11" style="233" customWidth="1"/>
    <col min="27" max="29" width="10.58203125" style="233"/>
    <col min="30" max="30" width="10.58203125" customWidth="1"/>
  </cols>
  <sheetData>
    <row r="1" spans="1:32">
      <c r="A1" s="216"/>
      <c r="B1" s="217" t="s">
        <v>0</v>
      </c>
      <c r="C1" s="218" t="s">
        <v>1</v>
      </c>
      <c r="D1" s="218" t="s">
        <v>2</v>
      </c>
      <c r="E1" s="218" t="s">
        <v>3</v>
      </c>
      <c r="F1" s="218" t="s">
        <v>4</v>
      </c>
      <c r="G1" s="218" t="s">
        <v>5</v>
      </c>
      <c r="H1" s="218" t="s">
        <v>6</v>
      </c>
      <c r="I1" s="218" t="s">
        <v>7</v>
      </c>
      <c r="J1" s="218" t="s">
        <v>8</v>
      </c>
      <c r="K1" s="218" t="s">
        <v>9</v>
      </c>
      <c r="L1" s="218" t="s">
        <v>10</v>
      </c>
      <c r="M1" s="218" t="s">
        <v>11</v>
      </c>
      <c r="N1" s="218" t="s">
        <v>12</v>
      </c>
      <c r="O1" s="218">
        <v>2006</v>
      </c>
      <c r="P1" s="218">
        <v>2007</v>
      </c>
      <c r="Q1" s="218">
        <v>2008</v>
      </c>
      <c r="R1" s="218">
        <v>2009</v>
      </c>
      <c r="S1" s="218">
        <v>2010</v>
      </c>
      <c r="T1" s="218">
        <v>2011</v>
      </c>
      <c r="U1" s="218">
        <v>2012</v>
      </c>
      <c r="V1" s="218">
        <v>2013</v>
      </c>
      <c r="W1" s="218">
        <v>2014</v>
      </c>
      <c r="X1" s="218">
        <v>2015</v>
      </c>
      <c r="Y1" s="218">
        <v>2016</v>
      </c>
      <c r="Z1" s="218">
        <v>2017</v>
      </c>
      <c r="AA1" s="218">
        <v>2018</v>
      </c>
      <c r="AB1" s="218">
        <v>2019</v>
      </c>
      <c r="AC1" s="218">
        <v>2020</v>
      </c>
      <c r="AD1" s="218" t="s">
        <v>28</v>
      </c>
      <c r="AE1" s="218" t="s">
        <v>29</v>
      </c>
    </row>
    <row r="2" spans="1:32" ht="26">
      <c r="A2" s="219" t="s">
        <v>30</v>
      </c>
      <c r="B2" s="220" t="s">
        <v>31</v>
      </c>
      <c r="C2" s="220" t="s">
        <v>31</v>
      </c>
      <c r="D2" s="220" t="s">
        <v>31</v>
      </c>
      <c r="E2" s="220" t="s">
        <v>31</v>
      </c>
      <c r="F2" s="220" t="s">
        <v>31</v>
      </c>
      <c r="G2" s="220" t="s">
        <v>31</v>
      </c>
      <c r="H2" s="220" t="s">
        <v>31</v>
      </c>
      <c r="I2" s="220" t="s">
        <v>31</v>
      </c>
      <c r="J2" s="220" t="s">
        <v>31</v>
      </c>
      <c r="K2" s="220" t="s">
        <v>31</v>
      </c>
      <c r="L2" s="220" t="s">
        <v>31</v>
      </c>
      <c r="M2" s="220" t="s">
        <v>31</v>
      </c>
      <c r="N2" s="220" t="s">
        <v>31</v>
      </c>
      <c r="O2" s="220" t="s">
        <v>31</v>
      </c>
      <c r="P2" s="220" t="s">
        <v>31</v>
      </c>
      <c r="Q2" s="220" t="s">
        <v>31</v>
      </c>
      <c r="R2" s="220" t="s">
        <v>31</v>
      </c>
      <c r="S2" s="220" t="s">
        <v>31</v>
      </c>
      <c r="T2" s="220" t="s">
        <v>31</v>
      </c>
      <c r="U2" s="220" t="s">
        <v>31</v>
      </c>
      <c r="V2" s="220" t="s">
        <v>31</v>
      </c>
      <c r="W2" s="220" t="s">
        <v>31</v>
      </c>
      <c r="X2" s="220" t="s">
        <v>31</v>
      </c>
      <c r="Y2" s="220" t="s">
        <v>31</v>
      </c>
      <c r="Z2" s="220" t="s">
        <v>31</v>
      </c>
      <c r="AA2" s="220" t="s">
        <v>31</v>
      </c>
      <c r="AB2" s="220" t="s">
        <v>31</v>
      </c>
      <c r="AC2" s="220" t="s">
        <v>31</v>
      </c>
      <c r="AE2" s="47"/>
    </row>
    <row r="3" spans="1:32">
      <c r="A3" s="219" t="s">
        <v>32</v>
      </c>
      <c r="B3" s="221">
        <v>34334</v>
      </c>
      <c r="C3" s="221">
        <v>34699</v>
      </c>
      <c r="D3" s="221">
        <v>35064</v>
      </c>
      <c r="E3" s="221">
        <v>35430</v>
      </c>
      <c r="F3" s="221">
        <v>35795</v>
      </c>
      <c r="G3" s="221">
        <v>36160</v>
      </c>
      <c r="H3" s="221">
        <v>36525</v>
      </c>
      <c r="I3" s="221">
        <v>36891</v>
      </c>
      <c r="J3" s="221">
        <v>37256</v>
      </c>
      <c r="K3" s="221">
        <v>37621</v>
      </c>
      <c r="L3" s="221">
        <v>37986</v>
      </c>
      <c r="M3" s="221">
        <v>38352</v>
      </c>
      <c r="N3" s="221">
        <v>38717</v>
      </c>
      <c r="O3" s="221">
        <v>39082</v>
      </c>
      <c r="P3" s="221">
        <v>39447</v>
      </c>
      <c r="Q3" s="221">
        <v>39813</v>
      </c>
      <c r="R3" s="221">
        <v>40178</v>
      </c>
      <c r="S3" s="221">
        <v>40543</v>
      </c>
      <c r="T3" s="221">
        <v>40908</v>
      </c>
      <c r="U3" s="221">
        <v>41274</v>
      </c>
      <c r="V3" s="221">
        <v>41639</v>
      </c>
      <c r="W3" s="221">
        <v>42004</v>
      </c>
      <c r="X3" s="221">
        <v>42369</v>
      </c>
      <c r="Y3" s="221">
        <v>42735</v>
      </c>
      <c r="Z3" s="221">
        <v>43100</v>
      </c>
      <c r="AA3" s="221">
        <v>43465</v>
      </c>
      <c r="AB3" s="221">
        <v>43830</v>
      </c>
      <c r="AC3" s="221">
        <v>44196</v>
      </c>
      <c r="AE3" s="56"/>
    </row>
    <row r="4" spans="1:32">
      <c r="A4" s="219" t="s">
        <v>33</v>
      </c>
      <c r="B4" s="220" t="s">
        <v>34</v>
      </c>
      <c r="C4" s="220" t="s">
        <v>34</v>
      </c>
      <c r="D4" s="220" t="s">
        <v>34</v>
      </c>
      <c r="E4" s="220" t="s">
        <v>34</v>
      </c>
      <c r="F4" s="220" t="s">
        <v>34</v>
      </c>
      <c r="G4" s="220" t="s">
        <v>34</v>
      </c>
      <c r="H4" s="220" t="s">
        <v>34</v>
      </c>
      <c r="I4" s="220" t="s">
        <v>34</v>
      </c>
      <c r="J4" s="220" t="s">
        <v>34</v>
      </c>
      <c r="K4" s="220" t="s">
        <v>34</v>
      </c>
      <c r="L4" s="220" t="s">
        <v>34</v>
      </c>
      <c r="M4" s="220" t="s">
        <v>34</v>
      </c>
      <c r="N4" s="220" t="s">
        <v>34</v>
      </c>
      <c r="O4" s="220" t="s">
        <v>34</v>
      </c>
      <c r="P4" s="220" t="s">
        <v>35</v>
      </c>
      <c r="Q4" s="220" t="s">
        <v>35</v>
      </c>
      <c r="R4" s="220" t="s">
        <v>34</v>
      </c>
      <c r="S4" s="220" t="s">
        <v>34</v>
      </c>
      <c r="T4" s="220" t="s">
        <v>34</v>
      </c>
      <c r="U4" s="220" t="s">
        <v>34</v>
      </c>
      <c r="V4" s="220" t="s">
        <v>34</v>
      </c>
      <c r="W4" s="220" t="s">
        <v>34</v>
      </c>
      <c r="X4" s="220" t="s">
        <v>34</v>
      </c>
      <c r="Y4" s="220" t="s">
        <v>34</v>
      </c>
      <c r="Z4" s="220" t="s">
        <v>34</v>
      </c>
      <c r="AA4" s="220" t="s">
        <v>34</v>
      </c>
      <c r="AB4" s="220" t="s">
        <v>34</v>
      </c>
      <c r="AC4" s="220" t="s">
        <v>34</v>
      </c>
      <c r="AE4" s="47"/>
    </row>
    <row r="5" spans="1:32">
      <c r="A5" s="219" t="s">
        <v>36</v>
      </c>
      <c r="B5" s="220" t="s">
        <v>37</v>
      </c>
      <c r="C5" s="220" t="s">
        <v>37</v>
      </c>
      <c r="D5" s="220" t="s">
        <v>37</v>
      </c>
      <c r="E5" s="220" t="s">
        <v>37</v>
      </c>
      <c r="F5" s="220" t="s">
        <v>37</v>
      </c>
      <c r="G5" s="220" t="s">
        <v>37</v>
      </c>
      <c r="H5" s="220" t="s">
        <v>37</v>
      </c>
      <c r="I5" s="220" t="s">
        <v>37</v>
      </c>
      <c r="J5" s="220" t="s">
        <v>37</v>
      </c>
      <c r="K5" s="220" t="s">
        <v>37</v>
      </c>
      <c r="L5" s="220" t="s">
        <v>37</v>
      </c>
      <c r="M5" s="220" t="s">
        <v>37</v>
      </c>
      <c r="N5" s="220" t="s">
        <v>37</v>
      </c>
      <c r="O5" s="220" t="s">
        <v>37</v>
      </c>
      <c r="P5" s="221">
        <v>39814</v>
      </c>
      <c r="Q5" s="221">
        <v>39814</v>
      </c>
      <c r="R5" s="220" t="s">
        <v>37</v>
      </c>
      <c r="S5" s="220" t="s">
        <v>37</v>
      </c>
      <c r="T5" s="220" t="s">
        <v>37</v>
      </c>
      <c r="U5" s="220" t="s">
        <v>37</v>
      </c>
      <c r="V5" s="220" t="s">
        <v>37</v>
      </c>
      <c r="W5" s="220" t="s">
        <v>37</v>
      </c>
      <c r="X5" s="220" t="s">
        <v>37</v>
      </c>
      <c r="Y5" s="220" t="s">
        <v>37</v>
      </c>
      <c r="Z5" s="220" t="s">
        <v>37</v>
      </c>
      <c r="AA5" s="220" t="s">
        <v>37</v>
      </c>
      <c r="AB5" s="220" t="s">
        <v>37</v>
      </c>
      <c r="AC5" s="220" t="s">
        <v>37</v>
      </c>
      <c r="AE5" s="47"/>
    </row>
    <row r="6" spans="1:32">
      <c r="A6" s="219" t="s">
        <v>38</v>
      </c>
      <c r="B6" s="220" t="s">
        <v>39</v>
      </c>
      <c r="C6" s="220" t="s">
        <v>39</v>
      </c>
      <c r="D6" s="220" t="s">
        <v>39</v>
      </c>
      <c r="E6" s="220" t="s">
        <v>39</v>
      </c>
      <c r="F6" s="220" t="s">
        <v>39</v>
      </c>
      <c r="G6" s="220" t="s">
        <v>39</v>
      </c>
      <c r="H6" s="220" t="s">
        <v>39</v>
      </c>
      <c r="I6" s="220" t="s">
        <v>39</v>
      </c>
      <c r="J6" s="220" t="s">
        <v>39</v>
      </c>
      <c r="K6" s="220" t="s">
        <v>39</v>
      </c>
      <c r="L6" s="220" t="s">
        <v>39</v>
      </c>
      <c r="M6" s="220" t="s">
        <v>39</v>
      </c>
      <c r="N6" s="220" t="s">
        <v>39</v>
      </c>
      <c r="O6" s="220" t="s">
        <v>39</v>
      </c>
      <c r="P6" s="220" t="s">
        <v>39</v>
      </c>
      <c r="Q6" s="220" t="s">
        <v>39</v>
      </c>
      <c r="R6" s="220" t="s">
        <v>39</v>
      </c>
      <c r="S6" s="220" t="s">
        <v>39</v>
      </c>
      <c r="T6" s="220" t="s">
        <v>39</v>
      </c>
      <c r="U6" s="220" t="s">
        <v>39</v>
      </c>
      <c r="V6" s="220" t="s">
        <v>39</v>
      </c>
      <c r="W6" s="220" t="s">
        <v>39</v>
      </c>
      <c r="X6" s="220" t="s">
        <v>39</v>
      </c>
      <c r="Y6" s="220" t="s">
        <v>39</v>
      </c>
      <c r="Z6" s="220" t="s">
        <v>39</v>
      </c>
      <c r="AA6" s="220" t="s">
        <v>39</v>
      </c>
      <c r="AB6" s="220" t="s">
        <v>39</v>
      </c>
      <c r="AC6" s="220" t="s">
        <v>39</v>
      </c>
      <c r="AE6" s="47"/>
    </row>
    <row r="7" spans="1:32">
      <c r="A7" s="219" t="s">
        <v>40</v>
      </c>
      <c r="B7" s="220" t="s">
        <v>41</v>
      </c>
      <c r="C7" s="220" t="s">
        <v>41</v>
      </c>
      <c r="D7" s="220" t="s">
        <v>41</v>
      </c>
      <c r="E7" s="220" t="s">
        <v>41</v>
      </c>
      <c r="F7" s="220" t="s">
        <v>41</v>
      </c>
      <c r="G7" s="220" t="s">
        <v>41</v>
      </c>
      <c r="H7" s="220" t="s">
        <v>41</v>
      </c>
      <c r="I7" s="220" t="s">
        <v>41</v>
      </c>
      <c r="J7" s="220" t="s">
        <v>41</v>
      </c>
      <c r="K7" s="220" t="s">
        <v>41</v>
      </c>
      <c r="L7" s="220" t="s">
        <v>41</v>
      </c>
      <c r="M7" s="220" t="s">
        <v>41</v>
      </c>
      <c r="N7" s="220" t="s">
        <v>41</v>
      </c>
      <c r="O7" s="220" t="s">
        <v>41</v>
      </c>
      <c r="P7" s="220" t="s">
        <v>41</v>
      </c>
      <c r="Q7" s="220" t="s">
        <v>41</v>
      </c>
      <c r="R7" s="220" t="s">
        <v>41</v>
      </c>
      <c r="S7" s="220" t="s">
        <v>41</v>
      </c>
      <c r="T7" s="220" t="s">
        <v>41</v>
      </c>
      <c r="U7" s="220" t="s">
        <v>41</v>
      </c>
      <c r="V7" s="220" t="s">
        <v>41</v>
      </c>
      <c r="W7" s="220" t="s">
        <v>41</v>
      </c>
      <c r="X7" s="220" t="s">
        <v>41</v>
      </c>
      <c r="Y7" s="220" t="s">
        <v>41</v>
      </c>
      <c r="Z7" s="220" t="s">
        <v>41</v>
      </c>
      <c r="AA7" s="220" t="s">
        <v>41</v>
      </c>
      <c r="AB7" s="220" t="s">
        <v>41</v>
      </c>
      <c r="AC7" s="220" t="s">
        <v>41</v>
      </c>
      <c r="AE7" s="47"/>
    </row>
    <row r="8" spans="1:32">
      <c r="A8" s="219" t="s">
        <v>30</v>
      </c>
      <c r="B8" s="220"/>
      <c r="C8" s="220"/>
      <c r="D8" s="220"/>
      <c r="E8" s="220"/>
      <c r="F8" s="220"/>
      <c r="G8" s="220"/>
      <c r="H8" s="220"/>
      <c r="I8" s="220"/>
      <c r="J8" s="220"/>
      <c r="K8" s="220"/>
      <c r="L8" s="220"/>
      <c r="M8" s="220"/>
      <c r="N8" s="220"/>
      <c r="O8" s="220"/>
      <c r="P8" s="220"/>
      <c r="Q8" s="220"/>
      <c r="R8" s="220"/>
      <c r="S8" s="220"/>
      <c r="T8" s="220"/>
      <c r="U8" s="220"/>
      <c r="V8" s="220"/>
      <c r="W8" s="220"/>
      <c r="X8" s="220"/>
      <c r="Y8" s="220"/>
      <c r="Z8" s="220"/>
      <c r="AA8" s="220"/>
      <c r="AB8" s="220"/>
      <c r="AC8" s="220"/>
      <c r="AE8" s="47"/>
    </row>
    <row r="9" spans="1:32">
      <c r="A9" s="222" t="s">
        <v>42</v>
      </c>
      <c r="B9" s="220"/>
      <c r="C9" s="220"/>
      <c r="D9" s="220"/>
      <c r="E9" s="220"/>
      <c r="F9" s="220"/>
      <c r="G9" s="220"/>
      <c r="H9" s="220"/>
      <c r="I9" s="220"/>
      <c r="J9" s="220"/>
      <c r="K9" s="220"/>
      <c r="L9" s="220"/>
      <c r="M9" s="220"/>
      <c r="N9" s="220"/>
      <c r="O9" s="220"/>
      <c r="P9" s="220"/>
      <c r="Q9" s="220"/>
      <c r="R9" s="220"/>
      <c r="S9" s="220"/>
      <c r="T9" s="220"/>
      <c r="U9" s="220"/>
      <c r="V9" s="220"/>
      <c r="W9" s="220"/>
      <c r="X9" s="220"/>
      <c r="Y9" s="220"/>
      <c r="Z9" s="220"/>
      <c r="AA9" s="220"/>
      <c r="AB9" s="220"/>
      <c r="AC9" s="220"/>
      <c r="AE9" s="47"/>
      <c r="AF9" s="38"/>
    </row>
    <row r="10" spans="1:32">
      <c r="A10" s="219" t="s">
        <v>43</v>
      </c>
      <c r="B10" s="223">
        <v>1351102</v>
      </c>
      <c r="C10" s="223">
        <v>1880693</v>
      </c>
      <c r="D10" s="223">
        <v>2104153</v>
      </c>
      <c r="E10" s="223">
        <v>5214560</v>
      </c>
      <c r="F10" s="223">
        <v>6708745</v>
      </c>
      <c r="G10" s="223">
        <v>11665139</v>
      </c>
      <c r="H10" s="223">
        <v>12600703</v>
      </c>
      <c r="I10" s="223">
        <v>12922849</v>
      </c>
      <c r="J10" s="223">
        <v>13083178</v>
      </c>
      <c r="K10" s="223">
        <v>14111830</v>
      </c>
      <c r="L10" s="223">
        <v>14727870</v>
      </c>
      <c r="M10" s="223">
        <v>20859992</v>
      </c>
      <c r="N10" s="223">
        <v>21361213</v>
      </c>
      <c r="O10" s="223">
        <v>22333665</v>
      </c>
      <c r="P10" s="223">
        <v>23767722</v>
      </c>
      <c r="Q10" s="223">
        <v>24847461</v>
      </c>
      <c r="R10" s="223">
        <v>25054506</v>
      </c>
      <c r="S10" s="223">
        <v>27383508</v>
      </c>
      <c r="T10" s="223">
        <v>29192970</v>
      </c>
      <c r="U10" s="223">
        <v>33922858</v>
      </c>
      <c r="V10" s="223">
        <v>34761802</v>
      </c>
      <c r="W10" s="223">
        <v>30678451</v>
      </c>
      <c r="X10" s="223">
        <v>32799853</v>
      </c>
      <c r="Y10" s="223">
        <v>34719878</v>
      </c>
      <c r="Z10" s="223">
        <v>35889772</v>
      </c>
      <c r="AA10" s="223">
        <v>36531114</v>
      </c>
      <c r="AB10" s="223">
        <v>37506173</v>
      </c>
      <c r="AC10" s="223">
        <v>38563110</v>
      </c>
      <c r="AE10" s="57"/>
      <c r="AF10" s="44"/>
    </row>
    <row r="11" spans="1:32">
      <c r="A11" s="224" t="s">
        <v>44</v>
      </c>
      <c r="B11" s="225">
        <f>(AB10/B10)^(1/27)-1</f>
        <v>0.13099269687956139</v>
      </c>
      <c r="C11" s="223"/>
      <c r="D11" s="223"/>
      <c r="E11" s="223"/>
      <c r="F11" s="223"/>
      <c r="G11" s="223"/>
      <c r="H11" s="223"/>
      <c r="I11" s="223"/>
      <c r="J11" s="223"/>
      <c r="K11" s="223"/>
      <c r="L11" s="223"/>
      <c r="M11" s="223"/>
      <c r="N11" s="223"/>
      <c r="O11" s="223"/>
      <c r="P11" s="223"/>
      <c r="Q11" s="223"/>
      <c r="R11" s="223"/>
      <c r="S11" s="223"/>
      <c r="T11" s="223"/>
      <c r="U11" s="223"/>
      <c r="V11" s="223"/>
      <c r="W11" s="223"/>
      <c r="X11" s="223"/>
      <c r="Y11" s="223"/>
      <c r="Z11" s="223"/>
      <c r="AA11" s="223"/>
      <c r="AB11" s="223"/>
      <c r="AC11" s="223"/>
      <c r="AE11" s="57"/>
      <c r="AF11" s="44"/>
    </row>
    <row r="12" spans="1:32">
      <c r="A12" s="219" t="s">
        <v>45</v>
      </c>
      <c r="B12" s="223">
        <v>1349214</v>
      </c>
      <c r="C12" s="223">
        <v>1809777</v>
      </c>
      <c r="D12" s="223">
        <v>1951336</v>
      </c>
      <c r="E12" s="223">
        <v>4935488</v>
      </c>
      <c r="F12" s="223">
        <v>6246953</v>
      </c>
      <c r="G12" s="223">
        <v>10942768</v>
      </c>
      <c r="H12" s="223">
        <v>11501822</v>
      </c>
      <c r="I12" s="223">
        <v>11442130</v>
      </c>
      <c r="J12" s="223">
        <v>11206003</v>
      </c>
      <c r="K12" s="223">
        <v>11889588</v>
      </c>
      <c r="L12" s="223">
        <v>12171292</v>
      </c>
      <c r="M12" s="223">
        <v>17697469</v>
      </c>
      <c r="N12" s="223">
        <v>17551920</v>
      </c>
      <c r="O12" s="223">
        <v>17727535</v>
      </c>
      <c r="P12" s="223">
        <v>18455627</v>
      </c>
      <c r="Q12" s="223">
        <v>18663176</v>
      </c>
      <c r="R12" s="223">
        <v>18049972</v>
      </c>
      <c r="S12" s="223">
        <v>19672204</v>
      </c>
      <c r="T12" s="223">
        <v>20804840</v>
      </c>
      <c r="U12" s="223">
        <v>24854470</v>
      </c>
      <c r="V12" s="223">
        <v>24694059</v>
      </c>
      <c r="W12" s="223">
        <v>21727704</v>
      </c>
      <c r="X12" s="223">
        <v>22884467</v>
      </c>
      <c r="Y12" s="223">
        <v>23854124</v>
      </c>
      <c r="Z12" s="223">
        <v>23953823</v>
      </c>
      <c r="AA12" s="223">
        <v>23646575</v>
      </c>
      <c r="AB12" s="223">
        <v>23600397</v>
      </c>
      <c r="AC12" s="223">
        <v>23671173</v>
      </c>
      <c r="AE12" s="57"/>
      <c r="AF12" s="44"/>
    </row>
    <row r="13" spans="1:32">
      <c r="A13" s="219" t="s">
        <v>46</v>
      </c>
      <c r="B13" s="223">
        <v>0</v>
      </c>
      <c r="C13" s="220" t="s">
        <v>37</v>
      </c>
      <c r="D13" s="220" t="s">
        <v>37</v>
      </c>
      <c r="E13" s="223">
        <v>0</v>
      </c>
      <c r="F13" s="220" t="s">
        <v>37</v>
      </c>
      <c r="G13" s="223">
        <v>0</v>
      </c>
      <c r="H13" s="223">
        <v>0</v>
      </c>
      <c r="I13" s="223">
        <v>0</v>
      </c>
      <c r="J13" s="223">
        <v>0</v>
      </c>
      <c r="K13" s="223">
        <v>0</v>
      </c>
      <c r="L13" s="223">
        <v>0</v>
      </c>
      <c r="M13" s="223">
        <v>0</v>
      </c>
      <c r="N13" s="223">
        <v>0</v>
      </c>
      <c r="O13" s="223">
        <v>0</v>
      </c>
      <c r="P13" s="223">
        <v>0</v>
      </c>
      <c r="Q13" s="223">
        <v>0</v>
      </c>
      <c r="R13" s="223">
        <v>0</v>
      </c>
      <c r="S13" s="223">
        <v>0</v>
      </c>
      <c r="T13" s="223">
        <v>0</v>
      </c>
      <c r="U13" s="223">
        <v>0</v>
      </c>
      <c r="V13" s="223">
        <v>0</v>
      </c>
      <c r="W13" s="223">
        <v>0</v>
      </c>
      <c r="X13" s="223">
        <v>0</v>
      </c>
      <c r="Y13" s="223">
        <v>0</v>
      </c>
      <c r="Z13" s="223">
        <v>0</v>
      </c>
      <c r="AA13" s="223">
        <v>0</v>
      </c>
      <c r="AB13" s="223">
        <v>0</v>
      </c>
      <c r="AC13" s="223">
        <v>0</v>
      </c>
      <c r="AE13" s="57"/>
      <c r="AF13" s="44"/>
    </row>
    <row r="14" spans="1:32">
      <c r="A14" s="219" t="s">
        <v>47</v>
      </c>
      <c r="B14" s="223">
        <v>0</v>
      </c>
      <c r="C14" s="223">
        <v>0</v>
      </c>
      <c r="D14" s="223">
        <v>0</v>
      </c>
      <c r="E14" s="223">
        <v>0</v>
      </c>
      <c r="F14" s="223">
        <v>0</v>
      </c>
      <c r="G14" s="223">
        <v>0</v>
      </c>
      <c r="H14" s="223">
        <v>0</v>
      </c>
      <c r="I14" s="223">
        <v>0</v>
      </c>
      <c r="J14" s="223">
        <v>0</v>
      </c>
      <c r="K14" s="223">
        <v>0</v>
      </c>
      <c r="L14" s="223">
        <v>0</v>
      </c>
      <c r="M14" s="223">
        <v>0</v>
      </c>
      <c r="N14" s="223">
        <v>0</v>
      </c>
      <c r="O14" s="223">
        <v>0</v>
      </c>
      <c r="P14" s="220" t="s">
        <v>37</v>
      </c>
      <c r="Q14" s="223">
        <v>0</v>
      </c>
      <c r="R14" s="223">
        <v>0</v>
      </c>
      <c r="S14" s="223">
        <v>0</v>
      </c>
      <c r="T14" s="223">
        <v>0</v>
      </c>
      <c r="U14" s="223">
        <v>0</v>
      </c>
      <c r="V14" s="223">
        <v>0</v>
      </c>
      <c r="W14" s="223">
        <v>0</v>
      </c>
      <c r="X14" s="223">
        <v>0</v>
      </c>
      <c r="Y14" s="223">
        <v>0</v>
      </c>
      <c r="Z14" s="223">
        <v>0</v>
      </c>
      <c r="AA14" s="223">
        <v>0</v>
      </c>
      <c r="AB14" s="223">
        <v>0</v>
      </c>
      <c r="AC14" s="223">
        <v>0</v>
      </c>
      <c r="AE14" s="57"/>
      <c r="AF14" s="44"/>
    </row>
    <row r="15" spans="1:32">
      <c r="A15" s="219" t="s">
        <v>48</v>
      </c>
      <c r="B15" s="220" t="s">
        <v>37</v>
      </c>
      <c r="C15" s="220" t="s">
        <v>37</v>
      </c>
      <c r="D15" s="220" t="s">
        <v>37</v>
      </c>
      <c r="E15" s="223">
        <v>86461</v>
      </c>
      <c r="F15" s="223">
        <v>158609</v>
      </c>
      <c r="G15" s="223">
        <v>184875</v>
      </c>
      <c r="H15" s="223">
        <v>201349</v>
      </c>
      <c r="I15" s="223">
        <v>122284</v>
      </c>
      <c r="J15" s="223">
        <v>111218</v>
      </c>
      <c r="K15" s="223">
        <v>137785</v>
      </c>
      <c r="L15" s="223">
        <v>240753</v>
      </c>
      <c r="M15" s="223">
        <v>258069</v>
      </c>
      <c r="N15" s="223">
        <v>259096</v>
      </c>
      <c r="O15" s="223">
        <v>416998</v>
      </c>
      <c r="P15" s="223">
        <v>619603</v>
      </c>
      <c r="Q15" s="220" t="s">
        <v>37</v>
      </c>
      <c r="R15" s="220" t="s">
        <v>37</v>
      </c>
      <c r="S15" s="220" t="s">
        <v>37</v>
      </c>
      <c r="T15" s="220" t="s">
        <v>37</v>
      </c>
      <c r="U15" s="220" t="s">
        <v>37</v>
      </c>
      <c r="V15" s="220" t="s">
        <v>37</v>
      </c>
      <c r="W15" s="220" t="s">
        <v>37</v>
      </c>
      <c r="X15" s="220" t="s">
        <v>37</v>
      </c>
      <c r="Y15" s="220" t="s">
        <v>37</v>
      </c>
      <c r="Z15" s="220" t="s">
        <v>37</v>
      </c>
      <c r="AA15" s="220" t="s">
        <v>37</v>
      </c>
      <c r="AB15" s="220" t="s">
        <v>37</v>
      </c>
      <c r="AC15" s="220" t="s">
        <v>37</v>
      </c>
      <c r="AE15" s="47"/>
      <c r="AF15" s="44"/>
    </row>
    <row r="16" spans="1:32">
      <c r="A16" s="219" t="s">
        <v>49</v>
      </c>
      <c r="B16" s="223">
        <v>0</v>
      </c>
      <c r="C16" s="223">
        <v>0</v>
      </c>
      <c r="D16" s="223">
        <v>0</v>
      </c>
      <c r="E16" s="223">
        <v>0</v>
      </c>
      <c r="F16" s="223">
        <v>0</v>
      </c>
      <c r="G16" s="223">
        <v>0</v>
      </c>
      <c r="H16" s="223">
        <v>0</v>
      </c>
      <c r="I16" s="223">
        <v>0</v>
      </c>
      <c r="J16" s="223">
        <v>0</v>
      </c>
      <c r="K16" s="223">
        <v>0</v>
      </c>
      <c r="L16" s="223">
        <v>0</v>
      </c>
      <c r="M16" s="220" t="s">
        <v>37</v>
      </c>
      <c r="N16" s="220" t="s">
        <v>37</v>
      </c>
      <c r="O16" s="220" t="s">
        <v>37</v>
      </c>
      <c r="P16" s="220" t="s">
        <v>37</v>
      </c>
      <c r="Q16" s="220" t="s">
        <v>37</v>
      </c>
      <c r="R16" s="220" t="s">
        <v>37</v>
      </c>
      <c r="S16" s="220" t="s">
        <v>37</v>
      </c>
      <c r="T16" s="220" t="s">
        <v>37</v>
      </c>
      <c r="U16" s="223">
        <v>0</v>
      </c>
      <c r="V16" s="223">
        <v>0</v>
      </c>
      <c r="W16" s="223">
        <v>0</v>
      </c>
      <c r="X16" s="223">
        <v>0</v>
      </c>
      <c r="Y16" s="223">
        <v>0</v>
      </c>
      <c r="Z16" s="223">
        <v>0</v>
      </c>
      <c r="AA16" s="223">
        <v>0</v>
      </c>
      <c r="AB16" s="223">
        <v>0</v>
      </c>
      <c r="AC16" s="223">
        <v>0</v>
      </c>
      <c r="AE16" s="57"/>
      <c r="AF16" s="44"/>
    </row>
    <row r="17" spans="1:32">
      <c r="A17" s="219" t="s">
        <v>50</v>
      </c>
      <c r="B17" s="220" t="s">
        <v>37</v>
      </c>
      <c r="C17" s="223">
        <v>1738952</v>
      </c>
      <c r="D17" s="223">
        <v>1980759</v>
      </c>
      <c r="E17" s="223">
        <v>3432823</v>
      </c>
      <c r="F17" s="223">
        <v>2702990</v>
      </c>
      <c r="G17" s="223">
        <v>2644425</v>
      </c>
      <c r="H17" s="223">
        <v>2863099</v>
      </c>
      <c r="I17" s="223">
        <v>3161362</v>
      </c>
      <c r="J17" s="223">
        <v>3340590</v>
      </c>
      <c r="K17" s="223">
        <v>3677912</v>
      </c>
      <c r="L17" s="223">
        <v>4201127</v>
      </c>
      <c r="M17" s="223">
        <v>5056426</v>
      </c>
      <c r="N17" s="223">
        <v>4576301</v>
      </c>
      <c r="O17" s="223">
        <v>4419234</v>
      </c>
      <c r="P17" s="223">
        <v>5277904</v>
      </c>
      <c r="Q17" s="223">
        <v>6269357</v>
      </c>
      <c r="R17" s="223">
        <v>6609263</v>
      </c>
      <c r="S17" s="223">
        <v>6629237</v>
      </c>
      <c r="T17" s="223">
        <v>6853001</v>
      </c>
      <c r="U17" s="223">
        <v>8119356</v>
      </c>
      <c r="V17" s="223">
        <v>8244527</v>
      </c>
      <c r="W17" s="223">
        <v>6245351</v>
      </c>
      <c r="X17" s="223">
        <v>6603289</v>
      </c>
      <c r="Y17" s="223">
        <v>6469486</v>
      </c>
      <c r="Z17" s="223">
        <v>6904333</v>
      </c>
      <c r="AA17" s="223">
        <v>6836061</v>
      </c>
      <c r="AB17" s="223">
        <v>6907725</v>
      </c>
      <c r="AC17" s="223">
        <v>6848733</v>
      </c>
      <c r="AE17" s="57"/>
      <c r="AF17" s="44"/>
    </row>
    <row r="18" spans="1:32">
      <c r="A18" s="219" t="s">
        <v>51</v>
      </c>
      <c r="B18" s="223">
        <v>0</v>
      </c>
      <c r="C18" s="223">
        <v>0</v>
      </c>
      <c r="D18" s="223">
        <v>0</v>
      </c>
      <c r="E18" s="223">
        <v>0</v>
      </c>
      <c r="F18" s="223">
        <v>0</v>
      </c>
      <c r="G18" s="223">
        <v>0</v>
      </c>
      <c r="H18" s="223">
        <v>0</v>
      </c>
      <c r="I18" s="223">
        <v>0</v>
      </c>
      <c r="J18" s="223">
        <v>0</v>
      </c>
      <c r="K18" s="223">
        <v>0</v>
      </c>
      <c r="L18" s="223">
        <v>0</v>
      </c>
      <c r="M18" s="223">
        <v>0</v>
      </c>
      <c r="N18" s="223">
        <v>0</v>
      </c>
      <c r="O18" s="223">
        <v>0</v>
      </c>
      <c r="P18" s="223">
        <v>0</v>
      </c>
      <c r="Q18" s="223">
        <v>0</v>
      </c>
      <c r="R18" s="223">
        <v>0</v>
      </c>
      <c r="S18" s="223">
        <v>0</v>
      </c>
      <c r="T18" s="223">
        <v>0</v>
      </c>
      <c r="U18" s="223">
        <v>0</v>
      </c>
      <c r="V18" s="223">
        <v>0</v>
      </c>
      <c r="W18" s="223">
        <v>0</v>
      </c>
      <c r="X18" s="223">
        <v>0</v>
      </c>
      <c r="Y18" s="223">
        <v>0</v>
      </c>
      <c r="Z18" s="223">
        <v>0</v>
      </c>
      <c r="AA18" s="223">
        <v>0</v>
      </c>
      <c r="AB18" s="223">
        <v>516809</v>
      </c>
      <c r="AC18" s="223">
        <v>515491.99999999994</v>
      </c>
      <c r="AE18" s="57"/>
      <c r="AF18" s="44"/>
    </row>
    <row r="19" spans="1:32">
      <c r="A19" s="219" t="s">
        <v>52</v>
      </c>
      <c r="B19" s="220" t="s">
        <v>37</v>
      </c>
      <c r="C19" s="223">
        <v>199139</v>
      </c>
      <c r="D19" s="223">
        <v>0</v>
      </c>
      <c r="E19" s="223">
        <v>249161</v>
      </c>
      <c r="F19" s="223">
        <v>2375000</v>
      </c>
      <c r="G19" s="223">
        <v>5328947</v>
      </c>
      <c r="H19" s="223">
        <v>5905852</v>
      </c>
      <c r="I19" s="223">
        <v>5567220</v>
      </c>
      <c r="J19" s="223">
        <v>5500788</v>
      </c>
      <c r="K19" s="223">
        <v>5868169</v>
      </c>
      <c r="L19" s="223">
        <v>6065261</v>
      </c>
      <c r="M19" s="223">
        <v>9529967</v>
      </c>
      <c r="N19" s="223">
        <v>9529816</v>
      </c>
      <c r="O19" s="223">
        <v>10975255</v>
      </c>
      <c r="P19" s="223">
        <v>11940770</v>
      </c>
      <c r="Q19" s="223">
        <v>11773175</v>
      </c>
      <c r="R19" s="223">
        <v>12021039</v>
      </c>
      <c r="S19" s="223">
        <v>10844523</v>
      </c>
      <c r="T19" s="223">
        <v>11593439</v>
      </c>
      <c r="U19" s="223">
        <v>14993651</v>
      </c>
      <c r="V19" s="223">
        <v>15344004</v>
      </c>
      <c r="W19" s="223">
        <v>14607642</v>
      </c>
      <c r="X19" s="223">
        <v>15813393</v>
      </c>
      <c r="Y19" s="223">
        <v>16507618</v>
      </c>
      <c r="Z19" s="223">
        <v>17728130</v>
      </c>
      <c r="AA19" s="223">
        <v>16469474</v>
      </c>
      <c r="AB19" s="223">
        <v>17255505</v>
      </c>
      <c r="AC19" s="223">
        <v>19875648</v>
      </c>
      <c r="AE19" s="57"/>
      <c r="AF19" s="44"/>
    </row>
    <row r="20" spans="1:32">
      <c r="A20" s="219" t="s">
        <v>53</v>
      </c>
      <c r="B20" s="223">
        <v>0</v>
      </c>
      <c r="C20" s="223">
        <v>0</v>
      </c>
      <c r="D20" s="223">
        <v>0</v>
      </c>
      <c r="E20" s="223">
        <v>0</v>
      </c>
      <c r="F20" s="223">
        <v>0</v>
      </c>
      <c r="G20" s="223">
        <v>0</v>
      </c>
      <c r="H20" s="223">
        <v>0</v>
      </c>
      <c r="I20" s="223">
        <v>0</v>
      </c>
      <c r="J20" s="223">
        <v>0</v>
      </c>
      <c r="K20" s="223">
        <v>0</v>
      </c>
      <c r="L20" s="223">
        <v>0</v>
      </c>
      <c r="M20" s="223">
        <v>0</v>
      </c>
      <c r="N20" s="223">
        <v>0</v>
      </c>
      <c r="O20" s="223">
        <v>0</v>
      </c>
      <c r="P20" s="223">
        <v>0</v>
      </c>
      <c r="Q20" s="223">
        <v>0</v>
      </c>
      <c r="R20" s="223">
        <v>0</v>
      </c>
      <c r="S20" s="223">
        <v>0</v>
      </c>
      <c r="T20" s="223">
        <v>0</v>
      </c>
      <c r="U20" s="223">
        <v>0</v>
      </c>
      <c r="V20" s="223">
        <v>0</v>
      </c>
      <c r="W20" s="223">
        <v>0</v>
      </c>
      <c r="X20" s="223">
        <v>0</v>
      </c>
      <c r="Y20" s="223">
        <v>0</v>
      </c>
      <c r="Z20" s="223">
        <v>0</v>
      </c>
      <c r="AA20" s="223">
        <v>0</v>
      </c>
      <c r="AB20" s="223">
        <v>0</v>
      </c>
      <c r="AC20" s="223">
        <v>0</v>
      </c>
      <c r="AE20" s="57"/>
      <c r="AF20" s="44"/>
    </row>
    <row r="21" spans="1:32">
      <c r="A21" s="219" t="s">
        <v>54</v>
      </c>
      <c r="B21" s="223">
        <v>1457938</v>
      </c>
      <c r="C21" s="223">
        <v>1938091</v>
      </c>
      <c r="D21" s="223">
        <v>1980759</v>
      </c>
      <c r="E21" s="223">
        <v>3681984</v>
      </c>
      <c r="F21" s="223">
        <v>5077990</v>
      </c>
      <c r="G21" s="223">
        <v>7973372</v>
      </c>
      <c r="H21" s="223">
        <v>8768951</v>
      </c>
      <c r="I21" s="223">
        <v>8728582</v>
      </c>
      <c r="J21" s="223">
        <v>8841378</v>
      </c>
      <c r="K21" s="223">
        <v>9546081</v>
      </c>
      <c r="L21" s="223">
        <v>10266388</v>
      </c>
      <c r="M21" s="223">
        <v>14586393</v>
      </c>
      <c r="N21" s="223">
        <v>14106117</v>
      </c>
      <c r="O21" s="223">
        <v>15394489</v>
      </c>
      <c r="P21" s="223">
        <v>17218674</v>
      </c>
      <c r="Q21" s="223">
        <v>18042532</v>
      </c>
      <c r="R21" s="223">
        <v>18630302</v>
      </c>
      <c r="S21" s="223">
        <v>17473760</v>
      </c>
      <c r="T21" s="223">
        <v>18446440</v>
      </c>
      <c r="U21" s="223">
        <v>23113007</v>
      </c>
      <c r="V21" s="223">
        <v>23588531</v>
      </c>
      <c r="W21" s="223">
        <v>20768254</v>
      </c>
      <c r="X21" s="223">
        <v>22416682</v>
      </c>
      <c r="Y21" s="223">
        <v>22977104</v>
      </c>
      <c r="Z21" s="223">
        <v>24632463</v>
      </c>
      <c r="AA21" s="223">
        <v>23305535</v>
      </c>
      <c r="AB21" s="223">
        <v>24680039</v>
      </c>
      <c r="AC21" s="223">
        <v>27238853</v>
      </c>
      <c r="AE21" s="57"/>
      <c r="AF21" s="44"/>
    </row>
    <row r="22" spans="1:32">
      <c r="A22" s="219" t="s">
        <v>55</v>
      </c>
      <c r="B22" s="223">
        <v>1700154</v>
      </c>
      <c r="C22" s="223">
        <v>2215167</v>
      </c>
      <c r="D22" s="223">
        <v>2236798</v>
      </c>
      <c r="E22" s="223">
        <v>3950736</v>
      </c>
      <c r="F22" s="223">
        <v>5411368</v>
      </c>
      <c r="G22" s="223">
        <v>8512828</v>
      </c>
      <c r="H22" s="223">
        <v>9495638</v>
      </c>
      <c r="I22" s="223">
        <v>9470241</v>
      </c>
      <c r="J22" s="223">
        <v>9625172</v>
      </c>
      <c r="K22" s="223">
        <v>10412992</v>
      </c>
      <c r="L22" s="223">
        <v>11228824</v>
      </c>
      <c r="M22" s="223">
        <v>16049369</v>
      </c>
      <c r="N22" s="223">
        <v>15556451</v>
      </c>
      <c r="O22" s="223">
        <v>16909517</v>
      </c>
      <c r="P22" s="223">
        <v>18978453</v>
      </c>
      <c r="Q22" s="223">
        <v>19664661</v>
      </c>
      <c r="R22" s="223">
        <v>20234931</v>
      </c>
      <c r="S22" s="223">
        <v>19138208</v>
      </c>
      <c r="T22" s="223">
        <v>20404692</v>
      </c>
      <c r="U22" s="223">
        <v>25515511</v>
      </c>
      <c r="V22" s="223">
        <v>26311457</v>
      </c>
      <c r="W22" s="223">
        <v>23470549</v>
      </c>
      <c r="X22" s="223">
        <v>25323276</v>
      </c>
      <c r="Y22" s="223">
        <v>26005904</v>
      </c>
      <c r="Z22" s="223">
        <v>27828394</v>
      </c>
      <c r="AA22" s="223">
        <v>26659104</v>
      </c>
      <c r="AB22" s="223">
        <v>28101319</v>
      </c>
      <c r="AC22" s="223">
        <v>31128608</v>
      </c>
      <c r="AE22" s="57"/>
      <c r="AF22" s="44"/>
    </row>
    <row r="23" spans="1:32">
      <c r="A23" s="219" t="s">
        <v>56</v>
      </c>
      <c r="B23" s="223">
        <v>29521</v>
      </c>
      <c r="C23" s="223">
        <v>57307</v>
      </c>
      <c r="D23" s="223">
        <v>232946</v>
      </c>
      <c r="E23" s="223">
        <v>1304891</v>
      </c>
      <c r="F23" s="223">
        <v>1556862</v>
      </c>
      <c r="G23" s="223">
        <v>3409209</v>
      </c>
      <c r="H23" s="223">
        <v>3253658</v>
      </c>
      <c r="I23" s="223">
        <v>3064471</v>
      </c>
      <c r="J23" s="223">
        <v>3214691</v>
      </c>
      <c r="K23" s="223">
        <v>3467733</v>
      </c>
      <c r="L23" s="223">
        <v>3338627</v>
      </c>
      <c r="M23" s="223">
        <v>4642606</v>
      </c>
      <c r="N23" s="223">
        <v>4307296</v>
      </c>
      <c r="O23" s="223">
        <v>3979642</v>
      </c>
      <c r="P23" s="223">
        <v>2821634</v>
      </c>
      <c r="Q23" s="223">
        <v>2612998</v>
      </c>
      <c r="R23" s="223">
        <v>4458137</v>
      </c>
      <c r="S23" s="223">
        <v>4830780</v>
      </c>
      <c r="T23" s="223">
        <v>4649666</v>
      </c>
      <c r="U23" s="223">
        <v>5910603</v>
      </c>
      <c r="V23" s="223">
        <v>5849406</v>
      </c>
      <c r="W23" s="223">
        <v>5093177</v>
      </c>
      <c r="X23" s="223">
        <v>4471464</v>
      </c>
      <c r="Y23" s="223">
        <v>4310448</v>
      </c>
      <c r="Z23" s="223">
        <v>3686168</v>
      </c>
      <c r="AA23" s="223">
        <v>3296681</v>
      </c>
      <c r="AB23" s="223">
        <v>2526398</v>
      </c>
      <c r="AC23" s="223">
        <v>3039472</v>
      </c>
      <c r="AE23" s="57"/>
      <c r="AF23" s="44"/>
    </row>
    <row r="24" spans="1:32">
      <c r="A24" s="219" t="s">
        <v>57</v>
      </c>
      <c r="B24" s="223">
        <v>0</v>
      </c>
      <c r="C24" s="223">
        <v>0</v>
      </c>
      <c r="D24" s="223">
        <v>0</v>
      </c>
      <c r="E24" s="223">
        <v>0</v>
      </c>
      <c r="F24" s="223">
        <v>0</v>
      </c>
      <c r="G24" s="223">
        <v>0</v>
      </c>
      <c r="H24" s="223">
        <v>0</v>
      </c>
      <c r="I24" s="223">
        <v>0</v>
      </c>
      <c r="J24" s="223">
        <v>0</v>
      </c>
      <c r="K24" s="223">
        <v>0</v>
      </c>
      <c r="L24" s="223">
        <v>0</v>
      </c>
      <c r="M24" s="223">
        <v>0</v>
      </c>
      <c r="N24" s="223">
        <v>0</v>
      </c>
      <c r="O24" s="223">
        <v>0</v>
      </c>
      <c r="P24" s="223">
        <v>592978</v>
      </c>
      <c r="Q24" s="223">
        <v>488969</v>
      </c>
      <c r="R24" s="223">
        <v>724825</v>
      </c>
      <c r="S24" s="223">
        <v>802972</v>
      </c>
      <c r="T24" s="223">
        <v>894622</v>
      </c>
      <c r="U24" s="223">
        <v>982486</v>
      </c>
      <c r="V24" s="223">
        <v>973226</v>
      </c>
      <c r="W24" s="223">
        <v>858328</v>
      </c>
      <c r="X24" s="223">
        <v>744905</v>
      </c>
      <c r="Y24" s="223">
        <v>649464</v>
      </c>
      <c r="Z24" s="223">
        <v>552596</v>
      </c>
      <c r="AA24" s="223">
        <v>500275</v>
      </c>
      <c r="AB24" s="223">
        <v>384852</v>
      </c>
      <c r="AC24" s="223">
        <v>432874</v>
      </c>
      <c r="AE24" s="57"/>
      <c r="AF24" s="44"/>
    </row>
    <row r="25" spans="1:32">
      <c r="A25" s="219" t="s">
        <v>58</v>
      </c>
      <c r="B25" s="223">
        <v>29521</v>
      </c>
      <c r="C25" s="223">
        <v>57307</v>
      </c>
      <c r="D25" s="223">
        <v>232946</v>
      </c>
      <c r="E25" s="223">
        <v>1304891</v>
      </c>
      <c r="F25" s="223">
        <v>1556862</v>
      </c>
      <c r="G25" s="223">
        <v>3409209</v>
      </c>
      <c r="H25" s="223">
        <v>3253658</v>
      </c>
      <c r="I25" s="223">
        <v>3064471</v>
      </c>
      <c r="J25" s="223">
        <v>3214691</v>
      </c>
      <c r="K25" s="223">
        <v>3467733</v>
      </c>
      <c r="L25" s="223">
        <v>3338627</v>
      </c>
      <c r="M25" s="223">
        <v>4642606</v>
      </c>
      <c r="N25" s="223">
        <v>4307296</v>
      </c>
      <c r="O25" s="223">
        <v>3979642</v>
      </c>
      <c r="P25" s="223">
        <v>3414612</v>
      </c>
      <c r="Q25" s="223">
        <v>3101967</v>
      </c>
      <c r="R25" s="223">
        <v>5182962</v>
      </c>
      <c r="S25" s="223">
        <v>5633752</v>
      </c>
      <c r="T25" s="223">
        <v>5544288</v>
      </c>
      <c r="U25" s="223">
        <v>6893089</v>
      </c>
      <c r="V25" s="223">
        <v>6822632</v>
      </c>
      <c r="W25" s="223">
        <v>5951505</v>
      </c>
      <c r="X25" s="223">
        <v>5216369</v>
      </c>
      <c r="Y25" s="223">
        <v>4959912</v>
      </c>
      <c r="Z25" s="223">
        <v>4238764</v>
      </c>
      <c r="AA25" s="223">
        <v>3796956</v>
      </c>
      <c r="AB25" s="223">
        <v>2911250</v>
      </c>
      <c r="AC25" s="223">
        <v>3472346</v>
      </c>
      <c r="AE25" s="57"/>
      <c r="AF25" s="44"/>
    </row>
    <row r="26" spans="1:32">
      <c r="A26" s="219" t="s">
        <v>59</v>
      </c>
      <c r="B26" s="226">
        <v>926493.8</v>
      </c>
      <c r="C26" s="226">
        <v>1174001.8</v>
      </c>
      <c r="D26" s="226">
        <v>1422529.8</v>
      </c>
      <c r="E26" s="226">
        <v>3003292.9</v>
      </c>
      <c r="F26" s="226">
        <v>3584010.4</v>
      </c>
      <c r="G26" s="226">
        <v>4753088.4000000004</v>
      </c>
      <c r="H26" s="226">
        <v>3971978</v>
      </c>
      <c r="I26" s="226">
        <v>4126698.2</v>
      </c>
      <c r="J26" s="226">
        <v>5097739</v>
      </c>
      <c r="K26" s="226">
        <v>6321468.4000000004</v>
      </c>
      <c r="L26" s="226">
        <v>9359845.6999999993</v>
      </c>
      <c r="M26" s="226">
        <v>14247221</v>
      </c>
      <c r="N26" s="226">
        <v>16886308</v>
      </c>
      <c r="O26" s="226">
        <v>22428753.199999999</v>
      </c>
      <c r="P26" s="226">
        <v>19372757.699999999</v>
      </c>
      <c r="Q26" s="226">
        <v>12290012.699999999</v>
      </c>
      <c r="R26" s="226">
        <v>22802712</v>
      </c>
      <c r="S26" s="226">
        <v>29146780.300000001</v>
      </c>
      <c r="T26" s="226">
        <v>37889824.899999999</v>
      </c>
      <c r="U26" s="226">
        <v>48992695.5</v>
      </c>
      <c r="V26" s="226">
        <v>47262199.299999997</v>
      </c>
      <c r="W26" s="226">
        <v>56597586.299999997</v>
      </c>
      <c r="X26" s="226">
        <v>60163735.399999999</v>
      </c>
      <c r="Y26" s="226">
        <v>55623959.600000001</v>
      </c>
      <c r="Z26" s="226">
        <v>53439795.5</v>
      </c>
      <c r="AA26" s="226">
        <v>51911844.399999999</v>
      </c>
      <c r="AB26" s="226">
        <v>45711200.299999997</v>
      </c>
      <c r="AC26" s="226">
        <v>28014600.756479997</v>
      </c>
      <c r="AE26" s="186"/>
      <c r="AF26" s="44"/>
    </row>
    <row r="27" spans="1:32">
      <c r="A27" s="219" t="s">
        <v>60</v>
      </c>
      <c r="B27" s="226">
        <v>1768665.9</v>
      </c>
      <c r="C27" s="226">
        <v>2083307.7</v>
      </c>
      <c r="D27" s="226">
        <v>2331293.7999999998</v>
      </c>
      <c r="E27" s="226">
        <v>4893488.4000000004</v>
      </c>
      <c r="F27" s="226">
        <v>5605788.0999999996</v>
      </c>
      <c r="G27" s="226">
        <v>6582279.9000000004</v>
      </c>
      <c r="H27" s="226">
        <v>5473115.4000000004</v>
      </c>
      <c r="I27" s="226">
        <v>5685887.7000000002</v>
      </c>
      <c r="J27" s="226">
        <v>6972816.0999999996</v>
      </c>
      <c r="K27" s="226">
        <v>8493295.0999999996</v>
      </c>
      <c r="L27" s="226">
        <v>12167674.199999999</v>
      </c>
      <c r="M27" s="226">
        <v>18188431.699999999</v>
      </c>
      <c r="N27" s="226">
        <v>21370896.600000001</v>
      </c>
      <c r="O27" s="226">
        <v>28416353.300000001</v>
      </c>
      <c r="P27" s="226">
        <v>24403102.600000001</v>
      </c>
      <c r="Q27" s="226">
        <v>15284866.300000001</v>
      </c>
      <c r="R27" s="226">
        <v>27415533.399999999</v>
      </c>
      <c r="S27" s="226">
        <v>35139403.700000003</v>
      </c>
      <c r="T27" s="226">
        <v>45736872.700000003</v>
      </c>
      <c r="U27" s="226">
        <v>57205874.799999997</v>
      </c>
      <c r="V27" s="226">
        <v>55151110.5</v>
      </c>
      <c r="W27" s="226">
        <v>66221495.5</v>
      </c>
      <c r="X27" s="226">
        <v>70238495.299999997</v>
      </c>
      <c r="Y27" s="226">
        <v>64023503.399999999</v>
      </c>
      <c r="Z27" s="226">
        <v>61490902.299999997</v>
      </c>
      <c r="AA27" s="226">
        <v>59775014.899999999</v>
      </c>
      <c r="AB27" s="226">
        <v>52673608.100000001</v>
      </c>
      <c r="AC27" s="226">
        <v>32050238.995840002</v>
      </c>
      <c r="AE27" s="186"/>
      <c r="AF27" s="44"/>
    </row>
    <row r="28" spans="1:32">
      <c r="A28" s="219" t="s">
        <v>61</v>
      </c>
      <c r="B28" s="226">
        <v>3226603.9</v>
      </c>
      <c r="C28" s="226">
        <v>4021398.7</v>
      </c>
      <c r="D28" s="226">
        <v>4411975.8</v>
      </c>
      <c r="E28" s="226">
        <v>8868384.4000000004</v>
      </c>
      <c r="F28" s="226">
        <v>11022839.1</v>
      </c>
      <c r="G28" s="226">
        <v>15588662.9</v>
      </c>
      <c r="H28" s="226">
        <v>15294252.4</v>
      </c>
      <c r="I28" s="226">
        <v>15463285.699999999</v>
      </c>
      <c r="J28" s="226">
        <v>16872891.100000001</v>
      </c>
      <c r="K28" s="226">
        <v>19048234.100000001</v>
      </c>
      <c r="L28" s="226">
        <v>23069232.199999999</v>
      </c>
      <c r="M28" s="226">
        <v>34259412.700000003</v>
      </c>
      <c r="N28" s="226">
        <v>36960346.600000001</v>
      </c>
      <c r="O28" s="226">
        <v>45047237.299999997</v>
      </c>
      <c r="P28" s="226">
        <v>43304002.600000001</v>
      </c>
      <c r="Q28" s="226">
        <v>33872556.299999997</v>
      </c>
      <c r="R28" s="226">
        <v>46448277.399999999</v>
      </c>
      <c r="S28" s="226">
        <v>52557564.700000003</v>
      </c>
      <c r="T28" s="226">
        <v>64432104.700000003</v>
      </c>
      <c r="U28" s="226">
        <v>80535857.799999997</v>
      </c>
      <c r="V28" s="226">
        <v>78974237.5</v>
      </c>
      <c r="W28" s="226">
        <v>87054904.5</v>
      </c>
      <c r="X28" s="226">
        <v>92724017.299999997</v>
      </c>
      <c r="Y28" s="226">
        <v>87183332.400000006</v>
      </c>
      <c r="Z28" s="226">
        <v>86357430.299999997</v>
      </c>
      <c r="AA28" s="226">
        <v>83357957.900000006</v>
      </c>
      <c r="AB28" s="226">
        <v>77619068.099999994</v>
      </c>
      <c r="AC28" s="226">
        <v>59515917.995839998</v>
      </c>
      <c r="AE28" s="186"/>
      <c r="AF28" s="44"/>
    </row>
    <row r="29" spans="1:32">
      <c r="A29" s="219" t="s">
        <v>62</v>
      </c>
      <c r="B29" s="226">
        <v>3115978.9</v>
      </c>
      <c r="C29" s="226">
        <v>3916259.7</v>
      </c>
      <c r="D29" s="226">
        <v>4349254.8</v>
      </c>
      <c r="E29" s="226">
        <v>8804075.4000000004</v>
      </c>
      <c r="F29" s="226">
        <v>10913140.1</v>
      </c>
      <c r="G29" s="226">
        <v>15459467.9</v>
      </c>
      <c r="H29" s="226">
        <v>15136620.4</v>
      </c>
      <c r="I29" s="226">
        <v>15240174.699999999</v>
      </c>
      <c r="J29" s="226">
        <v>16613131.1</v>
      </c>
      <c r="K29" s="226">
        <v>18651105.100000001</v>
      </c>
      <c r="L29" s="226">
        <v>22533609.199999999</v>
      </c>
      <c r="M29" s="226">
        <v>33739328.700000003</v>
      </c>
      <c r="N29" s="226">
        <v>36623298.600000001</v>
      </c>
      <c r="O29" s="226">
        <v>44117877.299999997</v>
      </c>
      <c r="P29" s="226">
        <v>42802020.600000001</v>
      </c>
      <c r="Q29" s="226">
        <v>33099012.300000001</v>
      </c>
      <c r="R29" s="226">
        <v>42490559.399999999</v>
      </c>
      <c r="S29" s="226">
        <v>51760846.700000003</v>
      </c>
      <c r="T29" s="226">
        <v>63633454.700000003</v>
      </c>
      <c r="U29" s="226">
        <v>79351339.799999997</v>
      </c>
      <c r="V29" s="226">
        <v>77257374.5</v>
      </c>
      <c r="W29" s="226">
        <v>86442622.5</v>
      </c>
      <c r="X29" s="226">
        <v>92022883.299999997</v>
      </c>
      <c r="Y29" s="226">
        <v>86623273.400000006</v>
      </c>
      <c r="Z29" s="226">
        <v>84875121.299999997</v>
      </c>
      <c r="AA29" s="226">
        <v>82843622.900000006</v>
      </c>
      <c r="AB29" s="226">
        <v>76949695.099999994</v>
      </c>
      <c r="AC29" s="226">
        <v>58504304.995839998</v>
      </c>
      <c r="AE29" s="186"/>
      <c r="AF29" s="44"/>
    </row>
    <row r="30" spans="1:32">
      <c r="A30" s="219" t="s">
        <v>63</v>
      </c>
      <c r="B30" s="220" t="s">
        <v>37</v>
      </c>
      <c r="C30" s="226">
        <v>3916429.7</v>
      </c>
      <c r="D30" s="226">
        <v>4516898.8</v>
      </c>
      <c r="E30" s="226">
        <v>9252293.4000000004</v>
      </c>
      <c r="F30" s="226">
        <v>11683916.1</v>
      </c>
      <c r="G30" s="226">
        <v>16686511.9</v>
      </c>
      <c r="H30" s="226">
        <v>17012778.399999999</v>
      </c>
      <c r="I30" s="226">
        <v>17406962.699999999</v>
      </c>
      <c r="J30" s="226">
        <v>19005654.100000001</v>
      </c>
      <c r="K30" s="226">
        <v>20930714.100000001</v>
      </c>
      <c r="L30" s="226">
        <v>25273239.199999999</v>
      </c>
      <c r="M30" s="226">
        <v>36489655.700000003</v>
      </c>
      <c r="N30" s="226">
        <v>39792960.600000001</v>
      </c>
      <c r="O30" s="226">
        <v>47590105.299999997</v>
      </c>
      <c r="P30" s="226">
        <v>49370423.600000001</v>
      </c>
      <c r="Q30" s="226">
        <v>39731431.299999997</v>
      </c>
      <c r="R30" s="226">
        <v>49042929.399999999</v>
      </c>
      <c r="S30" s="226">
        <v>58323346.700000003</v>
      </c>
      <c r="T30" s="226">
        <v>70134962.700000003</v>
      </c>
      <c r="U30" s="226">
        <v>84731698.799999997</v>
      </c>
      <c r="V30" s="226">
        <v>83353820.5</v>
      </c>
      <c r="W30" s="226">
        <v>92802504.5</v>
      </c>
      <c r="X30" s="226">
        <v>98715692.299999997</v>
      </c>
      <c r="Y30" s="226">
        <v>93366525.400000006</v>
      </c>
      <c r="Z30" s="226">
        <v>91886646.299999997</v>
      </c>
      <c r="AA30" s="226">
        <v>90004014.900000006</v>
      </c>
      <c r="AB30" s="226">
        <v>84245042.099999994</v>
      </c>
      <c r="AC30" s="226">
        <v>65746205.995840006</v>
      </c>
      <c r="AE30" s="186"/>
      <c r="AF30" s="44"/>
    </row>
    <row r="31" spans="1:32">
      <c r="A31" s="219" t="s">
        <v>30</v>
      </c>
      <c r="B31" s="220"/>
      <c r="C31" s="220"/>
      <c r="D31" s="220"/>
      <c r="E31" s="22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E31" s="47"/>
      <c r="AF31" s="44"/>
    </row>
    <row r="32" spans="1:32">
      <c r="A32" s="222" t="s">
        <v>64</v>
      </c>
      <c r="B32" s="220"/>
      <c r="C32" s="220"/>
      <c r="D32" s="220"/>
      <c r="E32" s="220"/>
      <c r="F32" s="220"/>
      <c r="G32" s="220"/>
      <c r="H32" s="220"/>
      <c r="I32" s="220"/>
      <c r="J32" s="220"/>
      <c r="K32" s="220"/>
      <c r="L32" s="220"/>
      <c r="M32" s="220"/>
      <c r="N32" s="220"/>
      <c r="O32" s="220"/>
      <c r="P32" s="220"/>
      <c r="Q32" s="220"/>
      <c r="R32" s="220"/>
      <c r="S32" s="220"/>
      <c r="T32" s="220"/>
      <c r="U32" s="220"/>
      <c r="V32" s="220"/>
      <c r="W32" s="220"/>
      <c r="X32" s="220"/>
      <c r="Y32" s="220"/>
      <c r="Z32" s="220"/>
      <c r="AA32" s="220"/>
      <c r="AB32" s="220"/>
      <c r="AC32" s="220"/>
      <c r="AE32" s="47"/>
      <c r="AF32" s="38"/>
    </row>
    <row r="33" spans="1:32">
      <c r="A33" s="219" t="s">
        <v>65</v>
      </c>
      <c r="B33" s="223">
        <v>14479</v>
      </c>
      <c r="C33" s="223">
        <v>444767</v>
      </c>
      <c r="D33" s="223">
        <v>524129</v>
      </c>
      <c r="E33" s="223">
        <v>702873</v>
      </c>
      <c r="F33" s="223">
        <v>1002578</v>
      </c>
      <c r="G33" s="223">
        <v>1329867</v>
      </c>
      <c r="H33" s="223">
        <v>1791412</v>
      </c>
      <c r="I33" s="223">
        <v>1887049</v>
      </c>
      <c r="J33" s="223">
        <v>1926192</v>
      </c>
      <c r="K33" s="223">
        <v>1987410</v>
      </c>
      <c r="L33" s="522">
        <v>2098252</v>
      </c>
      <c r="M33" s="522">
        <v>2411416</v>
      </c>
      <c r="N33" s="522">
        <v>2920094</v>
      </c>
      <c r="O33" s="522">
        <v>3063177</v>
      </c>
      <c r="P33" s="522">
        <v>3287880</v>
      </c>
      <c r="Q33" s="522">
        <v>3458098</v>
      </c>
      <c r="R33" s="522">
        <v>3463987</v>
      </c>
      <c r="S33" s="522">
        <v>3623920</v>
      </c>
      <c r="T33" s="522">
        <v>3982835</v>
      </c>
      <c r="U33" s="522">
        <v>4551899</v>
      </c>
      <c r="V33" s="522">
        <v>4868338</v>
      </c>
      <c r="W33" s="522">
        <v>4531811</v>
      </c>
      <c r="X33" s="522">
        <v>4782040</v>
      </c>
      <c r="Y33" s="522">
        <v>5014810</v>
      </c>
      <c r="Z33" s="522">
        <v>5109099</v>
      </c>
      <c r="AA33" s="522">
        <v>5158420</v>
      </c>
      <c r="AB33" s="522">
        <v>5243771</v>
      </c>
      <c r="AC33" s="522">
        <v>4302367</v>
      </c>
      <c r="AD33" s="522">
        <v>4736719</v>
      </c>
      <c r="AE33" s="522">
        <v>4905175</v>
      </c>
      <c r="AF33" s="44"/>
    </row>
    <row r="34" spans="1:32">
      <c r="A34" s="224" t="s">
        <v>44</v>
      </c>
      <c r="B34" s="225">
        <f>(AB33/B33)^(1/27)-1</f>
        <v>0.24386791285532117</v>
      </c>
      <c r="C34" s="223"/>
      <c r="D34" s="223"/>
      <c r="E34" s="223"/>
      <c r="F34" s="223"/>
      <c r="G34" s="223"/>
      <c r="H34" s="223"/>
      <c r="I34" s="223"/>
      <c r="J34" s="223"/>
      <c r="K34" s="223"/>
      <c r="L34" s="223"/>
      <c r="M34" s="223"/>
      <c r="N34" s="223"/>
      <c r="O34" s="223"/>
      <c r="P34" s="223"/>
      <c r="Q34" s="223"/>
      <c r="R34" s="223"/>
      <c r="S34" s="223"/>
      <c r="T34" s="223"/>
      <c r="U34" s="223"/>
      <c r="V34" s="223"/>
      <c r="W34" s="223"/>
      <c r="X34" s="223"/>
      <c r="Y34" s="223"/>
      <c r="Z34" s="223"/>
      <c r="AA34" s="223"/>
      <c r="AB34" s="223"/>
      <c r="AC34" s="223"/>
      <c r="AE34" s="57"/>
      <c r="AF34" s="44"/>
    </row>
    <row r="35" spans="1:32">
      <c r="A35" s="224" t="s">
        <v>66</v>
      </c>
      <c r="B35" s="225"/>
      <c r="C35" s="227">
        <v>1</v>
      </c>
      <c r="D35" s="228">
        <f t="shared" ref="D35:AB35" si="0">D33/C33-1</f>
        <v>0.17843500079817076</v>
      </c>
      <c r="E35" s="228">
        <f t="shared" si="0"/>
        <v>0.34103054782315034</v>
      </c>
      <c r="F35" s="228">
        <f t="shared" si="0"/>
        <v>0.42639993284704358</v>
      </c>
      <c r="G35" s="228">
        <f t="shared" si="0"/>
        <v>0.32644741855496529</v>
      </c>
      <c r="H35" s="228">
        <f t="shared" si="0"/>
        <v>0.34706102189166277</v>
      </c>
      <c r="I35" s="228">
        <f t="shared" si="0"/>
        <v>5.3386379012756446E-2</v>
      </c>
      <c r="J35" s="228">
        <f t="shared" si="0"/>
        <v>2.0742969578426473E-2</v>
      </c>
      <c r="K35" s="228">
        <f t="shared" si="0"/>
        <v>3.1781878442024514E-2</v>
      </c>
      <c r="L35" s="228">
        <f t="shared" si="0"/>
        <v>5.577208527681754E-2</v>
      </c>
      <c r="M35" s="228">
        <f t="shared" si="0"/>
        <v>0.14924994709882311</v>
      </c>
      <c r="N35" s="228">
        <f t="shared" si="0"/>
        <v>0.21094576796371922</v>
      </c>
      <c r="O35" s="228">
        <f t="shared" si="0"/>
        <v>4.8999450017704893E-2</v>
      </c>
      <c r="P35" s="228">
        <f t="shared" si="0"/>
        <v>7.3356191953648064E-2</v>
      </c>
      <c r="Q35" s="228">
        <f t="shared" si="0"/>
        <v>5.1771354185675911E-2</v>
      </c>
      <c r="R35" s="228">
        <f t="shared" si="0"/>
        <v>1.7029592567938678E-3</v>
      </c>
      <c r="S35" s="228">
        <f t="shared" si="0"/>
        <v>4.6170207913597938E-2</v>
      </c>
      <c r="T35" s="228">
        <f t="shared" si="0"/>
        <v>9.9040541733813159E-2</v>
      </c>
      <c r="U35" s="228">
        <f t="shared" si="0"/>
        <v>0.14287913006689967</v>
      </c>
      <c r="V35" s="228">
        <f t="shared" si="0"/>
        <v>6.9518018743385923E-2</v>
      </c>
      <c r="W35" s="228">
        <f t="shared" si="0"/>
        <v>-6.9125644110988205E-2</v>
      </c>
      <c r="X35" s="228">
        <f t="shared" si="0"/>
        <v>5.5216115588227366E-2</v>
      </c>
      <c r="Y35" s="228">
        <f t="shared" si="0"/>
        <v>4.86758789136017E-2</v>
      </c>
      <c r="Z35" s="228">
        <f t="shared" si="0"/>
        <v>1.8802108155643094E-2</v>
      </c>
      <c r="AA35" s="228">
        <f t="shared" si="0"/>
        <v>9.6535612247874436E-3</v>
      </c>
      <c r="AB35" s="228">
        <f t="shared" si="0"/>
        <v>1.6545957870820915E-2</v>
      </c>
      <c r="AC35" s="223"/>
      <c r="AE35" s="57"/>
      <c r="AF35" s="44"/>
    </row>
    <row r="36" spans="1:32">
      <c r="A36" s="219" t="s">
        <v>67</v>
      </c>
      <c r="B36" s="223">
        <v>10916</v>
      </c>
      <c r="C36" s="223">
        <v>291653</v>
      </c>
      <c r="D36" s="223">
        <v>348723</v>
      </c>
      <c r="E36" s="223">
        <v>472827</v>
      </c>
      <c r="F36" s="223">
        <v>683902</v>
      </c>
      <c r="G36" s="223">
        <v>916447</v>
      </c>
      <c r="H36" s="223">
        <v>1238326</v>
      </c>
      <c r="I36" s="223">
        <v>1362268</v>
      </c>
      <c r="J36" s="223">
        <v>1364107</v>
      </c>
      <c r="K36" s="223">
        <v>1381736</v>
      </c>
      <c r="L36" s="223">
        <v>1450755</v>
      </c>
      <c r="M36" s="223">
        <v>1677722</v>
      </c>
      <c r="N36" s="223">
        <v>2076445</v>
      </c>
      <c r="O36" s="223">
        <v>2186495</v>
      </c>
      <c r="P36" s="223">
        <v>2273450</v>
      </c>
      <c r="Q36" s="223">
        <v>2432222</v>
      </c>
      <c r="R36" s="223">
        <v>2486940</v>
      </c>
      <c r="S36" s="223">
        <v>2627316</v>
      </c>
      <c r="T36" s="223">
        <v>2913805</v>
      </c>
      <c r="U36" s="223">
        <v>3384542</v>
      </c>
      <c r="V36" s="223">
        <v>3661251</v>
      </c>
      <c r="W36" s="223">
        <v>3472454</v>
      </c>
      <c r="X36" s="223">
        <v>3647961</v>
      </c>
      <c r="Y36" s="223">
        <v>3861706</v>
      </c>
      <c r="Z36" s="223">
        <v>3937917</v>
      </c>
      <c r="AA36" s="223">
        <v>3956532</v>
      </c>
      <c r="AB36" s="223">
        <v>4028284</v>
      </c>
      <c r="AC36" s="223">
        <v>3276313</v>
      </c>
      <c r="AD36" s="223">
        <v>3607258</v>
      </c>
      <c r="AE36" s="57"/>
      <c r="AF36" s="44"/>
    </row>
    <row r="37" spans="1:32">
      <c r="A37" s="219" t="s">
        <v>68</v>
      </c>
      <c r="B37" s="223">
        <v>10916</v>
      </c>
      <c r="C37" s="223">
        <v>291653</v>
      </c>
      <c r="D37" s="223">
        <v>348723</v>
      </c>
      <c r="E37" s="223">
        <v>472827</v>
      </c>
      <c r="F37" s="223">
        <v>683902</v>
      </c>
      <c r="G37" s="223">
        <v>916447</v>
      </c>
      <c r="H37" s="223">
        <v>1238326</v>
      </c>
      <c r="I37" s="223">
        <v>1362268</v>
      </c>
      <c r="J37" s="223">
        <v>1364107</v>
      </c>
      <c r="K37" s="223">
        <v>1381736</v>
      </c>
      <c r="L37" s="223">
        <v>1450755</v>
      </c>
      <c r="M37" s="223">
        <v>1677722</v>
      </c>
      <c r="N37" s="223">
        <v>2076445</v>
      </c>
      <c r="O37" s="223">
        <v>2186495</v>
      </c>
      <c r="P37" s="223">
        <v>2273450</v>
      </c>
      <c r="Q37" s="223">
        <v>2432222</v>
      </c>
      <c r="R37" s="223">
        <v>2486940</v>
      </c>
      <c r="S37" s="223">
        <v>2627316</v>
      </c>
      <c r="T37" s="223">
        <v>2913805</v>
      </c>
      <c r="U37" s="223">
        <v>3384542</v>
      </c>
      <c r="V37" s="223">
        <v>3661251</v>
      </c>
      <c r="W37" s="223">
        <v>3472454</v>
      </c>
      <c r="X37" s="223">
        <v>3647961</v>
      </c>
      <c r="Y37" s="223">
        <v>3861706</v>
      </c>
      <c r="Z37" s="223">
        <v>3937917</v>
      </c>
      <c r="AA37" s="223">
        <v>3956532</v>
      </c>
      <c r="AB37" s="223">
        <v>4028284</v>
      </c>
      <c r="AC37" s="223">
        <v>3276313</v>
      </c>
      <c r="AD37" s="223">
        <v>3607258</v>
      </c>
      <c r="AE37" s="223">
        <v>4016215</v>
      </c>
      <c r="AF37" s="44"/>
    </row>
    <row r="38" spans="1:32">
      <c r="A38" s="224" t="s">
        <v>44</v>
      </c>
      <c r="B38" s="225">
        <f>(AB37/B37)^(1/27)-1</f>
        <v>0.24473289994377123</v>
      </c>
      <c r="C38" s="223"/>
      <c r="D38" s="223"/>
      <c r="E38" s="223"/>
      <c r="F38" s="223"/>
      <c r="G38" s="223"/>
      <c r="H38" s="223"/>
      <c r="I38" s="223"/>
      <c r="J38" s="223"/>
      <c r="K38" s="223"/>
      <c r="L38" s="223"/>
      <c r="M38" s="223"/>
      <c r="N38" s="223"/>
      <c r="O38" s="223"/>
      <c r="P38" s="223"/>
      <c r="Q38" s="223"/>
      <c r="R38" s="223"/>
      <c r="S38" s="223"/>
      <c r="T38" s="223"/>
      <c r="U38" s="223"/>
      <c r="V38" s="223"/>
      <c r="W38" s="223"/>
      <c r="X38" s="223"/>
      <c r="Y38" s="223"/>
      <c r="Z38" s="223"/>
      <c r="AA38" s="223"/>
      <c r="AB38" s="223"/>
      <c r="AC38" s="223"/>
      <c r="AE38" s="57"/>
      <c r="AF38" s="44"/>
    </row>
    <row r="39" spans="1:32">
      <c r="A39" s="219" t="s">
        <v>69</v>
      </c>
      <c r="B39" s="223">
        <v>0</v>
      </c>
      <c r="C39" s="223">
        <v>0</v>
      </c>
      <c r="D39" s="223">
        <v>1871</v>
      </c>
      <c r="E39" s="223">
        <v>88</v>
      </c>
      <c r="F39" s="223">
        <v>20</v>
      </c>
      <c r="G39" s="223">
        <v>-7283</v>
      </c>
      <c r="H39" s="223">
        <v>-7062</v>
      </c>
      <c r="I39" s="223">
        <v>19704</v>
      </c>
      <c r="J39" s="223">
        <v>2610</v>
      </c>
      <c r="K39" s="223">
        <v>162011</v>
      </c>
      <c r="L39" s="223">
        <v>-5146</v>
      </c>
      <c r="M39" s="223">
        <v>-760</v>
      </c>
      <c r="N39" s="223">
        <v>-838</v>
      </c>
      <c r="O39" s="223">
        <v>163865</v>
      </c>
      <c r="P39" s="223">
        <v>103420</v>
      </c>
      <c r="Q39" s="223">
        <v>11285</v>
      </c>
      <c r="R39" s="223">
        <v>-12314</v>
      </c>
      <c r="S39" s="223">
        <v>326385</v>
      </c>
      <c r="T39" s="223">
        <v>221111</v>
      </c>
      <c r="U39" s="223">
        <v>49565</v>
      </c>
      <c r="V39" s="223">
        <v>15609</v>
      </c>
      <c r="W39" s="223">
        <v>175370</v>
      </c>
      <c r="X39" s="223">
        <v>50068</v>
      </c>
      <c r="Y39" s="223">
        <v>57253</v>
      </c>
      <c r="Z39" s="223">
        <v>15511</v>
      </c>
      <c r="AA39" s="223">
        <v>292189</v>
      </c>
      <c r="AB39" s="223">
        <v>75836</v>
      </c>
      <c r="AC39" s="223">
        <v>-106398</v>
      </c>
      <c r="AE39" s="57"/>
      <c r="AF39" s="44"/>
    </row>
    <row r="40" spans="1:32">
      <c r="A40" s="219" t="s">
        <v>70</v>
      </c>
      <c r="B40" s="223">
        <v>3548</v>
      </c>
      <c r="C40" s="223">
        <v>150164</v>
      </c>
      <c r="D40" s="223">
        <v>150224</v>
      </c>
      <c r="E40" s="223">
        <v>202182</v>
      </c>
      <c r="F40" s="223">
        <v>287823</v>
      </c>
      <c r="G40" s="223">
        <v>419918</v>
      </c>
      <c r="H40" s="223">
        <v>579593</v>
      </c>
      <c r="I40" s="223">
        <v>635678</v>
      </c>
      <c r="J40" s="223">
        <v>607625</v>
      </c>
      <c r="K40" s="223">
        <v>599266</v>
      </c>
      <c r="L40" s="223">
        <v>602510</v>
      </c>
      <c r="M40" s="223">
        <v>662090</v>
      </c>
      <c r="N40" s="223">
        <v>799092</v>
      </c>
      <c r="O40" s="223">
        <v>821858</v>
      </c>
      <c r="P40" s="223">
        <v>945852</v>
      </c>
      <c r="Q40" s="223">
        <v>947140</v>
      </c>
      <c r="R40" s="223">
        <v>992065</v>
      </c>
      <c r="S40" s="223">
        <v>1027091</v>
      </c>
      <c r="T40" s="223">
        <v>983526</v>
      </c>
      <c r="U40" s="223">
        <v>1127025</v>
      </c>
      <c r="V40" s="223">
        <v>1137139</v>
      </c>
      <c r="W40" s="223">
        <v>992601</v>
      </c>
      <c r="X40" s="223">
        <v>923697</v>
      </c>
      <c r="Y40" s="223">
        <v>857554</v>
      </c>
      <c r="Z40" s="223">
        <v>809393</v>
      </c>
      <c r="AA40" s="223">
        <v>815923</v>
      </c>
      <c r="AB40" s="223">
        <v>789353</v>
      </c>
      <c r="AC40" s="223">
        <v>784400</v>
      </c>
      <c r="AE40" s="57"/>
      <c r="AF40" s="44"/>
    </row>
    <row r="41" spans="1:32">
      <c r="A41" s="219" t="s">
        <v>71</v>
      </c>
      <c r="B41" s="223">
        <v>18459</v>
      </c>
      <c r="C41" s="223">
        <v>473609</v>
      </c>
      <c r="D41" s="223">
        <v>555060</v>
      </c>
      <c r="E41" s="223">
        <v>757249</v>
      </c>
      <c r="F41" s="223">
        <v>1073343</v>
      </c>
      <c r="G41" s="223">
        <v>1434113</v>
      </c>
      <c r="H41" s="223">
        <v>1948558</v>
      </c>
      <c r="I41" s="223">
        <v>2104518</v>
      </c>
      <c r="J41" s="223">
        <v>2113212</v>
      </c>
      <c r="K41" s="223">
        <v>2198798</v>
      </c>
      <c r="L41" s="223">
        <v>2413298</v>
      </c>
      <c r="M41" s="223">
        <v>2722864</v>
      </c>
      <c r="N41" s="223">
        <v>3248660</v>
      </c>
      <c r="O41" s="223">
        <v>3411895</v>
      </c>
      <c r="P41" s="223">
        <v>3677543</v>
      </c>
      <c r="Q41" s="223">
        <v>3804116</v>
      </c>
      <c r="R41" s="223">
        <v>3797642</v>
      </c>
      <c r="S41" s="223">
        <v>4028202</v>
      </c>
      <c r="T41" s="223">
        <v>4383188</v>
      </c>
      <c r="U41" s="223">
        <v>5501282</v>
      </c>
      <c r="V41" s="223">
        <v>5467303</v>
      </c>
      <c r="W41" s="223">
        <v>5080530</v>
      </c>
      <c r="X41" s="223">
        <v>5751357</v>
      </c>
      <c r="Y41" s="223">
        <v>5815863</v>
      </c>
      <c r="Z41" s="223">
        <v>5915742</v>
      </c>
      <c r="AA41" s="223">
        <v>6117176</v>
      </c>
      <c r="AB41" s="223">
        <v>6185785</v>
      </c>
      <c r="AC41" s="223">
        <v>4818811</v>
      </c>
      <c r="AE41" s="57"/>
      <c r="AF41" s="44"/>
    </row>
    <row r="42" spans="1:32">
      <c r="A42" s="219" t="s">
        <v>72</v>
      </c>
      <c r="B42" s="223">
        <v>9694</v>
      </c>
      <c r="C42" s="223">
        <v>409542</v>
      </c>
      <c r="D42" s="223">
        <v>452745</v>
      </c>
      <c r="E42" s="223">
        <v>618374</v>
      </c>
      <c r="F42" s="223">
        <v>864960</v>
      </c>
      <c r="G42" s="223">
        <v>1183265</v>
      </c>
      <c r="H42" s="223">
        <v>1630051</v>
      </c>
      <c r="I42" s="223">
        <v>1766433</v>
      </c>
      <c r="J42" s="223">
        <v>1823042</v>
      </c>
      <c r="K42" s="223">
        <v>1805162</v>
      </c>
      <c r="L42" s="223">
        <v>1941378</v>
      </c>
      <c r="M42" s="223">
        <v>2250242</v>
      </c>
      <c r="N42" s="223">
        <v>2760522</v>
      </c>
      <c r="O42" s="223">
        <v>2833783</v>
      </c>
      <c r="P42" s="223">
        <v>3117680</v>
      </c>
      <c r="Q42" s="223">
        <v>3212260</v>
      </c>
      <c r="R42" s="223">
        <v>3403282</v>
      </c>
      <c r="S42" s="223">
        <v>3599339</v>
      </c>
      <c r="T42" s="223">
        <v>3346804</v>
      </c>
      <c r="U42" s="223">
        <v>3815335</v>
      </c>
      <c r="V42" s="223">
        <v>3891588</v>
      </c>
      <c r="W42" s="223">
        <v>3605650</v>
      </c>
      <c r="X42" s="223">
        <v>3641880</v>
      </c>
      <c r="Y42" s="223">
        <v>3708732</v>
      </c>
      <c r="Z42" s="223">
        <v>3663007</v>
      </c>
      <c r="AA42" s="223">
        <v>3550124</v>
      </c>
      <c r="AB42" s="223">
        <v>3808379</v>
      </c>
      <c r="AC42" s="223">
        <v>3439726</v>
      </c>
      <c r="AE42" s="57"/>
      <c r="AF42" s="44"/>
    </row>
    <row r="43" spans="1:32">
      <c r="A43" s="219" t="s">
        <v>73</v>
      </c>
      <c r="B43" s="223">
        <v>-30481</v>
      </c>
      <c r="C43" s="223">
        <v>-17980</v>
      </c>
      <c r="D43" s="223">
        <v>-3285</v>
      </c>
      <c r="E43" s="223">
        <v>-3521</v>
      </c>
      <c r="F43" s="223">
        <v>58</v>
      </c>
      <c r="G43" s="223">
        <v>7146</v>
      </c>
      <c r="H43" s="223">
        <v>-6705</v>
      </c>
      <c r="I43" s="223">
        <v>-12991</v>
      </c>
      <c r="J43" s="223">
        <v>-1427</v>
      </c>
      <c r="K43" s="223">
        <v>16507</v>
      </c>
      <c r="L43" s="223">
        <v>29815</v>
      </c>
      <c r="M43" s="223">
        <v>-545</v>
      </c>
      <c r="N43" s="223">
        <v>155187</v>
      </c>
      <c r="O43" s="223">
        <v>397</v>
      </c>
      <c r="P43" s="223">
        <v>-35369</v>
      </c>
      <c r="Q43" s="223">
        <v>-25</v>
      </c>
      <c r="R43" s="223">
        <v>0</v>
      </c>
      <c r="S43" s="223">
        <v>0</v>
      </c>
      <c r="T43" s="223">
        <v>0</v>
      </c>
      <c r="U43" s="223">
        <v>0</v>
      </c>
      <c r="V43" s="223">
        <v>0</v>
      </c>
      <c r="W43" s="223">
        <v>29361</v>
      </c>
      <c r="X43" s="223">
        <v>0</v>
      </c>
      <c r="Y43" s="223">
        <v>0</v>
      </c>
      <c r="Z43" s="223">
        <v>0</v>
      </c>
      <c r="AA43" s="223">
        <v>0</v>
      </c>
      <c r="AB43" s="223">
        <v>0</v>
      </c>
      <c r="AC43" s="223">
        <v>0</v>
      </c>
      <c r="AE43" s="57"/>
      <c r="AF43" s="44"/>
    </row>
    <row r="44" spans="1:32">
      <c r="A44" s="219" t="s">
        <v>74</v>
      </c>
      <c r="B44" s="223">
        <v>-11366</v>
      </c>
      <c r="C44" s="223">
        <v>23377</v>
      </c>
      <c r="D44" s="223">
        <v>59271</v>
      </c>
      <c r="E44" s="223">
        <v>85255</v>
      </c>
      <c r="F44" s="223">
        <v>137237</v>
      </c>
      <c r="G44" s="223">
        <v>167253</v>
      </c>
      <c r="H44" s="223">
        <v>204385</v>
      </c>
      <c r="I44" s="223">
        <v>223336</v>
      </c>
      <c r="J44" s="223">
        <v>199149</v>
      </c>
      <c r="K44" s="223">
        <v>422588</v>
      </c>
      <c r="L44" s="223">
        <v>368715</v>
      </c>
      <c r="M44" s="223">
        <v>342993</v>
      </c>
      <c r="N44" s="223">
        <v>475749</v>
      </c>
      <c r="O44" s="223">
        <v>563840</v>
      </c>
      <c r="P44" s="223">
        <v>639236</v>
      </c>
      <c r="Q44" s="223">
        <v>599535</v>
      </c>
      <c r="R44" s="223">
        <v>387262</v>
      </c>
      <c r="S44" s="223">
        <v>753514</v>
      </c>
      <c r="T44" s="223">
        <v>1245900</v>
      </c>
      <c r="U44" s="223">
        <v>1719632</v>
      </c>
      <c r="V44" s="223">
        <v>1551590</v>
      </c>
      <c r="W44" s="223">
        <v>1651526</v>
      </c>
      <c r="X44" s="223">
        <v>2139375</v>
      </c>
      <c r="Y44" s="223">
        <v>2134706</v>
      </c>
      <c r="Z44" s="223">
        <v>2244903</v>
      </c>
      <c r="AA44" s="223">
        <v>2822343</v>
      </c>
      <c r="AB44" s="223">
        <v>2423188</v>
      </c>
      <c r="AC44" s="223">
        <v>1277324</v>
      </c>
      <c r="AE44" s="57"/>
      <c r="AF44" s="44"/>
    </row>
    <row r="45" spans="1:32">
      <c r="A45" s="219" t="s">
        <v>75</v>
      </c>
      <c r="B45" s="223">
        <v>0</v>
      </c>
      <c r="C45" s="223">
        <v>0</v>
      </c>
      <c r="D45" s="223">
        <v>0</v>
      </c>
      <c r="E45" s="223">
        <v>0</v>
      </c>
      <c r="F45" s="223">
        <v>0</v>
      </c>
      <c r="G45" s="223">
        <v>0</v>
      </c>
      <c r="H45" s="223">
        <v>0</v>
      </c>
      <c r="I45" s="223">
        <v>0</v>
      </c>
      <c r="J45" s="223">
        <v>0</v>
      </c>
      <c r="K45" s="223">
        <v>0</v>
      </c>
      <c r="L45" s="223">
        <v>0</v>
      </c>
      <c r="M45" s="223">
        <v>0</v>
      </c>
      <c r="N45" s="223">
        <v>0</v>
      </c>
      <c r="O45" s="223">
        <v>0</v>
      </c>
      <c r="P45" s="223">
        <v>147997</v>
      </c>
      <c r="Q45" s="223">
        <v>135899</v>
      </c>
      <c r="R45" s="223">
        <v>77855</v>
      </c>
      <c r="S45" s="223">
        <v>136476</v>
      </c>
      <c r="T45" s="223">
        <v>221101</v>
      </c>
      <c r="U45" s="223">
        <v>285136</v>
      </c>
      <c r="V45" s="223">
        <v>231949</v>
      </c>
      <c r="W45" s="223">
        <v>242938</v>
      </c>
      <c r="X45" s="223">
        <v>311655</v>
      </c>
      <c r="Y45" s="223">
        <v>295810</v>
      </c>
      <c r="Z45" s="223">
        <v>296941</v>
      </c>
      <c r="AA45" s="223">
        <v>382285</v>
      </c>
      <c r="AB45" s="223">
        <v>321604</v>
      </c>
      <c r="AC45" s="223">
        <v>164760</v>
      </c>
      <c r="AE45" s="57"/>
      <c r="AF45" s="44"/>
    </row>
    <row r="46" spans="1:32">
      <c r="A46" s="219" t="s">
        <v>76</v>
      </c>
      <c r="B46" s="223">
        <v>-11366</v>
      </c>
      <c r="C46" s="223">
        <v>23377</v>
      </c>
      <c r="D46" s="223">
        <v>59271</v>
      </c>
      <c r="E46" s="223">
        <v>85255</v>
      </c>
      <c r="F46" s="223">
        <v>137237</v>
      </c>
      <c r="G46" s="223">
        <v>167253</v>
      </c>
      <c r="H46" s="223">
        <v>204385</v>
      </c>
      <c r="I46" s="223">
        <v>223336</v>
      </c>
      <c r="J46" s="223">
        <v>199149</v>
      </c>
      <c r="K46" s="223">
        <v>422588</v>
      </c>
      <c r="L46" s="223">
        <v>368715</v>
      </c>
      <c r="M46" s="223">
        <v>342993</v>
      </c>
      <c r="N46" s="223">
        <v>475749</v>
      </c>
      <c r="O46" s="223">
        <v>563840</v>
      </c>
      <c r="P46" s="223">
        <v>491239</v>
      </c>
      <c r="Q46" s="223">
        <v>463636</v>
      </c>
      <c r="R46" s="223">
        <v>309407</v>
      </c>
      <c r="S46" s="223">
        <v>617038</v>
      </c>
      <c r="T46" s="223">
        <v>1024799</v>
      </c>
      <c r="U46" s="223">
        <v>1434496</v>
      </c>
      <c r="V46" s="223">
        <v>1319641</v>
      </c>
      <c r="W46" s="223">
        <v>1408588</v>
      </c>
      <c r="X46" s="223">
        <v>1827720</v>
      </c>
      <c r="Y46" s="223">
        <v>1838896</v>
      </c>
      <c r="Z46" s="223">
        <v>1947962</v>
      </c>
      <c r="AA46" s="223">
        <v>2440058</v>
      </c>
      <c r="AB46" s="223">
        <v>2101584</v>
      </c>
      <c r="AC46" s="223">
        <v>1112564</v>
      </c>
      <c r="AE46" s="57"/>
      <c r="AF46" s="44"/>
    </row>
    <row r="47" spans="1:32">
      <c r="A47" s="219" t="s">
        <v>77</v>
      </c>
      <c r="B47" s="223">
        <v>-11366</v>
      </c>
      <c r="C47" s="223">
        <v>23377</v>
      </c>
      <c r="D47" s="223">
        <v>57781</v>
      </c>
      <c r="E47" s="223">
        <v>72561</v>
      </c>
      <c r="F47" s="223">
        <v>107989</v>
      </c>
      <c r="G47" s="223">
        <v>133598</v>
      </c>
      <c r="H47" s="223">
        <v>167314</v>
      </c>
      <c r="I47" s="223">
        <v>186528</v>
      </c>
      <c r="J47" s="223">
        <v>147789</v>
      </c>
      <c r="K47" s="223">
        <v>358387</v>
      </c>
      <c r="L47" s="223">
        <v>313577</v>
      </c>
      <c r="M47" s="223">
        <v>300647</v>
      </c>
      <c r="N47" s="223">
        <v>401895</v>
      </c>
      <c r="O47" s="223">
        <v>486145</v>
      </c>
      <c r="P47" s="223">
        <v>436164</v>
      </c>
      <c r="Q47" s="223">
        <v>422517</v>
      </c>
      <c r="R47" s="223">
        <v>283098</v>
      </c>
      <c r="S47" s="223">
        <v>610424</v>
      </c>
      <c r="T47" s="223">
        <v>1021462</v>
      </c>
      <c r="U47" s="223">
        <v>1431159</v>
      </c>
      <c r="V47" s="223">
        <v>1316304</v>
      </c>
      <c r="W47" s="223">
        <v>1405251</v>
      </c>
      <c r="X47" s="223">
        <v>1824383</v>
      </c>
      <c r="Y47" s="223">
        <v>1835559</v>
      </c>
      <c r="Z47" s="223">
        <v>1944625</v>
      </c>
      <c r="AA47" s="223">
        <v>2436721</v>
      </c>
      <c r="AB47" s="223">
        <v>2098247</v>
      </c>
      <c r="AC47" s="223">
        <v>1109227</v>
      </c>
      <c r="AE47" s="57"/>
      <c r="AF47" s="44"/>
    </row>
    <row r="48" spans="1:32">
      <c r="A48" s="219" t="s">
        <v>78</v>
      </c>
      <c r="B48" s="220" t="s">
        <v>37</v>
      </c>
      <c r="C48" s="223">
        <v>98215</v>
      </c>
      <c r="D48" s="223">
        <v>197909</v>
      </c>
      <c r="E48" s="223">
        <v>281495</v>
      </c>
      <c r="F48" s="223">
        <v>415128</v>
      </c>
      <c r="G48" s="223">
        <v>544481</v>
      </c>
      <c r="H48" s="223">
        <v>704000</v>
      </c>
      <c r="I48" s="223">
        <v>781937</v>
      </c>
      <c r="J48" s="223">
        <v>786635</v>
      </c>
      <c r="K48" s="223">
        <v>936356</v>
      </c>
      <c r="L48" s="223">
        <v>1041105</v>
      </c>
      <c r="M48" s="223">
        <v>1181924</v>
      </c>
      <c r="N48" s="223">
        <v>1411368</v>
      </c>
      <c r="O48" s="223">
        <v>1537223</v>
      </c>
      <c r="P48" s="223">
        <v>1691887</v>
      </c>
      <c r="Q48" s="223">
        <v>1862851</v>
      </c>
      <c r="R48" s="223">
        <v>1812227</v>
      </c>
      <c r="S48" s="223">
        <v>1770491</v>
      </c>
      <c r="T48" s="223">
        <v>2438765</v>
      </c>
      <c r="U48" s="223">
        <v>2884915</v>
      </c>
      <c r="V48" s="223">
        <v>3205693</v>
      </c>
      <c r="W48" s="223">
        <v>3235298</v>
      </c>
      <c r="X48" s="223">
        <v>3571237</v>
      </c>
      <c r="Y48" s="223">
        <v>3792951</v>
      </c>
      <c r="Z48" s="223">
        <v>4020505</v>
      </c>
      <c r="AA48" s="223">
        <v>4324601</v>
      </c>
      <c r="AB48" s="223">
        <v>4272271</v>
      </c>
      <c r="AC48" s="223">
        <v>3236963</v>
      </c>
      <c r="AE48" s="57"/>
      <c r="AF48" s="44"/>
    </row>
    <row r="49" spans="1:32">
      <c r="A49" s="219" t="s">
        <v>66</v>
      </c>
      <c r="B49" s="220"/>
      <c r="C49" s="223"/>
      <c r="D49" s="228">
        <f>D48/C48-1</f>
        <v>1.0150587995723668</v>
      </c>
      <c r="E49" s="228">
        <f t="shared" ref="E49:AB49" si="1">E48/D48-1</f>
        <v>0.42234562349362581</v>
      </c>
      <c r="F49" s="228">
        <f t="shared" si="1"/>
        <v>0.47472601644789436</v>
      </c>
      <c r="G49" s="228">
        <f t="shared" si="1"/>
        <v>0.31159786860920002</v>
      </c>
      <c r="H49" s="228">
        <f t="shared" si="1"/>
        <v>0.29297441049366268</v>
      </c>
      <c r="I49" s="228">
        <f t="shared" si="1"/>
        <v>0.11070596590909099</v>
      </c>
      <c r="J49" s="228">
        <f t="shared" si="1"/>
        <v>6.0081566673531039E-3</v>
      </c>
      <c r="K49" s="228">
        <f t="shared" si="1"/>
        <v>0.19033096671264316</v>
      </c>
      <c r="L49" s="228">
        <f t="shared" si="1"/>
        <v>0.11186877640555526</v>
      </c>
      <c r="M49" s="228">
        <f t="shared" si="1"/>
        <v>0.13525917174540503</v>
      </c>
      <c r="N49" s="228">
        <f t="shared" si="1"/>
        <v>0.1941275411955421</v>
      </c>
      <c r="O49" s="228">
        <f t="shared" si="1"/>
        <v>8.917234909676286E-2</v>
      </c>
      <c r="P49" s="228">
        <f t="shared" si="1"/>
        <v>0.1006125981721584</v>
      </c>
      <c r="Q49" s="228">
        <f t="shared" si="1"/>
        <v>0.10104930175596838</v>
      </c>
      <c r="R49" s="228">
        <f t="shared" si="1"/>
        <v>-2.71755497353251E-2</v>
      </c>
      <c r="S49" s="228">
        <f t="shared" si="1"/>
        <v>-2.3030227449430951E-2</v>
      </c>
      <c r="T49" s="228">
        <f t="shared" si="1"/>
        <v>0.37745122680657506</v>
      </c>
      <c r="U49" s="228">
        <f t="shared" si="1"/>
        <v>0.18294095577064629</v>
      </c>
      <c r="V49" s="228">
        <f t="shared" si="1"/>
        <v>0.11119149091047742</v>
      </c>
      <c r="W49" s="228">
        <f t="shared" si="1"/>
        <v>9.2351326218698127E-3</v>
      </c>
      <c r="X49" s="228">
        <f t="shared" si="1"/>
        <v>0.10383556630641144</v>
      </c>
      <c r="Y49" s="228">
        <f t="shared" si="1"/>
        <v>6.2083250145537727E-2</v>
      </c>
      <c r="Z49" s="228">
        <f t="shared" si="1"/>
        <v>5.9993920301105952E-2</v>
      </c>
      <c r="AA49" s="228">
        <f t="shared" si="1"/>
        <v>7.5636269573100989E-2</v>
      </c>
      <c r="AB49" s="228">
        <f t="shared" si="1"/>
        <v>-1.2100538292434404E-2</v>
      </c>
      <c r="AC49" s="223"/>
      <c r="AE49" s="57"/>
      <c r="AF49" s="44"/>
    </row>
    <row r="50" spans="1:32">
      <c r="A50" s="224" t="s">
        <v>44</v>
      </c>
      <c r="B50" s="225" t="e">
        <f>(AB48/B48)^(1/27)-1</f>
        <v>#VALUE!</v>
      </c>
      <c r="C50" s="223"/>
      <c r="D50" s="223"/>
      <c r="E50" s="223"/>
      <c r="F50" s="223"/>
      <c r="G50" s="223"/>
      <c r="H50" s="223"/>
      <c r="I50" s="223"/>
      <c r="J50" s="223"/>
      <c r="K50" s="223"/>
      <c r="L50" s="223"/>
      <c r="M50" s="223"/>
      <c r="N50" s="223"/>
      <c r="O50" s="223"/>
      <c r="P50" s="223"/>
      <c r="Q50" s="223"/>
      <c r="R50" s="223"/>
      <c r="S50" s="229">
        <f>S48/Q48</f>
        <v>0.95042008190671179</v>
      </c>
      <c r="T50" s="223"/>
      <c r="U50" s="223"/>
      <c r="V50" s="223"/>
      <c r="W50" s="223"/>
      <c r="X50" s="223"/>
      <c r="Y50" s="223"/>
      <c r="Z50" s="223"/>
      <c r="AA50" s="223"/>
      <c r="AB50" s="223"/>
      <c r="AC50" s="223"/>
      <c r="AE50" s="57"/>
      <c r="AF50" s="44"/>
    </row>
    <row r="51" spans="1:32">
      <c r="A51" s="219" t="s">
        <v>79</v>
      </c>
      <c r="B51" s="220" t="s">
        <v>37</v>
      </c>
      <c r="C51" s="220" t="s">
        <v>37</v>
      </c>
      <c r="D51" s="220" t="s">
        <v>37</v>
      </c>
      <c r="E51" s="220" t="s">
        <v>37</v>
      </c>
      <c r="F51" s="220" t="s">
        <v>37</v>
      </c>
      <c r="G51" s="220" t="s">
        <v>37</v>
      </c>
      <c r="H51" s="220" t="s">
        <v>37</v>
      </c>
      <c r="I51" s="220" t="s">
        <v>37</v>
      </c>
      <c r="J51" s="220" t="s">
        <v>37</v>
      </c>
      <c r="K51" s="220" t="s">
        <v>37</v>
      </c>
      <c r="L51" s="220" t="s">
        <v>37</v>
      </c>
      <c r="M51" s="223">
        <v>1181924</v>
      </c>
      <c r="N51" s="223">
        <v>1411368</v>
      </c>
      <c r="O51" s="223">
        <v>1537223</v>
      </c>
      <c r="P51" s="220" t="s">
        <v>37</v>
      </c>
      <c r="Q51" s="220" t="s">
        <v>37</v>
      </c>
      <c r="R51" s="223">
        <v>1976892</v>
      </c>
      <c r="S51" s="223">
        <v>2121179</v>
      </c>
      <c r="T51" s="223">
        <v>2438765</v>
      </c>
      <c r="U51" s="223">
        <v>2884915</v>
      </c>
      <c r="V51" s="220" t="s">
        <v>37</v>
      </c>
      <c r="W51" s="220" t="s">
        <v>37</v>
      </c>
      <c r="X51" s="220" t="s">
        <v>37</v>
      </c>
      <c r="Y51" s="220" t="s">
        <v>37</v>
      </c>
      <c r="Z51" s="220" t="s">
        <v>37</v>
      </c>
      <c r="AA51" s="220" t="s">
        <v>37</v>
      </c>
      <c r="AB51" s="220" t="s">
        <v>37</v>
      </c>
      <c r="AC51" s="220" t="s">
        <v>37</v>
      </c>
      <c r="AE51" s="47"/>
      <c r="AF51" s="44"/>
    </row>
    <row r="52" spans="1:32">
      <c r="A52" s="219" t="s">
        <v>80</v>
      </c>
      <c r="B52" s="220" t="s">
        <v>37</v>
      </c>
      <c r="C52" s="220" t="s">
        <v>37</v>
      </c>
      <c r="D52" s="220" t="s">
        <v>37</v>
      </c>
      <c r="E52" s="220" t="s">
        <v>37</v>
      </c>
      <c r="F52" s="220" t="s">
        <v>37</v>
      </c>
      <c r="G52" s="220" t="s">
        <v>37</v>
      </c>
      <c r="H52" s="220" t="s">
        <v>37</v>
      </c>
      <c r="I52" s="220" t="s">
        <v>37</v>
      </c>
      <c r="J52" s="220" t="s">
        <v>37</v>
      </c>
      <c r="K52" s="220" t="s">
        <v>37</v>
      </c>
      <c r="L52" s="220" t="s">
        <v>37</v>
      </c>
      <c r="M52" s="220" t="s">
        <v>37</v>
      </c>
      <c r="N52" s="220" t="s">
        <v>37</v>
      </c>
      <c r="O52" s="220" t="s">
        <v>37</v>
      </c>
      <c r="P52" s="220" t="s">
        <v>37</v>
      </c>
      <c r="Q52" s="220" t="s">
        <v>37</v>
      </c>
      <c r="R52" s="220" t="s">
        <v>37</v>
      </c>
      <c r="S52" s="220" t="s">
        <v>37</v>
      </c>
      <c r="T52" s="220" t="s">
        <v>37</v>
      </c>
      <c r="U52" s="220" t="s">
        <v>37</v>
      </c>
      <c r="V52" s="223">
        <v>2864390</v>
      </c>
      <c r="W52" s="223">
        <v>2959238</v>
      </c>
      <c r="X52" s="223">
        <v>3295098</v>
      </c>
      <c r="Y52" s="223">
        <v>3530826</v>
      </c>
      <c r="Z52" s="223">
        <v>3771720</v>
      </c>
      <c r="AA52" s="223">
        <v>4000720</v>
      </c>
      <c r="AB52" s="223">
        <v>3843410</v>
      </c>
      <c r="AC52" s="223">
        <v>3141788</v>
      </c>
      <c r="AE52" s="57"/>
      <c r="AF52" s="44"/>
    </row>
    <row r="53" spans="1:32">
      <c r="A53" s="219" t="s">
        <v>81</v>
      </c>
      <c r="B53" s="220" t="s">
        <v>37</v>
      </c>
      <c r="C53" s="220" t="s">
        <v>37</v>
      </c>
      <c r="D53" s="220" t="s">
        <v>37</v>
      </c>
      <c r="E53" s="220" t="s">
        <v>37</v>
      </c>
      <c r="F53" s="220" t="s">
        <v>37</v>
      </c>
      <c r="G53" s="220" t="s">
        <v>37</v>
      </c>
      <c r="H53" s="220" t="s">
        <v>37</v>
      </c>
      <c r="I53" s="220" t="s">
        <v>37</v>
      </c>
      <c r="J53" s="220" t="s">
        <v>37</v>
      </c>
      <c r="K53" s="220" t="s">
        <v>37</v>
      </c>
      <c r="L53" s="220" t="s">
        <v>37</v>
      </c>
      <c r="M53" s="220" t="s">
        <v>37</v>
      </c>
      <c r="N53" s="220" t="s">
        <v>37</v>
      </c>
      <c r="O53" s="220" t="s">
        <v>37</v>
      </c>
      <c r="P53" s="220" t="s">
        <v>37</v>
      </c>
      <c r="Q53" s="220" t="s">
        <v>37</v>
      </c>
      <c r="R53" s="220" t="s">
        <v>37</v>
      </c>
      <c r="S53" s="220" t="s">
        <v>37</v>
      </c>
      <c r="T53" s="220" t="s">
        <v>37</v>
      </c>
      <c r="U53" s="220" t="s">
        <v>37</v>
      </c>
      <c r="V53" s="220" t="s">
        <v>37</v>
      </c>
      <c r="W53" s="220" t="s">
        <v>37</v>
      </c>
      <c r="X53" s="220" t="s">
        <v>37</v>
      </c>
      <c r="Y53" s="220" t="s">
        <v>37</v>
      </c>
      <c r="Z53" s="220" t="s">
        <v>37</v>
      </c>
      <c r="AA53" s="220" t="s">
        <v>37</v>
      </c>
      <c r="AB53" s="220" t="s">
        <v>37</v>
      </c>
      <c r="AC53" s="220" t="s">
        <v>37</v>
      </c>
      <c r="AE53" s="47"/>
      <c r="AF53" s="44"/>
    </row>
    <row r="54" spans="1:32">
      <c r="A54" s="224" t="s">
        <v>44</v>
      </c>
      <c r="B54" s="220"/>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c r="AA54" s="220"/>
      <c r="AB54" s="220"/>
      <c r="AC54" s="220"/>
      <c r="AE54" s="47"/>
      <c r="AF54" s="44"/>
    </row>
    <row r="55" spans="1:32">
      <c r="A55" s="230" t="s">
        <v>82</v>
      </c>
      <c r="B55" s="220"/>
      <c r="C55" s="220"/>
      <c r="D55" s="220"/>
      <c r="E55" s="220"/>
      <c r="F55" s="220"/>
      <c r="G55" s="220"/>
      <c r="H55" s="220"/>
      <c r="I55" s="220"/>
      <c r="J55" s="220"/>
      <c r="K55" s="220"/>
      <c r="L55" s="220"/>
      <c r="M55" s="220"/>
      <c r="N55" s="220"/>
      <c r="O55" s="220"/>
      <c r="P55" s="220"/>
      <c r="Q55" s="220"/>
      <c r="R55" s="220"/>
      <c r="S55" s="220"/>
      <c r="T55" s="220"/>
      <c r="U55" s="220"/>
      <c r="V55" s="220"/>
      <c r="W55" s="220"/>
      <c r="X55" s="220"/>
      <c r="Y55" s="220"/>
      <c r="Z55" s="220"/>
      <c r="AA55" s="220"/>
      <c r="AB55" s="220"/>
      <c r="AC55" s="220"/>
      <c r="AE55" s="47"/>
      <c r="AF55" s="44"/>
    </row>
    <row r="56" spans="1:32">
      <c r="A56" s="231" t="s">
        <v>83</v>
      </c>
      <c r="B56" s="232"/>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row>
    <row r="57" spans="1:32">
      <c r="A57" s="234" t="s">
        <v>84</v>
      </c>
      <c r="B57" s="235">
        <v>23377</v>
      </c>
      <c r="C57" s="235">
        <v>59271</v>
      </c>
      <c r="D57" s="235">
        <v>85255</v>
      </c>
      <c r="E57" s="235">
        <v>137237</v>
      </c>
      <c r="F57" s="235">
        <v>167253</v>
      </c>
      <c r="G57" s="235">
        <v>204385</v>
      </c>
      <c r="H57" s="235">
        <v>223336</v>
      </c>
      <c r="I57" s="235">
        <v>199149</v>
      </c>
      <c r="J57" s="235">
        <v>422588</v>
      </c>
      <c r="K57" s="235">
        <v>368715</v>
      </c>
      <c r="L57" s="235">
        <v>342993</v>
      </c>
      <c r="M57" s="235">
        <v>475749</v>
      </c>
      <c r="N57" s="235">
        <v>563840</v>
      </c>
      <c r="O57" s="235">
        <v>491239</v>
      </c>
      <c r="P57" s="235">
        <v>463636</v>
      </c>
      <c r="Q57" s="235">
        <v>309407</v>
      </c>
      <c r="R57" s="235">
        <v>617038</v>
      </c>
      <c r="S57" s="235">
        <v>1024799</v>
      </c>
      <c r="T57" s="235">
        <v>1434496</v>
      </c>
      <c r="U57" s="235">
        <v>1319641</v>
      </c>
      <c r="V57" s="235">
        <v>1408588</v>
      </c>
      <c r="W57" s="235">
        <v>1827720</v>
      </c>
      <c r="X57" s="235">
        <v>1838896</v>
      </c>
      <c r="Y57" s="235">
        <v>1947962</v>
      </c>
      <c r="Z57" s="235">
        <v>2440058</v>
      </c>
      <c r="AA57" s="235">
        <v>2101584</v>
      </c>
      <c r="AB57" s="235">
        <v>693487</v>
      </c>
    </row>
    <row r="58" spans="1:32">
      <c r="A58" s="234" t="s">
        <v>85</v>
      </c>
      <c r="B58" s="235">
        <v>83196</v>
      </c>
      <c r="C58" s="235">
        <v>101262</v>
      </c>
      <c r="D58" s="235">
        <v>143582</v>
      </c>
      <c r="E58" s="235">
        <v>208539</v>
      </c>
      <c r="F58" s="235">
        <v>278812</v>
      </c>
      <c r="G58" s="235">
        <v>355291</v>
      </c>
      <c r="H58" s="235">
        <v>396043</v>
      </c>
      <c r="I58" s="235">
        <v>419841</v>
      </c>
      <c r="J58" s="235">
        <v>417064</v>
      </c>
      <c r="K58" s="235">
        <v>461546</v>
      </c>
      <c r="L58" s="235">
        <v>598299</v>
      </c>
      <c r="M58" s="235">
        <v>770468</v>
      </c>
      <c r="N58" s="235">
        <v>759418</v>
      </c>
      <c r="O58" s="235">
        <v>830684</v>
      </c>
      <c r="P58" s="235">
        <v>921427</v>
      </c>
      <c r="Q58" s="235">
        <v>989490</v>
      </c>
      <c r="R58" s="235">
        <v>1000827</v>
      </c>
      <c r="S58" s="235">
        <v>1094838</v>
      </c>
      <c r="T58" s="235">
        <v>1285404</v>
      </c>
      <c r="U58" s="235">
        <v>1275259</v>
      </c>
      <c r="V58" s="235">
        <v>1234996</v>
      </c>
      <c r="W58" s="235">
        <v>1181826</v>
      </c>
      <c r="X58" s="235">
        <v>1272553</v>
      </c>
      <c r="Y58" s="235">
        <v>1300228</v>
      </c>
      <c r="Z58" s="235">
        <v>1292130</v>
      </c>
      <c r="AA58" s="235">
        <v>1335071</v>
      </c>
      <c r="AB58" s="235">
        <v>677676</v>
      </c>
    </row>
    <row r="59" spans="1:32">
      <c r="A59" s="234" t="s">
        <v>86</v>
      </c>
      <c r="B59" s="232" t="s">
        <v>37</v>
      </c>
      <c r="C59" s="232" t="s">
        <v>37</v>
      </c>
      <c r="D59" s="232" t="s">
        <v>37</v>
      </c>
      <c r="E59" s="232" t="s">
        <v>37</v>
      </c>
      <c r="F59" s="232" t="s">
        <v>37</v>
      </c>
      <c r="G59" s="235">
        <v>38713</v>
      </c>
      <c r="H59" s="235">
        <v>34429</v>
      </c>
      <c r="I59" s="235">
        <v>45051</v>
      </c>
      <c r="J59" s="235">
        <v>74242</v>
      </c>
      <c r="K59" s="235">
        <v>57014</v>
      </c>
      <c r="L59" s="235">
        <v>22400</v>
      </c>
      <c r="M59" s="235">
        <v>48000</v>
      </c>
      <c r="N59" s="235">
        <v>53300</v>
      </c>
      <c r="O59" s="235">
        <v>44600</v>
      </c>
      <c r="P59" s="235">
        <v>35400</v>
      </c>
      <c r="Q59" s="235">
        <v>20000</v>
      </c>
      <c r="R59" s="235">
        <v>15200</v>
      </c>
      <c r="S59" s="235">
        <v>17600</v>
      </c>
      <c r="T59" s="235">
        <v>15900</v>
      </c>
      <c r="U59" s="235">
        <v>22800</v>
      </c>
      <c r="V59" s="235">
        <v>11300</v>
      </c>
      <c r="W59" s="235">
        <v>13600</v>
      </c>
      <c r="X59" s="235">
        <v>5400</v>
      </c>
      <c r="Y59" s="235">
        <v>2800</v>
      </c>
      <c r="Z59" s="235">
        <v>1000</v>
      </c>
      <c r="AA59" s="235">
        <v>1900</v>
      </c>
      <c r="AB59" s="232" t="s">
        <v>37</v>
      </c>
    </row>
    <row r="60" spans="1:32">
      <c r="A60" s="222" t="s">
        <v>87</v>
      </c>
      <c r="B60" s="236">
        <v>83196</v>
      </c>
      <c r="C60" s="236">
        <v>101262</v>
      </c>
      <c r="D60" s="236">
        <v>143582</v>
      </c>
      <c r="E60" s="236">
        <v>208539</v>
      </c>
      <c r="F60" s="236">
        <v>278812</v>
      </c>
      <c r="G60" s="236">
        <v>394004</v>
      </c>
      <c r="H60" s="236">
        <v>430472</v>
      </c>
      <c r="I60" s="236">
        <v>464892</v>
      </c>
      <c r="J60" s="236">
        <v>491306</v>
      </c>
      <c r="K60" s="236">
        <v>518560</v>
      </c>
      <c r="L60" s="236">
        <v>620699</v>
      </c>
      <c r="M60" s="236">
        <v>818468</v>
      </c>
      <c r="N60" s="236">
        <v>812718</v>
      </c>
      <c r="O60" s="236">
        <v>875284</v>
      </c>
      <c r="P60" s="236">
        <v>956827</v>
      </c>
      <c r="Q60" s="236">
        <v>1009490</v>
      </c>
      <c r="R60" s="236">
        <v>1016027</v>
      </c>
      <c r="S60" s="236">
        <v>1112438</v>
      </c>
      <c r="T60" s="236">
        <v>1301304</v>
      </c>
      <c r="U60" s="236">
        <v>1298059</v>
      </c>
      <c r="V60" s="236">
        <v>1246296</v>
      </c>
      <c r="W60" s="236">
        <v>1195426</v>
      </c>
      <c r="X60" s="236">
        <v>1277953</v>
      </c>
      <c r="Y60" s="236">
        <v>1303028</v>
      </c>
      <c r="Z60" s="236">
        <v>1293130</v>
      </c>
      <c r="AA60" s="236">
        <v>1336971</v>
      </c>
      <c r="AB60" s="236">
        <v>677676</v>
      </c>
    </row>
    <row r="61" spans="1:32">
      <c r="A61" s="234" t="s">
        <v>88</v>
      </c>
      <c r="B61" s="232" t="s">
        <v>37</v>
      </c>
      <c r="C61" s="232" t="s">
        <v>37</v>
      </c>
      <c r="D61" s="232" t="s">
        <v>37</v>
      </c>
      <c r="E61" s="232" t="s">
        <v>37</v>
      </c>
      <c r="F61" s="232" t="s">
        <v>37</v>
      </c>
      <c r="G61" s="232" t="s">
        <v>37</v>
      </c>
      <c r="H61" s="232" t="s">
        <v>37</v>
      </c>
      <c r="I61" s="232" t="s">
        <v>37</v>
      </c>
      <c r="J61" s="232" t="s">
        <v>37</v>
      </c>
      <c r="K61" s="232" t="s">
        <v>37</v>
      </c>
      <c r="L61" s="232" t="s">
        <v>37</v>
      </c>
      <c r="M61" s="232" t="s">
        <v>37</v>
      </c>
      <c r="N61" s="232" t="s">
        <v>37</v>
      </c>
      <c r="O61" s="232" t="s">
        <v>37</v>
      </c>
      <c r="P61" s="232" t="s">
        <v>37</v>
      </c>
      <c r="Q61" s="232" t="s">
        <v>37</v>
      </c>
      <c r="R61" s="232" t="s">
        <v>37</v>
      </c>
      <c r="S61" s="232" t="s">
        <v>37</v>
      </c>
      <c r="T61" s="232" t="s">
        <v>37</v>
      </c>
      <c r="U61" s="235">
        <v>34891</v>
      </c>
      <c r="V61" s="235">
        <v>39488</v>
      </c>
      <c r="W61" s="235">
        <v>43788</v>
      </c>
      <c r="X61" s="235">
        <v>81483</v>
      </c>
      <c r="Y61" s="235">
        <v>54323</v>
      </c>
      <c r="Z61" s="235">
        <v>56646</v>
      </c>
      <c r="AA61" s="235">
        <v>57201</v>
      </c>
      <c r="AB61" s="232" t="s">
        <v>37</v>
      </c>
    </row>
    <row r="62" spans="1:32">
      <c r="A62" s="234" t="s">
        <v>89</v>
      </c>
      <c r="B62" s="235">
        <v>22710</v>
      </c>
      <c r="C62" s="235">
        <v>41630</v>
      </c>
      <c r="D62" s="235">
        <v>50187</v>
      </c>
      <c r="E62" s="235">
        <v>71224</v>
      </c>
      <c r="F62" s="235">
        <v>75642</v>
      </c>
      <c r="G62" s="235">
        <v>71477</v>
      </c>
      <c r="H62" s="235">
        <v>64567</v>
      </c>
      <c r="I62" s="235">
        <v>49490</v>
      </c>
      <c r="J62" s="235">
        <v>125011</v>
      </c>
      <c r="K62" s="235">
        <v>102767</v>
      </c>
      <c r="L62" s="235">
        <v>77152</v>
      </c>
      <c r="M62" s="235">
        <v>64814</v>
      </c>
      <c r="N62" s="232" t="s">
        <v>37</v>
      </c>
      <c r="O62" s="232" t="s">
        <v>37</v>
      </c>
      <c r="P62" s="232" t="s">
        <v>37</v>
      </c>
      <c r="Q62" s="232" t="s">
        <v>37</v>
      </c>
      <c r="R62" s="232" t="s">
        <v>37</v>
      </c>
      <c r="S62" s="232" t="s">
        <v>37</v>
      </c>
      <c r="T62" s="232" t="s">
        <v>37</v>
      </c>
      <c r="U62" s="232" t="s">
        <v>37</v>
      </c>
      <c r="V62" s="232" t="s">
        <v>37</v>
      </c>
      <c r="W62" s="232" t="s">
        <v>37</v>
      </c>
      <c r="X62" s="232" t="s">
        <v>37</v>
      </c>
      <c r="Y62" s="232" t="s">
        <v>37</v>
      </c>
      <c r="Z62" s="232" t="s">
        <v>37</v>
      </c>
      <c r="AA62" s="232" t="s">
        <v>37</v>
      </c>
      <c r="AB62" s="232" t="s">
        <v>37</v>
      </c>
    </row>
    <row r="63" spans="1:32">
      <c r="A63" s="234" t="s">
        <v>90</v>
      </c>
      <c r="B63" s="232" t="s">
        <v>37</v>
      </c>
      <c r="C63" s="235">
        <v>-1871</v>
      </c>
      <c r="D63" s="235">
        <v>-88</v>
      </c>
      <c r="E63" s="235">
        <v>-20</v>
      </c>
      <c r="F63" s="235">
        <v>7283</v>
      </c>
      <c r="G63" s="235">
        <v>7062</v>
      </c>
      <c r="H63" s="235">
        <v>-19704</v>
      </c>
      <c r="I63" s="235">
        <v>-2610</v>
      </c>
      <c r="J63" s="235">
        <v>-162011</v>
      </c>
      <c r="K63" s="232" t="s">
        <v>37</v>
      </c>
      <c r="L63" s="235">
        <v>760</v>
      </c>
      <c r="M63" s="235">
        <v>838</v>
      </c>
      <c r="N63" s="235">
        <v>-132787</v>
      </c>
      <c r="O63" s="235">
        <v>-92044</v>
      </c>
      <c r="P63" s="232" t="s">
        <v>37</v>
      </c>
      <c r="Q63" s="232" t="s">
        <v>37</v>
      </c>
      <c r="R63" s="232" t="s">
        <v>37</v>
      </c>
      <c r="S63" s="232" t="s">
        <v>37</v>
      </c>
      <c r="T63" s="232" t="s">
        <v>37</v>
      </c>
      <c r="U63" s="235">
        <v>-93363</v>
      </c>
      <c r="V63" s="235">
        <v>-21800</v>
      </c>
      <c r="W63" s="235">
        <v>-43600</v>
      </c>
      <c r="X63" s="235">
        <v>-12400</v>
      </c>
      <c r="Y63" s="235">
        <v>53</v>
      </c>
      <c r="Z63" s="235">
        <v>-256127</v>
      </c>
      <c r="AA63" s="235">
        <v>1317</v>
      </c>
      <c r="AB63" s="235">
        <v>-917</v>
      </c>
    </row>
    <row r="64" spans="1:32">
      <c r="A64" s="234" t="s">
        <v>91</v>
      </c>
      <c r="B64" s="232" t="s">
        <v>37</v>
      </c>
      <c r="C64" s="232" t="s">
        <v>37</v>
      </c>
      <c r="D64" s="232" t="s">
        <v>37</v>
      </c>
      <c r="E64" s="232" t="s">
        <v>37</v>
      </c>
      <c r="F64" s="232" t="s">
        <v>37</v>
      </c>
      <c r="G64" s="232" t="s">
        <v>37</v>
      </c>
      <c r="H64" s="232" t="s">
        <v>37</v>
      </c>
      <c r="I64" s="232" t="s">
        <v>37</v>
      </c>
      <c r="J64" s="232" t="s">
        <v>37</v>
      </c>
      <c r="K64" s="235">
        <v>5146</v>
      </c>
      <c r="L64" s="232" t="s">
        <v>37</v>
      </c>
      <c r="M64" s="232" t="s">
        <v>37</v>
      </c>
      <c r="N64" s="232" t="s">
        <v>37</v>
      </c>
      <c r="O64" s="232" t="s">
        <v>37</v>
      </c>
      <c r="P64" s="232" t="s">
        <v>37</v>
      </c>
      <c r="Q64" s="235">
        <v>240050</v>
      </c>
      <c r="R64" s="235">
        <v>-312831</v>
      </c>
      <c r="S64" s="235">
        <v>-216600</v>
      </c>
      <c r="T64" s="235">
        <v>-517526</v>
      </c>
      <c r="U64" s="232" t="s">
        <v>37</v>
      </c>
      <c r="V64" s="235">
        <v>-136600</v>
      </c>
      <c r="W64" s="235">
        <v>-287087</v>
      </c>
      <c r="X64" s="235">
        <v>-72200</v>
      </c>
      <c r="Y64" s="235">
        <v>-25241</v>
      </c>
      <c r="Z64" s="235">
        <v>-55821</v>
      </c>
      <c r="AA64" s="235">
        <v>-16200</v>
      </c>
      <c r="AB64" s="235">
        <v>7800</v>
      </c>
    </row>
    <row r="65" spans="1:28">
      <c r="A65" s="234" t="s">
        <v>92</v>
      </c>
      <c r="B65" s="232" t="s">
        <v>37</v>
      </c>
      <c r="C65" s="232" t="s">
        <v>37</v>
      </c>
      <c r="D65" s="232" t="s">
        <v>37</v>
      </c>
      <c r="E65" s="232" t="s">
        <v>37</v>
      </c>
      <c r="F65" s="232" t="s">
        <v>37</v>
      </c>
      <c r="G65" s="232" t="s">
        <v>37</v>
      </c>
      <c r="H65" s="235">
        <v>10572</v>
      </c>
      <c r="I65" s="235">
        <v>47000</v>
      </c>
      <c r="J65" s="232" t="s">
        <v>37</v>
      </c>
      <c r="K65" s="232" t="s">
        <v>37</v>
      </c>
      <c r="L65" s="235">
        <v>18000</v>
      </c>
      <c r="M65" s="232" t="s">
        <v>37</v>
      </c>
      <c r="N65" s="232" t="s">
        <v>37</v>
      </c>
      <c r="O65" s="235">
        <v>55061</v>
      </c>
      <c r="P65" s="235">
        <v>21172</v>
      </c>
      <c r="Q65" s="232" t="s">
        <v>37</v>
      </c>
      <c r="R65" s="232" t="s">
        <v>37</v>
      </c>
      <c r="S65" s="235">
        <v>-29</v>
      </c>
      <c r="T65" s="232" t="s">
        <v>37</v>
      </c>
      <c r="U65" s="232" t="s">
        <v>37</v>
      </c>
      <c r="V65" s="232" t="s">
        <v>37</v>
      </c>
      <c r="W65" s="232" t="s">
        <v>37</v>
      </c>
      <c r="X65" s="232" t="s">
        <v>37</v>
      </c>
      <c r="Y65" s="232" t="s">
        <v>37</v>
      </c>
      <c r="Z65" s="232" t="s">
        <v>37</v>
      </c>
      <c r="AA65" s="232" t="s">
        <v>37</v>
      </c>
      <c r="AB65" s="232" t="s">
        <v>37</v>
      </c>
    </row>
    <row r="66" spans="1:28">
      <c r="A66" s="234" t="s">
        <v>93</v>
      </c>
      <c r="B66" s="235">
        <v>67</v>
      </c>
      <c r="C66" s="235">
        <v>-1403</v>
      </c>
      <c r="D66" s="235">
        <v>-9545</v>
      </c>
      <c r="E66" s="235">
        <v>-19176</v>
      </c>
      <c r="F66" s="235">
        <v>-28554</v>
      </c>
      <c r="G66" s="235">
        <v>-55855</v>
      </c>
      <c r="H66" s="235">
        <v>-25471</v>
      </c>
      <c r="I66" s="235">
        <v>18918</v>
      </c>
      <c r="J66" s="235">
        <v>31412</v>
      </c>
      <c r="K66" s="235">
        <v>-12192</v>
      </c>
      <c r="L66" s="235">
        <v>16553</v>
      </c>
      <c r="M66" s="235">
        <v>25147</v>
      </c>
      <c r="N66" s="235">
        <v>-16214</v>
      </c>
      <c r="O66" s="235">
        <v>63878</v>
      </c>
      <c r="P66" s="235">
        <v>86419</v>
      </c>
      <c r="Q66" s="235">
        <v>65098</v>
      </c>
      <c r="R66" s="235">
        <v>33129</v>
      </c>
      <c r="S66" s="235">
        <v>31739</v>
      </c>
      <c r="T66" s="235">
        <v>19491</v>
      </c>
      <c r="U66" s="235">
        <v>-26205</v>
      </c>
      <c r="V66" s="235">
        <v>-25157</v>
      </c>
      <c r="W66" s="235">
        <v>-12808</v>
      </c>
      <c r="X66" s="235">
        <v>-21707</v>
      </c>
      <c r="Y66" s="235">
        <v>-26169</v>
      </c>
      <c r="Z66" s="235">
        <v>-85113</v>
      </c>
      <c r="AA66" s="235">
        <v>-15580</v>
      </c>
      <c r="AB66" s="235">
        <v>25856</v>
      </c>
    </row>
    <row r="67" spans="1:28">
      <c r="A67" s="234" t="s">
        <v>94</v>
      </c>
      <c r="B67" s="232" t="s">
        <v>37</v>
      </c>
      <c r="C67" s="232" t="s">
        <v>37</v>
      </c>
      <c r="D67" s="232" t="s">
        <v>37</v>
      </c>
      <c r="E67" s="232" t="s">
        <v>37</v>
      </c>
      <c r="F67" s="232" t="s">
        <v>37</v>
      </c>
      <c r="G67" s="232" t="s">
        <v>37</v>
      </c>
      <c r="H67" s="232" t="s">
        <v>37</v>
      </c>
      <c r="I67" s="232" t="s">
        <v>37</v>
      </c>
      <c r="J67" s="232" t="s">
        <v>37</v>
      </c>
      <c r="K67" s="235">
        <v>-22394</v>
      </c>
      <c r="L67" s="235">
        <v>-1992</v>
      </c>
      <c r="M67" s="235">
        <v>-114100</v>
      </c>
      <c r="N67" s="235">
        <v>-84</v>
      </c>
      <c r="O67" s="235">
        <v>35252</v>
      </c>
      <c r="P67" s="232" t="s">
        <v>37</v>
      </c>
      <c r="Q67" s="232" t="s">
        <v>37</v>
      </c>
      <c r="R67" s="232" t="s">
        <v>37</v>
      </c>
      <c r="S67" s="232" t="s">
        <v>37</v>
      </c>
      <c r="T67" s="232" t="s">
        <v>37</v>
      </c>
      <c r="U67" s="235">
        <v>-14152</v>
      </c>
      <c r="V67" s="235">
        <v>-242</v>
      </c>
      <c r="W67" s="232" t="s">
        <v>37</v>
      </c>
      <c r="X67" s="232" t="s">
        <v>37</v>
      </c>
      <c r="Y67" s="232" t="s">
        <v>37</v>
      </c>
      <c r="Z67" s="232" t="s">
        <v>37</v>
      </c>
      <c r="AA67" s="232" t="s">
        <v>37</v>
      </c>
      <c r="AB67" s="232" t="s">
        <v>37</v>
      </c>
    </row>
    <row r="68" spans="1:28">
      <c r="A68" s="234" t="s">
        <v>95</v>
      </c>
      <c r="B68" s="235">
        <v>13654</v>
      </c>
      <c r="C68" s="235">
        <v>2159</v>
      </c>
      <c r="D68" s="235">
        <v>19</v>
      </c>
      <c r="E68" s="235">
        <v>-9827</v>
      </c>
      <c r="F68" s="235">
        <v>-8675</v>
      </c>
      <c r="G68" s="235">
        <v>29588</v>
      </c>
      <c r="H68" s="235">
        <v>41003</v>
      </c>
      <c r="I68" s="235">
        <v>5081</v>
      </c>
      <c r="J68" s="235">
        <v>-21092</v>
      </c>
      <c r="K68" s="235">
        <v>8414</v>
      </c>
      <c r="L68" s="235">
        <v>12239</v>
      </c>
      <c r="M68" s="235">
        <v>6398</v>
      </c>
      <c r="N68" s="235">
        <v>149369</v>
      </c>
      <c r="O68" s="235">
        <v>127090</v>
      </c>
      <c r="P68" s="235">
        <v>102227</v>
      </c>
      <c r="Q68" s="235">
        <v>83310</v>
      </c>
      <c r="R68" s="235">
        <v>462641</v>
      </c>
      <c r="S68" s="235">
        <v>190793</v>
      </c>
      <c r="T68" s="235">
        <v>248208</v>
      </c>
      <c r="U68" s="235">
        <v>183685</v>
      </c>
      <c r="V68" s="235">
        <v>321723</v>
      </c>
      <c r="W68" s="235">
        <v>378463</v>
      </c>
      <c r="X68" s="235">
        <v>385978</v>
      </c>
      <c r="Y68" s="235">
        <v>399016</v>
      </c>
      <c r="Z68" s="235">
        <v>366672</v>
      </c>
      <c r="AA68" s="235">
        <v>378933</v>
      </c>
      <c r="AB68" s="235">
        <v>117786</v>
      </c>
    </row>
    <row r="69" spans="1:28">
      <c r="A69" s="234" t="s">
        <v>96</v>
      </c>
      <c r="B69" s="235">
        <v>-3908</v>
      </c>
      <c r="C69" s="235">
        <v>5502</v>
      </c>
      <c r="D69" s="235">
        <v>-6422</v>
      </c>
      <c r="E69" s="235">
        <v>-23284</v>
      </c>
      <c r="F69" s="235">
        <v>-13205</v>
      </c>
      <c r="G69" s="235">
        <v>-36960</v>
      </c>
      <c r="H69" s="235">
        <v>-8482</v>
      </c>
      <c r="I69" s="235">
        <v>2335</v>
      </c>
      <c r="J69" s="235">
        <v>14237</v>
      </c>
      <c r="K69" s="235">
        <v>34277</v>
      </c>
      <c r="L69" s="235">
        <v>-37166</v>
      </c>
      <c r="M69" s="235">
        <v>22803</v>
      </c>
      <c r="N69" s="235">
        <v>-3799</v>
      </c>
      <c r="O69" s="235">
        <v>-40976</v>
      </c>
      <c r="P69" s="235">
        <v>-14312</v>
      </c>
      <c r="Q69" s="235">
        <v>37465</v>
      </c>
      <c r="R69" s="235">
        <v>2144</v>
      </c>
      <c r="S69" s="235">
        <v>-19370</v>
      </c>
      <c r="T69" s="235">
        <v>-4815</v>
      </c>
      <c r="U69" s="235">
        <v>-13938</v>
      </c>
      <c r="V69" s="235">
        <v>-6730</v>
      </c>
      <c r="W69" s="235">
        <v>9918</v>
      </c>
      <c r="X69" s="235">
        <v>16277</v>
      </c>
      <c r="Y69" s="235">
        <v>-26170</v>
      </c>
      <c r="Z69" s="235">
        <v>-17518</v>
      </c>
      <c r="AA69" s="235">
        <v>-157</v>
      </c>
      <c r="AB69" s="235">
        <v>-623761</v>
      </c>
    </row>
    <row r="70" spans="1:28">
      <c r="A70" s="234" t="s">
        <v>97</v>
      </c>
      <c r="B70" s="235">
        <v>-12172</v>
      </c>
      <c r="C70" s="235">
        <v>2076</v>
      </c>
      <c r="D70" s="235">
        <v>-13768</v>
      </c>
      <c r="E70" s="235">
        <v>36417</v>
      </c>
      <c r="F70" s="235">
        <v>58705</v>
      </c>
      <c r="G70" s="235">
        <v>36445</v>
      </c>
      <c r="H70" s="235">
        <v>37312</v>
      </c>
      <c r="I70" s="235">
        <v>112739</v>
      </c>
      <c r="J70" s="235">
        <v>-2683</v>
      </c>
      <c r="K70" s="235">
        <v>-24930</v>
      </c>
      <c r="L70" s="235">
        <v>90241</v>
      </c>
      <c r="M70" s="235">
        <v>-91329</v>
      </c>
      <c r="N70" s="235">
        <v>70094</v>
      </c>
      <c r="O70" s="235">
        <v>114786</v>
      </c>
      <c r="P70" s="235">
        <v>41213</v>
      </c>
      <c r="Q70" s="235">
        <v>3789</v>
      </c>
      <c r="R70" s="235">
        <v>-22550</v>
      </c>
      <c r="S70" s="235">
        <v>-58959</v>
      </c>
      <c r="T70" s="235">
        <v>165679</v>
      </c>
      <c r="U70" s="235">
        <v>42391</v>
      </c>
      <c r="V70" s="235">
        <v>-29577</v>
      </c>
      <c r="W70" s="235">
        <v>35542</v>
      </c>
      <c r="X70" s="235">
        <v>-77789</v>
      </c>
      <c r="Y70" s="235">
        <v>99931</v>
      </c>
      <c r="Z70" s="235">
        <v>84307</v>
      </c>
      <c r="AA70" s="235">
        <v>13100</v>
      </c>
      <c r="AB70" s="235">
        <v>-84209</v>
      </c>
    </row>
    <row r="71" spans="1:28">
      <c r="A71" s="234" t="s">
        <v>98</v>
      </c>
      <c r="B71" s="235">
        <v>1099</v>
      </c>
      <c r="C71" s="235">
        <v>-14290</v>
      </c>
      <c r="D71" s="235">
        <v>-12756</v>
      </c>
      <c r="E71" s="235">
        <v>-30203</v>
      </c>
      <c r="F71" s="235">
        <v>-7846</v>
      </c>
      <c r="G71" s="235">
        <v>-23090</v>
      </c>
      <c r="H71" s="235">
        <v>-10086</v>
      </c>
      <c r="I71" s="235">
        <v>-37932</v>
      </c>
      <c r="J71" s="235">
        <v>-15778</v>
      </c>
      <c r="K71" s="235">
        <v>-26396</v>
      </c>
      <c r="L71" s="235">
        <v>-58947</v>
      </c>
      <c r="M71" s="235">
        <v>-38417</v>
      </c>
      <c r="N71" s="235">
        <v>-126989</v>
      </c>
      <c r="O71" s="235">
        <v>-70138</v>
      </c>
      <c r="P71" s="235">
        <v>-21295</v>
      </c>
      <c r="Q71" s="235">
        <v>-28089</v>
      </c>
      <c r="R71" s="235">
        <v>-40388</v>
      </c>
      <c r="S71" s="235">
        <v>-58924</v>
      </c>
      <c r="T71" s="235">
        <v>-133765</v>
      </c>
      <c r="U71" s="235">
        <v>-30013</v>
      </c>
      <c r="V71" s="235">
        <v>-65569</v>
      </c>
      <c r="W71" s="235">
        <v>-122677</v>
      </c>
      <c r="X71" s="235">
        <v>-43797</v>
      </c>
      <c r="Y71" s="235">
        <v>-132945</v>
      </c>
      <c r="Z71" s="235">
        <v>-75438</v>
      </c>
      <c r="AA71" s="235">
        <v>-49338</v>
      </c>
      <c r="AB71" s="235">
        <v>594</v>
      </c>
    </row>
    <row r="72" spans="1:28">
      <c r="A72" s="222" t="s">
        <v>99</v>
      </c>
      <c r="B72" s="236">
        <v>128023</v>
      </c>
      <c r="C72" s="236">
        <v>194336</v>
      </c>
      <c r="D72" s="236">
        <v>236464</v>
      </c>
      <c r="E72" s="236">
        <v>370907</v>
      </c>
      <c r="F72" s="236">
        <v>529415</v>
      </c>
      <c r="G72" s="236">
        <v>627056</v>
      </c>
      <c r="H72" s="236">
        <v>743519</v>
      </c>
      <c r="I72" s="236">
        <v>859062</v>
      </c>
      <c r="J72" s="236">
        <v>882990</v>
      </c>
      <c r="K72" s="236">
        <v>951967</v>
      </c>
      <c r="L72" s="236">
        <v>1080532</v>
      </c>
      <c r="M72" s="236">
        <v>1170371</v>
      </c>
      <c r="N72" s="236">
        <v>1316148</v>
      </c>
      <c r="O72" s="236">
        <v>1559432</v>
      </c>
      <c r="P72" s="236">
        <v>1635887</v>
      </c>
      <c r="Q72" s="236">
        <v>1720520</v>
      </c>
      <c r="R72" s="236">
        <v>1755210</v>
      </c>
      <c r="S72" s="236">
        <v>2005887</v>
      </c>
      <c r="T72" s="236">
        <v>2513072</v>
      </c>
      <c r="U72" s="236">
        <v>2700996</v>
      </c>
      <c r="V72" s="236">
        <v>2730420</v>
      </c>
      <c r="W72" s="236">
        <v>3024685</v>
      </c>
      <c r="X72" s="236">
        <v>3372694</v>
      </c>
      <c r="Y72" s="236">
        <v>3593788</v>
      </c>
      <c r="Z72" s="236">
        <v>3750796</v>
      </c>
      <c r="AA72" s="236">
        <v>3807831</v>
      </c>
      <c r="AB72" s="236">
        <v>814312</v>
      </c>
    </row>
    <row r="73" spans="1:28">
      <c r="A73" s="222" t="s">
        <v>100</v>
      </c>
      <c r="B73" s="232"/>
      <c r="C73" s="232"/>
      <c r="D73" s="232"/>
      <c r="E73" s="232"/>
      <c r="F73" s="232"/>
      <c r="G73" s="232"/>
      <c r="H73" s="232"/>
      <c r="I73" s="232"/>
      <c r="J73" s="232"/>
      <c r="K73" s="232"/>
      <c r="L73" s="232"/>
      <c r="M73" s="232"/>
      <c r="N73" s="232"/>
      <c r="O73" s="232"/>
      <c r="P73" s="232"/>
      <c r="Q73" s="232"/>
      <c r="R73" s="232"/>
      <c r="S73" s="232"/>
      <c r="T73" s="232"/>
      <c r="U73" s="232"/>
      <c r="V73" s="232"/>
      <c r="W73" s="232"/>
      <c r="X73" s="232"/>
      <c r="Y73" s="232"/>
      <c r="Z73" s="232"/>
      <c r="AA73" s="232"/>
      <c r="AB73" s="232"/>
    </row>
    <row r="74" spans="1:28">
      <c r="A74" s="234" t="s">
        <v>101</v>
      </c>
      <c r="B74" s="235">
        <v>-42765</v>
      </c>
      <c r="C74" s="235">
        <v>-98220</v>
      </c>
      <c r="D74" s="235">
        <v>-195833</v>
      </c>
      <c r="E74" s="235">
        <v>-305178</v>
      </c>
      <c r="F74" s="235">
        <v>-349708</v>
      </c>
      <c r="G74" s="235">
        <v>-504561</v>
      </c>
      <c r="H74" s="235">
        <v>-419382</v>
      </c>
      <c r="I74" s="235">
        <v>-282545</v>
      </c>
      <c r="J74" s="235">
        <v>-213990</v>
      </c>
      <c r="K74" s="235">
        <v>-353903</v>
      </c>
      <c r="L74" s="235">
        <v>-549304</v>
      </c>
      <c r="M74" s="235">
        <v>-726386</v>
      </c>
      <c r="N74" s="235">
        <v>-767710</v>
      </c>
      <c r="O74" s="235">
        <v>-1017472</v>
      </c>
      <c r="P74" s="235">
        <v>-874286</v>
      </c>
      <c r="Q74" s="235">
        <v>-376275</v>
      </c>
      <c r="R74" s="235">
        <v>-256312</v>
      </c>
      <c r="S74" s="235">
        <v>-445495</v>
      </c>
      <c r="T74" s="235">
        <v>-802427</v>
      </c>
      <c r="U74" s="235">
        <v>-841209</v>
      </c>
      <c r="V74" s="235">
        <v>-796736</v>
      </c>
      <c r="W74" s="235">
        <v>-1020924</v>
      </c>
      <c r="X74" s="235">
        <v>-798465</v>
      </c>
      <c r="Y74" s="235">
        <v>-732100</v>
      </c>
      <c r="Z74" s="235">
        <v>-781909</v>
      </c>
      <c r="AA74" s="235">
        <v>-876011</v>
      </c>
      <c r="AB74" s="235">
        <v>-337467</v>
      </c>
    </row>
    <row r="75" spans="1:28">
      <c r="A75" s="234" t="s">
        <v>102</v>
      </c>
      <c r="B75" s="232" t="s">
        <v>37</v>
      </c>
      <c r="C75" s="235">
        <v>2550</v>
      </c>
      <c r="D75" s="235">
        <v>399</v>
      </c>
      <c r="E75" s="235">
        <v>599</v>
      </c>
      <c r="F75" s="235">
        <v>46087</v>
      </c>
      <c r="G75" s="235">
        <v>58703</v>
      </c>
      <c r="H75" s="235">
        <v>164574</v>
      </c>
      <c r="I75" s="235">
        <v>19550</v>
      </c>
      <c r="J75" s="235">
        <v>436350</v>
      </c>
      <c r="K75" s="232" t="s">
        <v>37</v>
      </c>
      <c r="L75" s="232" t="s">
        <v>37</v>
      </c>
      <c r="M75" s="232" t="s">
        <v>37</v>
      </c>
      <c r="N75" s="232" t="s">
        <v>37</v>
      </c>
      <c r="O75" s="232" t="s">
        <v>37</v>
      </c>
      <c r="P75" s="232" t="s">
        <v>37</v>
      </c>
      <c r="Q75" s="235">
        <v>33106</v>
      </c>
      <c r="R75" s="235">
        <v>301425</v>
      </c>
      <c r="S75" s="235">
        <v>136013</v>
      </c>
      <c r="T75" s="235">
        <v>383804</v>
      </c>
      <c r="U75" s="235">
        <v>274058</v>
      </c>
      <c r="V75" s="232" t="s">
        <v>37</v>
      </c>
      <c r="W75" s="235">
        <v>33015</v>
      </c>
      <c r="X75" s="235">
        <v>36558</v>
      </c>
      <c r="Y75" s="235">
        <v>19944</v>
      </c>
      <c r="Z75" s="235">
        <v>183241</v>
      </c>
      <c r="AA75" s="235">
        <v>6776</v>
      </c>
      <c r="AB75" s="232" t="s">
        <v>37</v>
      </c>
    </row>
    <row r="76" spans="1:28">
      <c r="A76" s="234" t="s">
        <v>103</v>
      </c>
      <c r="B76" s="235">
        <v>-218388</v>
      </c>
      <c r="C76" s="235">
        <v>-83926</v>
      </c>
      <c r="D76" s="235">
        <v>-19016</v>
      </c>
      <c r="E76" s="235">
        <v>-960683</v>
      </c>
      <c r="F76" s="235">
        <v>-1924562</v>
      </c>
      <c r="G76" s="235">
        <v>-255896</v>
      </c>
      <c r="H76" s="235">
        <v>-1325</v>
      </c>
      <c r="I76" s="235">
        <v>-156291</v>
      </c>
      <c r="J76" s="235">
        <v>-1120623</v>
      </c>
      <c r="K76" s="235">
        <v>-812362</v>
      </c>
      <c r="L76" s="235">
        <v>-2307867</v>
      </c>
      <c r="M76" s="235">
        <v>-46984</v>
      </c>
      <c r="N76" s="235">
        <v>-158394</v>
      </c>
      <c r="O76" s="235">
        <v>-263098</v>
      </c>
      <c r="P76" s="232" t="s">
        <v>37</v>
      </c>
      <c r="Q76" s="232" t="s">
        <v>37</v>
      </c>
      <c r="R76" s="235">
        <v>-949261</v>
      </c>
      <c r="S76" s="235">
        <v>-1240321</v>
      </c>
      <c r="T76" s="235">
        <v>-3644555</v>
      </c>
      <c r="U76" s="235">
        <v>-866541</v>
      </c>
      <c r="V76" s="235">
        <v>-80057</v>
      </c>
      <c r="W76" s="235">
        <v>-1410881</v>
      </c>
      <c r="X76" s="235">
        <v>-439982</v>
      </c>
      <c r="Y76" s="235">
        <v>-256952</v>
      </c>
      <c r="Z76" s="235">
        <v>-39784</v>
      </c>
      <c r="AA76" s="235">
        <v>-11755</v>
      </c>
      <c r="AB76" s="235">
        <v>-107797</v>
      </c>
    </row>
    <row r="77" spans="1:28">
      <c r="A77" s="234" t="s">
        <v>104</v>
      </c>
      <c r="B77" s="232" t="s">
        <v>37</v>
      </c>
      <c r="C77" s="232" t="s">
        <v>37</v>
      </c>
      <c r="D77" s="232" t="s">
        <v>37</v>
      </c>
      <c r="E77" s="232" t="s">
        <v>37</v>
      </c>
      <c r="F77" s="232" t="s">
        <v>37</v>
      </c>
      <c r="G77" s="232" t="s">
        <v>37</v>
      </c>
      <c r="H77" s="232" t="s">
        <v>37</v>
      </c>
      <c r="I77" s="232" t="s">
        <v>37</v>
      </c>
      <c r="J77" s="232" t="s">
        <v>37</v>
      </c>
      <c r="K77" s="235">
        <v>48910</v>
      </c>
      <c r="L77" s="235">
        <v>2507</v>
      </c>
      <c r="M77" s="232" t="s">
        <v>37</v>
      </c>
      <c r="N77" s="235">
        <v>8762</v>
      </c>
      <c r="O77" s="235">
        <v>6117</v>
      </c>
      <c r="P77" s="232" t="s">
        <v>37</v>
      </c>
      <c r="Q77" s="232" t="s">
        <v>37</v>
      </c>
      <c r="R77" s="232" t="s">
        <v>37</v>
      </c>
      <c r="S77" s="232" t="s">
        <v>37</v>
      </c>
      <c r="T77" s="232" t="s">
        <v>37</v>
      </c>
      <c r="U77" s="232" t="s">
        <v>37</v>
      </c>
      <c r="V77" s="232" t="s">
        <v>37</v>
      </c>
      <c r="W77" s="232" t="s">
        <v>37</v>
      </c>
      <c r="X77" s="232" t="s">
        <v>37</v>
      </c>
      <c r="Y77" s="232" t="s">
        <v>37</v>
      </c>
      <c r="Z77" s="232" t="s">
        <v>37</v>
      </c>
      <c r="AA77" s="232" t="s">
        <v>37</v>
      </c>
      <c r="AB77" s="232" t="s">
        <v>37</v>
      </c>
    </row>
    <row r="78" spans="1:28">
      <c r="A78" s="234" t="s">
        <v>105</v>
      </c>
      <c r="B78" s="235">
        <v>-5619</v>
      </c>
      <c r="C78" s="235">
        <v>-43083</v>
      </c>
      <c r="D78" s="235">
        <v>13234</v>
      </c>
      <c r="E78" s="235">
        <v>79301</v>
      </c>
      <c r="F78" s="235">
        <v>118465</v>
      </c>
      <c r="G78" s="235">
        <v>91878</v>
      </c>
      <c r="H78" s="235">
        <v>142215</v>
      </c>
      <c r="I78" s="235">
        <v>69149</v>
      </c>
      <c r="J78" s="235">
        <v>101201</v>
      </c>
      <c r="K78" s="235">
        <v>355692</v>
      </c>
      <c r="L78" s="235">
        <v>108967</v>
      </c>
      <c r="M78" s="235">
        <v>720936</v>
      </c>
      <c r="N78" s="235">
        <v>309910</v>
      </c>
      <c r="O78" s="235">
        <v>-283497</v>
      </c>
      <c r="P78" s="235">
        <v>-175289</v>
      </c>
      <c r="Q78" s="235">
        <v>35478</v>
      </c>
      <c r="R78" s="235">
        <v>71912</v>
      </c>
      <c r="S78" s="235">
        <v>320637</v>
      </c>
      <c r="T78" s="235">
        <v>251363</v>
      </c>
      <c r="U78" s="235">
        <v>584683</v>
      </c>
      <c r="V78" s="235">
        <v>-140534</v>
      </c>
      <c r="W78" s="235">
        <v>936070</v>
      </c>
      <c r="X78" s="235">
        <v>224656</v>
      </c>
      <c r="Y78" s="235">
        <v>279173</v>
      </c>
      <c r="Z78" s="235">
        <v>387504</v>
      </c>
      <c r="AA78" s="235">
        <v>-209020</v>
      </c>
      <c r="AB78" s="235">
        <v>102041</v>
      </c>
    </row>
    <row r="79" spans="1:28">
      <c r="A79" s="234" t="s">
        <v>106</v>
      </c>
      <c r="B79" s="232" t="s">
        <v>37</v>
      </c>
      <c r="C79" s="232" t="s">
        <v>37</v>
      </c>
      <c r="D79" s="232" t="s">
        <v>37</v>
      </c>
      <c r="E79" s="232" t="s">
        <v>37</v>
      </c>
      <c r="F79" s="232" t="s">
        <v>37</v>
      </c>
      <c r="G79" s="232" t="s">
        <v>37</v>
      </c>
      <c r="H79" s="232" t="s">
        <v>37</v>
      </c>
      <c r="I79" s="232" t="s">
        <v>37</v>
      </c>
      <c r="J79" s="232" t="s">
        <v>37</v>
      </c>
      <c r="K79" s="232" t="s">
        <v>37</v>
      </c>
      <c r="L79" s="232" t="s">
        <v>37</v>
      </c>
      <c r="M79" s="232" t="s">
        <v>37</v>
      </c>
      <c r="N79" s="232" t="s">
        <v>37</v>
      </c>
      <c r="O79" s="232" t="s">
        <v>37</v>
      </c>
      <c r="P79" s="232" t="s">
        <v>37</v>
      </c>
      <c r="Q79" s="232" t="s">
        <v>37</v>
      </c>
      <c r="R79" s="235">
        <v>-395459</v>
      </c>
      <c r="S79" s="235">
        <v>235124</v>
      </c>
      <c r="T79" s="235">
        <v>163908</v>
      </c>
      <c r="U79" s="232" t="s">
        <v>37</v>
      </c>
      <c r="V79" s="232" t="s">
        <v>37</v>
      </c>
      <c r="W79" s="232" t="s">
        <v>37</v>
      </c>
      <c r="X79" s="232" t="s">
        <v>37</v>
      </c>
      <c r="Y79" s="232" t="s">
        <v>37</v>
      </c>
      <c r="Z79" s="232" t="s">
        <v>37</v>
      </c>
      <c r="AA79" s="232" t="s">
        <v>37</v>
      </c>
      <c r="AB79" s="232" t="s">
        <v>37</v>
      </c>
    </row>
    <row r="80" spans="1:28">
      <c r="A80" s="234" t="s">
        <v>107</v>
      </c>
      <c r="B80" s="232" t="s">
        <v>37</v>
      </c>
      <c r="C80" s="232" t="s">
        <v>37</v>
      </c>
      <c r="D80" s="235">
        <v>1474</v>
      </c>
      <c r="E80" s="235">
        <v>-57843</v>
      </c>
      <c r="F80" s="235">
        <v>7686</v>
      </c>
      <c r="G80" s="235">
        <v>-3000</v>
      </c>
      <c r="H80" s="235">
        <v>-20319</v>
      </c>
      <c r="I80" s="235">
        <v>-1173</v>
      </c>
      <c r="J80" s="235">
        <v>11332</v>
      </c>
      <c r="K80" s="232" t="s">
        <v>37</v>
      </c>
      <c r="L80" s="232" t="s">
        <v>37</v>
      </c>
      <c r="M80" s="232" t="s">
        <v>37</v>
      </c>
      <c r="N80" s="232" t="s">
        <v>37</v>
      </c>
      <c r="O80" s="235">
        <v>-491626</v>
      </c>
      <c r="P80" s="235">
        <v>27300</v>
      </c>
      <c r="Q80" s="235">
        <v>-111300</v>
      </c>
      <c r="R80" s="235">
        <v>-19000</v>
      </c>
      <c r="S80" s="232" t="s">
        <v>37</v>
      </c>
      <c r="T80" s="235">
        <v>67236</v>
      </c>
      <c r="U80" s="235">
        <v>-99079</v>
      </c>
      <c r="V80" s="235">
        <v>120061</v>
      </c>
      <c r="W80" s="232" t="s">
        <v>37</v>
      </c>
      <c r="X80" s="235">
        <v>8207</v>
      </c>
      <c r="Y80" s="235">
        <v>-71532</v>
      </c>
      <c r="Z80" s="235">
        <v>14442</v>
      </c>
      <c r="AA80" s="235">
        <v>13303</v>
      </c>
      <c r="AB80" s="235">
        <v>-5335</v>
      </c>
    </row>
    <row r="81" spans="1:28">
      <c r="A81" s="222" t="s">
        <v>108</v>
      </c>
      <c r="B81" s="236">
        <v>-266772</v>
      </c>
      <c r="C81" s="236">
        <v>-222679</v>
      </c>
      <c r="D81" s="236">
        <v>-199742</v>
      </c>
      <c r="E81" s="236">
        <v>-1243804</v>
      </c>
      <c r="F81" s="236">
        <v>-2102032</v>
      </c>
      <c r="G81" s="236">
        <v>-612876</v>
      </c>
      <c r="H81" s="236">
        <v>-134237</v>
      </c>
      <c r="I81" s="236">
        <v>-351310</v>
      </c>
      <c r="J81" s="236">
        <v>-785730</v>
      </c>
      <c r="K81" s="236">
        <v>-761663</v>
      </c>
      <c r="L81" s="236">
        <v>-2745697</v>
      </c>
      <c r="M81" s="236">
        <v>-52434</v>
      </c>
      <c r="N81" s="236">
        <v>-607432</v>
      </c>
      <c r="O81" s="236">
        <v>-2049576</v>
      </c>
      <c r="P81" s="236">
        <v>-1022275</v>
      </c>
      <c r="Q81" s="236">
        <v>-418991</v>
      </c>
      <c r="R81" s="236">
        <v>-1246695</v>
      </c>
      <c r="S81" s="236">
        <v>-994042</v>
      </c>
      <c r="T81" s="236">
        <v>-3580671</v>
      </c>
      <c r="U81" s="236">
        <v>-948088</v>
      </c>
      <c r="V81" s="236">
        <v>-897266</v>
      </c>
      <c r="W81" s="236">
        <v>-1462720</v>
      </c>
      <c r="X81" s="236">
        <v>-969026</v>
      </c>
      <c r="Y81" s="236">
        <v>-761467</v>
      </c>
      <c r="Z81" s="236">
        <v>-236506</v>
      </c>
      <c r="AA81" s="236">
        <v>-1076707</v>
      </c>
      <c r="AB81" s="236">
        <v>-348558</v>
      </c>
    </row>
    <row r="82" spans="1:28">
      <c r="A82" s="222" t="s">
        <v>109</v>
      </c>
      <c r="B82" s="232"/>
      <c r="C82" s="232"/>
      <c r="D82" s="232"/>
      <c r="E82" s="232"/>
      <c r="F82" s="232"/>
      <c r="G82" s="232"/>
      <c r="H82" s="232"/>
      <c r="I82" s="232"/>
      <c r="J82" s="232"/>
      <c r="K82" s="232"/>
      <c r="L82" s="232"/>
      <c r="M82" s="232"/>
      <c r="N82" s="232"/>
      <c r="O82" s="232"/>
      <c r="P82" s="232"/>
      <c r="Q82" s="232"/>
      <c r="R82" s="232"/>
      <c r="S82" s="232"/>
      <c r="T82" s="232"/>
      <c r="U82" s="232"/>
      <c r="V82" s="232"/>
      <c r="W82" s="232"/>
      <c r="X82" s="232"/>
      <c r="Y82" s="232"/>
      <c r="Z82" s="232"/>
      <c r="AA82" s="232"/>
      <c r="AB82" s="232"/>
    </row>
    <row r="83" spans="1:28">
      <c r="A83" s="234" t="s">
        <v>110</v>
      </c>
      <c r="B83" s="235">
        <v>405430</v>
      </c>
      <c r="C83" s="235">
        <v>456520</v>
      </c>
      <c r="D83" s="235">
        <v>1293582</v>
      </c>
      <c r="E83" s="235">
        <v>2976222</v>
      </c>
      <c r="F83" s="235">
        <v>3782314</v>
      </c>
      <c r="G83" s="235">
        <v>2168069</v>
      </c>
      <c r="H83" s="235">
        <v>1474527</v>
      </c>
      <c r="I83" s="235">
        <v>2454994</v>
      </c>
      <c r="J83" s="235">
        <v>2408685</v>
      </c>
      <c r="K83" s="235">
        <v>2536498</v>
      </c>
      <c r="L83" s="235">
        <v>5710886</v>
      </c>
      <c r="M83" s="235">
        <v>3962778</v>
      </c>
      <c r="N83" s="235">
        <v>5507735</v>
      </c>
      <c r="O83" s="235">
        <v>5577083</v>
      </c>
      <c r="P83" s="235">
        <v>4456975</v>
      </c>
      <c r="Q83" s="235">
        <v>3220706</v>
      </c>
      <c r="R83" s="235">
        <v>3858815</v>
      </c>
      <c r="S83" s="235">
        <v>1655203</v>
      </c>
      <c r="T83" s="235">
        <v>6772443</v>
      </c>
      <c r="U83" s="235">
        <v>2919364</v>
      </c>
      <c r="V83" s="235">
        <v>4630289</v>
      </c>
      <c r="W83" s="235">
        <v>10468667</v>
      </c>
      <c r="X83" s="235">
        <v>14866205</v>
      </c>
      <c r="Y83" s="235">
        <v>11668026</v>
      </c>
      <c r="Z83" s="235">
        <v>7973719</v>
      </c>
      <c r="AA83" s="235">
        <v>13312301</v>
      </c>
      <c r="AB83" s="235">
        <v>7954893</v>
      </c>
    </row>
    <row r="84" spans="1:28">
      <c r="A84" s="222" t="s">
        <v>111</v>
      </c>
      <c r="B84" s="236">
        <v>405430</v>
      </c>
      <c r="C84" s="236">
        <v>456520</v>
      </c>
      <c r="D84" s="236">
        <v>1293582</v>
      </c>
      <c r="E84" s="236">
        <v>2976222</v>
      </c>
      <c r="F84" s="236">
        <v>3782314</v>
      </c>
      <c r="G84" s="236">
        <v>2168069</v>
      </c>
      <c r="H84" s="236">
        <v>1474527</v>
      </c>
      <c r="I84" s="236">
        <v>2454994</v>
      </c>
      <c r="J84" s="236">
        <v>2408685</v>
      </c>
      <c r="K84" s="236">
        <v>2536498</v>
      </c>
      <c r="L84" s="236">
        <v>5710886</v>
      </c>
      <c r="M84" s="236">
        <v>3962778</v>
      </c>
      <c r="N84" s="236">
        <v>5507735</v>
      </c>
      <c r="O84" s="236">
        <v>5577083</v>
      </c>
      <c r="P84" s="236">
        <v>4456975</v>
      </c>
      <c r="Q84" s="236">
        <v>3220706</v>
      </c>
      <c r="R84" s="236">
        <v>3858815</v>
      </c>
      <c r="S84" s="236">
        <v>1655203</v>
      </c>
      <c r="T84" s="236">
        <v>6772443</v>
      </c>
      <c r="U84" s="236">
        <v>2919364</v>
      </c>
      <c r="V84" s="236">
        <v>4630289</v>
      </c>
      <c r="W84" s="236">
        <v>10468667</v>
      </c>
      <c r="X84" s="236">
        <v>14866205</v>
      </c>
      <c r="Y84" s="236">
        <v>11668026</v>
      </c>
      <c r="Z84" s="236">
        <v>7973719</v>
      </c>
      <c r="AA84" s="236">
        <v>13312301</v>
      </c>
      <c r="AB84" s="236">
        <v>7954893</v>
      </c>
    </row>
    <row r="85" spans="1:28">
      <c r="A85" s="234" t="s">
        <v>112</v>
      </c>
      <c r="B85" s="235">
        <v>-256081</v>
      </c>
      <c r="C85" s="235">
        <v>-531566</v>
      </c>
      <c r="D85" s="235">
        <v>-1267902</v>
      </c>
      <c r="E85" s="235">
        <v>-2030763</v>
      </c>
      <c r="F85" s="235">
        <v>-1867913</v>
      </c>
      <c r="G85" s="235">
        <v>-1593889</v>
      </c>
      <c r="H85" s="235">
        <v>-1426131</v>
      </c>
      <c r="I85" s="235">
        <v>-2347065</v>
      </c>
      <c r="J85" s="235">
        <v>-2103586</v>
      </c>
      <c r="K85" s="235">
        <v>-1926974</v>
      </c>
      <c r="L85" s="235">
        <v>-3221906</v>
      </c>
      <c r="M85" s="235">
        <v>-4197795</v>
      </c>
      <c r="N85" s="235">
        <v>-4442332</v>
      </c>
      <c r="O85" s="235">
        <v>-4177763</v>
      </c>
      <c r="P85" s="235">
        <v>-3692136</v>
      </c>
      <c r="Q85" s="235">
        <v>-2678639</v>
      </c>
      <c r="R85" s="235">
        <v>-6227814</v>
      </c>
      <c r="S85" s="235">
        <v>-1398697</v>
      </c>
      <c r="T85" s="235">
        <v>-4560562</v>
      </c>
      <c r="U85" s="235">
        <v>-2446191</v>
      </c>
      <c r="V85" s="235">
        <v>-5323186</v>
      </c>
      <c r="W85" s="235">
        <v>-9112020</v>
      </c>
      <c r="X85" s="235">
        <v>-14650168</v>
      </c>
      <c r="Y85" s="235">
        <v>-10585289</v>
      </c>
      <c r="Z85" s="235">
        <v>-9118685</v>
      </c>
      <c r="AA85" s="235">
        <v>-12527674</v>
      </c>
      <c r="AB85" s="235">
        <v>-4864992</v>
      </c>
    </row>
    <row r="86" spans="1:28">
      <c r="A86" s="222" t="s">
        <v>113</v>
      </c>
      <c r="B86" s="236">
        <v>-256081</v>
      </c>
      <c r="C86" s="236">
        <v>-531566</v>
      </c>
      <c r="D86" s="236">
        <v>-1267902</v>
      </c>
      <c r="E86" s="236">
        <v>-2030763</v>
      </c>
      <c r="F86" s="236">
        <v>-1867913</v>
      </c>
      <c r="G86" s="236">
        <v>-1593889</v>
      </c>
      <c r="H86" s="236">
        <v>-1426131</v>
      </c>
      <c r="I86" s="236">
        <v>-2347065</v>
      </c>
      <c r="J86" s="236">
        <v>-2103586</v>
      </c>
      <c r="K86" s="236">
        <v>-1926974</v>
      </c>
      <c r="L86" s="236">
        <v>-3221906</v>
      </c>
      <c r="M86" s="236">
        <v>-4197795</v>
      </c>
      <c r="N86" s="236">
        <v>-4442332</v>
      </c>
      <c r="O86" s="236">
        <v>-4177763</v>
      </c>
      <c r="P86" s="236">
        <v>-3692136</v>
      </c>
      <c r="Q86" s="236">
        <v>-2678639</v>
      </c>
      <c r="R86" s="236">
        <v>-6227814</v>
      </c>
      <c r="S86" s="236">
        <v>-1398697</v>
      </c>
      <c r="T86" s="236">
        <v>-4560562</v>
      </c>
      <c r="U86" s="236">
        <v>-2446191</v>
      </c>
      <c r="V86" s="236">
        <v>-5323186</v>
      </c>
      <c r="W86" s="236">
        <v>-9112020</v>
      </c>
      <c r="X86" s="236">
        <v>-14650168</v>
      </c>
      <c r="Y86" s="236">
        <v>-10585289</v>
      </c>
      <c r="Z86" s="236">
        <v>-9118685</v>
      </c>
      <c r="AA86" s="236">
        <v>-12527674</v>
      </c>
      <c r="AB86" s="236">
        <v>-4864992</v>
      </c>
    </row>
    <row r="87" spans="1:28">
      <c r="A87" s="234" t="s">
        <v>114</v>
      </c>
      <c r="B87" s="235">
        <v>106773</v>
      </c>
      <c r="C87" s="235">
        <v>242377</v>
      </c>
      <c r="D87" s="235">
        <v>201704</v>
      </c>
      <c r="E87" s="235">
        <v>344438</v>
      </c>
      <c r="F87" s="235">
        <v>114570</v>
      </c>
      <c r="G87" s="235">
        <v>2069</v>
      </c>
      <c r="H87" s="235">
        <v>1208</v>
      </c>
      <c r="I87" s="235">
        <v>8085</v>
      </c>
      <c r="J87" s="235">
        <v>341445</v>
      </c>
      <c r="K87" s="235">
        <v>99725</v>
      </c>
      <c r="L87" s="235">
        <v>5756</v>
      </c>
      <c r="M87" s="235">
        <v>13811</v>
      </c>
      <c r="N87" s="235">
        <v>217237</v>
      </c>
      <c r="O87" s="235">
        <v>156710</v>
      </c>
      <c r="P87" s="235">
        <v>11106</v>
      </c>
      <c r="Q87" s="235">
        <v>1642228</v>
      </c>
      <c r="R87" s="235">
        <v>4166</v>
      </c>
      <c r="S87" s="235">
        <v>5313</v>
      </c>
      <c r="T87" s="235">
        <v>1213840</v>
      </c>
      <c r="U87" s="235">
        <v>99</v>
      </c>
      <c r="V87" s="235">
        <v>277</v>
      </c>
      <c r="W87" s="232" t="s">
        <v>37</v>
      </c>
      <c r="X87" s="232" t="s">
        <v>37</v>
      </c>
      <c r="Y87" s="232" t="s">
        <v>37</v>
      </c>
      <c r="Z87" s="232" t="s">
        <v>37</v>
      </c>
      <c r="AA87" s="232" t="s">
        <v>37</v>
      </c>
      <c r="AB87" s="232" t="s">
        <v>37</v>
      </c>
    </row>
    <row r="88" spans="1:28">
      <c r="A88" s="234" t="s">
        <v>115</v>
      </c>
      <c r="B88" s="232" t="s">
        <v>37</v>
      </c>
      <c r="C88" s="232" t="s">
        <v>37</v>
      </c>
      <c r="D88" s="232" t="s">
        <v>37</v>
      </c>
      <c r="E88" s="232" t="s">
        <v>37</v>
      </c>
      <c r="F88" s="232" t="s">
        <v>37</v>
      </c>
      <c r="G88" s="232" t="s">
        <v>37</v>
      </c>
      <c r="H88" s="235">
        <v>-50972</v>
      </c>
      <c r="I88" s="232" t="s">
        <v>37</v>
      </c>
      <c r="J88" s="232" t="s">
        <v>37</v>
      </c>
      <c r="K88" s="235">
        <v>-93954</v>
      </c>
      <c r="L88" s="235">
        <v>-40195</v>
      </c>
      <c r="M88" s="232" t="s">
        <v>37</v>
      </c>
      <c r="N88" s="232" t="s">
        <v>37</v>
      </c>
      <c r="O88" s="232" t="s">
        <v>37</v>
      </c>
      <c r="P88" s="232" t="s">
        <v>37</v>
      </c>
      <c r="Q88" s="232" t="s">
        <v>37</v>
      </c>
      <c r="R88" s="232" t="s">
        <v>37</v>
      </c>
      <c r="S88" s="232" t="s">
        <v>37</v>
      </c>
      <c r="T88" s="232" t="s">
        <v>37</v>
      </c>
      <c r="U88" s="232" t="s">
        <v>37</v>
      </c>
      <c r="V88" s="232" t="s">
        <v>37</v>
      </c>
      <c r="W88" s="235">
        <v>-346308</v>
      </c>
      <c r="X88" s="235">
        <v>-259566</v>
      </c>
      <c r="Y88" s="235">
        <v>-409791</v>
      </c>
      <c r="Z88" s="235">
        <v>-357019</v>
      </c>
      <c r="AA88" s="235">
        <v>-362728</v>
      </c>
      <c r="AB88" s="235">
        <v>-153443</v>
      </c>
    </row>
    <row r="89" spans="1:28">
      <c r="A89" s="234" t="s">
        <v>116</v>
      </c>
      <c r="B89" s="232" t="s">
        <v>37</v>
      </c>
      <c r="C89" s="232" t="s">
        <v>37</v>
      </c>
      <c r="D89" s="232" t="s">
        <v>37</v>
      </c>
      <c r="E89" s="232" t="s">
        <v>37</v>
      </c>
      <c r="F89" s="232" t="s">
        <v>37</v>
      </c>
      <c r="G89" s="232" t="s">
        <v>37</v>
      </c>
      <c r="H89" s="232" t="s">
        <v>37</v>
      </c>
      <c r="I89" s="232" t="s">
        <v>37</v>
      </c>
      <c r="J89" s="232" t="s">
        <v>37</v>
      </c>
      <c r="K89" s="232" t="s">
        <v>37</v>
      </c>
      <c r="L89" s="235">
        <v>-59681</v>
      </c>
      <c r="M89" s="235">
        <v>-579</v>
      </c>
      <c r="N89" s="235">
        <v>-393558</v>
      </c>
      <c r="O89" s="235">
        <v>-300468</v>
      </c>
      <c r="P89" s="235">
        <v>-1845</v>
      </c>
      <c r="Q89" s="235">
        <v>-87689</v>
      </c>
      <c r="R89" s="235">
        <v>-10994</v>
      </c>
      <c r="S89" s="232" t="s">
        <v>37</v>
      </c>
      <c r="T89" s="232" t="s">
        <v>37</v>
      </c>
      <c r="U89" s="232" t="s">
        <v>37</v>
      </c>
      <c r="V89" s="232" t="s">
        <v>37</v>
      </c>
      <c r="W89" s="232" t="s">
        <v>37</v>
      </c>
      <c r="X89" s="235">
        <v>-328</v>
      </c>
      <c r="Y89" s="235">
        <v>-328</v>
      </c>
      <c r="Z89" s="235">
        <v>-329</v>
      </c>
      <c r="AA89" s="235">
        <v>-328</v>
      </c>
      <c r="AB89" s="232" t="s">
        <v>37</v>
      </c>
    </row>
    <row r="90" spans="1:28">
      <c r="A90" s="234" t="s">
        <v>117</v>
      </c>
      <c r="B90" s="232" t="s">
        <v>37</v>
      </c>
      <c r="C90" s="232" t="s">
        <v>37</v>
      </c>
      <c r="D90" s="232" t="s">
        <v>37</v>
      </c>
      <c r="E90" s="232" t="s">
        <v>37</v>
      </c>
      <c r="F90" s="232" t="s">
        <v>37</v>
      </c>
      <c r="G90" s="232" t="s">
        <v>37</v>
      </c>
      <c r="H90" s="232" t="s">
        <v>37</v>
      </c>
      <c r="I90" s="232" t="s">
        <v>37</v>
      </c>
      <c r="J90" s="232" t="s">
        <v>37</v>
      </c>
      <c r="K90" s="232" t="s">
        <v>37</v>
      </c>
      <c r="L90" s="232" t="s">
        <v>37</v>
      </c>
      <c r="M90" s="232" t="s">
        <v>37</v>
      </c>
      <c r="N90" s="232" t="s">
        <v>37</v>
      </c>
      <c r="O90" s="235">
        <v>-804271</v>
      </c>
      <c r="P90" s="235">
        <v>-852446</v>
      </c>
      <c r="Q90" s="232" t="s">
        <v>37</v>
      </c>
      <c r="R90" s="235">
        <v>-763881</v>
      </c>
      <c r="S90" s="235">
        <v>-971844.34299999999</v>
      </c>
      <c r="T90" s="235">
        <v>-1244553</v>
      </c>
      <c r="U90" s="235">
        <v>-1446042</v>
      </c>
      <c r="V90" s="235">
        <v>-1603603</v>
      </c>
      <c r="W90" s="235">
        <v>-1879182</v>
      </c>
      <c r="X90" s="235">
        <v>-2037542</v>
      </c>
      <c r="Y90" s="232" t="s">
        <v>37</v>
      </c>
      <c r="Z90" s="232" t="s">
        <v>37</v>
      </c>
      <c r="AA90" s="232" t="s">
        <v>37</v>
      </c>
      <c r="AB90" s="235">
        <v>-646094</v>
      </c>
    </row>
    <row r="91" spans="1:28">
      <c r="A91" s="234" t="s">
        <v>118</v>
      </c>
      <c r="B91" s="232" t="s">
        <v>37</v>
      </c>
      <c r="C91" s="232" t="s">
        <v>37</v>
      </c>
      <c r="D91" s="232" t="s">
        <v>37</v>
      </c>
      <c r="E91" s="232" t="s">
        <v>37</v>
      </c>
      <c r="F91" s="232" t="s">
        <v>37</v>
      </c>
      <c r="G91" s="232" t="s">
        <v>37</v>
      </c>
      <c r="H91" s="232" t="s">
        <v>37</v>
      </c>
      <c r="I91" s="235">
        <v>-428968</v>
      </c>
      <c r="J91" s="235">
        <v>-457085</v>
      </c>
      <c r="K91" s="235">
        <v>-507569</v>
      </c>
      <c r="L91" s="235">
        <v>-572669</v>
      </c>
      <c r="M91" s="232" t="s">
        <v>37</v>
      </c>
      <c r="N91" s="235">
        <v>-749507</v>
      </c>
      <c r="O91" s="232" t="s">
        <v>37</v>
      </c>
      <c r="P91" s="232" t="s">
        <v>37</v>
      </c>
      <c r="Q91" s="232" t="s">
        <v>37</v>
      </c>
      <c r="R91" s="232" t="s">
        <v>37</v>
      </c>
      <c r="S91" s="232" t="s">
        <v>37</v>
      </c>
      <c r="T91" s="232" t="s">
        <v>37</v>
      </c>
      <c r="U91" s="232" t="s">
        <v>37</v>
      </c>
      <c r="V91" s="232" t="s">
        <v>37</v>
      </c>
      <c r="W91" s="232" t="s">
        <v>37</v>
      </c>
      <c r="X91" s="232" t="s">
        <v>37</v>
      </c>
      <c r="Y91" s="232" t="s">
        <v>37</v>
      </c>
      <c r="Z91" s="232" t="s">
        <v>37</v>
      </c>
      <c r="AA91" s="232" t="s">
        <v>37</v>
      </c>
      <c r="AB91" s="232" t="s">
        <v>37</v>
      </c>
    </row>
    <row r="92" spans="1:28">
      <c r="A92" s="234" t="s">
        <v>119</v>
      </c>
      <c r="B92" s="235">
        <v>-67279</v>
      </c>
      <c r="C92" s="235">
        <v>-104785</v>
      </c>
      <c r="D92" s="235">
        <v>-166640</v>
      </c>
      <c r="E92" s="235">
        <v>-227949</v>
      </c>
      <c r="F92" s="235">
        <v>-272797</v>
      </c>
      <c r="G92" s="235">
        <v>-385878</v>
      </c>
      <c r="H92" s="235">
        <v>-369979</v>
      </c>
      <c r="I92" s="232" t="s">
        <v>37</v>
      </c>
      <c r="J92" s="232" t="s">
        <v>37</v>
      </c>
      <c r="K92" s="232" t="s">
        <v>37</v>
      </c>
      <c r="L92" s="232" t="s">
        <v>37</v>
      </c>
      <c r="M92" s="235">
        <v>-690654</v>
      </c>
      <c r="N92" s="232" t="s">
        <v>37</v>
      </c>
      <c r="O92" s="232" t="s">
        <v>37</v>
      </c>
      <c r="P92" s="232" t="s">
        <v>37</v>
      </c>
      <c r="Q92" s="235">
        <v>-148507</v>
      </c>
      <c r="R92" s="232" t="s">
        <v>37</v>
      </c>
      <c r="S92" s="232" t="s">
        <v>37</v>
      </c>
      <c r="T92" s="232" t="s">
        <v>37</v>
      </c>
      <c r="U92" s="232" t="s">
        <v>37</v>
      </c>
      <c r="V92" s="232" t="s">
        <v>37</v>
      </c>
      <c r="W92" s="232" t="s">
        <v>37</v>
      </c>
      <c r="X92" s="232" t="s">
        <v>37</v>
      </c>
      <c r="Y92" s="235">
        <v>-2231259</v>
      </c>
      <c r="Z92" s="235">
        <v>-2449071</v>
      </c>
      <c r="AA92" s="235">
        <v>-2558944</v>
      </c>
      <c r="AB92" s="232" t="s">
        <v>37</v>
      </c>
    </row>
    <row r="93" spans="1:28">
      <c r="A93" s="222" t="s">
        <v>120</v>
      </c>
      <c r="B93" s="236">
        <v>-67279</v>
      </c>
      <c r="C93" s="236">
        <v>-104785</v>
      </c>
      <c r="D93" s="236">
        <v>-166640</v>
      </c>
      <c r="E93" s="236">
        <v>-227949</v>
      </c>
      <c r="F93" s="236">
        <v>-272797</v>
      </c>
      <c r="G93" s="236">
        <v>-385878</v>
      </c>
      <c r="H93" s="236">
        <v>-369979</v>
      </c>
      <c r="I93" s="236">
        <v>-428968</v>
      </c>
      <c r="J93" s="236">
        <v>-457085</v>
      </c>
      <c r="K93" s="236">
        <v>-507569</v>
      </c>
      <c r="L93" s="236">
        <v>-572669</v>
      </c>
      <c r="M93" s="236">
        <v>-690654</v>
      </c>
      <c r="N93" s="236">
        <v>-749507</v>
      </c>
      <c r="O93" s="236">
        <v>-804271</v>
      </c>
      <c r="P93" s="236">
        <v>-852446</v>
      </c>
      <c r="Q93" s="236">
        <v>-148507</v>
      </c>
      <c r="R93" s="236">
        <v>-763881</v>
      </c>
      <c r="S93" s="236">
        <v>-971844.34299999999</v>
      </c>
      <c r="T93" s="236">
        <v>-1244553</v>
      </c>
      <c r="U93" s="236">
        <v>-1446042</v>
      </c>
      <c r="V93" s="236">
        <v>-1603603</v>
      </c>
      <c r="W93" s="236">
        <v>-1879182</v>
      </c>
      <c r="X93" s="236">
        <v>-2037542</v>
      </c>
      <c r="Y93" s="236">
        <v>-2231259</v>
      </c>
      <c r="Z93" s="236">
        <v>-2449071</v>
      </c>
      <c r="AA93" s="236">
        <v>-2558944</v>
      </c>
      <c r="AB93" s="236">
        <v>-646094</v>
      </c>
    </row>
    <row r="94" spans="1:28">
      <c r="A94" s="234" t="s">
        <v>121</v>
      </c>
      <c r="B94" s="232" t="s">
        <v>37</v>
      </c>
      <c r="C94" s="232" t="s">
        <v>37</v>
      </c>
      <c r="D94" s="232" t="s">
        <v>37</v>
      </c>
      <c r="E94" s="232" t="s">
        <v>37</v>
      </c>
      <c r="F94" s="232" t="s">
        <v>37</v>
      </c>
      <c r="G94" s="232" t="s">
        <v>37</v>
      </c>
      <c r="H94" s="232" t="s">
        <v>37</v>
      </c>
      <c r="I94" s="232" t="s">
        <v>37</v>
      </c>
      <c r="J94" s="232" t="s">
        <v>37</v>
      </c>
      <c r="K94" s="232" t="s">
        <v>37</v>
      </c>
      <c r="L94" s="232" t="s">
        <v>37</v>
      </c>
      <c r="M94" s="232" t="s">
        <v>37</v>
      </c>
      <c r="N94" s="232" t="s">
        <v>37</v>
      </c>
      <c r="O94" s="232" t="s">
        <v>37</v>
      </c>
      <c r="P94" s="232" t="s">
        <v>37</v>
      </c>
      <c r="Q94" s="232" t="s">
        <v>37</v>
      </c>
      <c r="R94" s="232" t="s">
        <v>37</v>
      </c>
      <c r="S94" s="235">
        <v>-58899.656999999999</v>
      </c>
      <c r="T94" s="232" t="s">
        <v>37</v>
      </c>
      <c r="U94" s="232" t="s">
        <v>37</v>
      </c>
      <c r="V94" s="232" t="s">
        <v>37</v>
      </c>
      <c r="W94" s="232" t="s">
        <v>37</v>
      </c>
      <c r="X94" s="232" t="s">
        <v>37</v>
      </c>
      <c r="Y94" s="232" t="s">
        <v>37</v>
      </c>
      <c r="Z94" s="232" t="s">
        <v>37</v>
      </c>
      <c r="AA94" s="232" t="s">
        <v>37</v>
      </c>
      <c r="AB94" s="232" t="s">
        <v>37</v>
      </c>
    </row>
    <row r="95" spans="1:28">
      <c r="A95" s="234" t="s">
        <v>122</v>
      </c>
      <c r="B95" s="235">
        <v>-55580</v>
      </c>
      <c r="C95" s="235">
        <v>-76621</v>
      </c>
      <c r="D95" s="235">
        <v>-95878</v>
      </c>
      <c r="E95" s="235">
        <v>-143661</v>
      </c>
      <c r="F95" s="235">
        <v>-164061</v>
      </c>
      <c r="G95" s="235">
        <v>-176114</v>
      </c>
      <c r="H95" s="235">
        <v>-172456</v>
      </c>
      <c r="I95" s="235">
        <v>-158149</v>
      </c>
      <c r="J95" s="235">
        <v>-149350</v>
      </c>
      <c r="K95" s="235">
        <v>-159536</v>
      </c>
      <c r="L95" s="235">
        <v>-172565</v>
      </c>
      <c r="M95" s="235">
        <v>-388534</v>
      </c>
      <c r="N95" s="235">
        <v>-255979</v>
      </c>
      <c r="O95" s="235">
        <v>-388525</v>
      </c>
      <c r="P95" s="235">
        <v>-263704</v>
      </c>
      <c r="Q95" s="235">
        <v>-65454</v>
      </c>
      <c r="R95" s="235">
        <v>-529807</v>
      </c>
      <c r="S95" s="235">
        <v>-240988</v>
      </c>
      <c r="T95" s="235">
        <v>-727701</v>
      </c>
      <c r="U95" s="235">
        <v>-247793</v>
      </c>
      <c r="V95" s="235">
        <v>-641512</v>
      </c>
      <c r="W95" s="235">
        <v>-604270</v>
      </c>
      <c r="X95" s="235">
        <v>-463344</v>
      </c>
      <c r="Y95" s="235">
        <v>-351430</v>
      </c>
      <c r="Z95" s="235">
        <v>-530879</v>
      </c>
      <c r="AA95" s="235">
        <v>-438713</v>
      </c>
      <c r="AB95" s="235">
        <v>-119391</v>
      </c>
    </row>
    <row r="96" spans="1:28">
      <c r="A96" s="222" t="s">
        <v>123</v>
      </c>
      <c r="B96" s="236">
        <v>133263</v>
      </c>
      <c r="C96" s="236">
        <v>-14075</v>
      </c>
      <c r="D96" s="236">
        <v>-35134</v>
      </c>
      <c r="E96" s="236">
        <v>918287</v>
      </c>
      <c r="F96" s="236">
        <v>1592113</v>
      </c>
      <c r="G96" s="236">
        <v>14257</v>
      </c>
      <c r="H96" s="236">
        <v>-543803</v>
      </c>
      <c r="I96" s="236">
        <v>-471103</v>
      </c>
      <c r="J96" s="236">
        <v>40109</v>
      </c>
      <c r="K96" s="236">
        <v>-51810</v>
      </c>
      <c r="L96" s="236">
        <v>1649626</v>
      </c>
      <c r="M96" s="236">
        <v>-1300973</v>
      </c>
      <c r="N96" s="236">
        <v>-116404</v>
      </c>
      <c r="O96" s="236">
        <v>62766</v>
      </c>
      <c r="P96" s="236">
        <v>-342050</v>
      </c>
      <c r="Q96" s="236">
        <v>1882645</v>
      </c>
      <c r="R96" s="236">
        <v>-3669515</v>
      </c>
      <c r="S96" s="236">
        <v>-1009913</v>
      </c>
      <c r="T96" s="236">
        <v>1453467</v>
      </c>
      <c r="U96" s="236">
        <v>-1220563</v>
      </c>
      <c r="V96" s="236">
        <v>-2937735</v>
      </c>
      <c r="W96" s="236">
        <v>-1473113</v>
      </c>
      <c r="X96" s="236">
        <v>-2544743</v>
      </c>
      <c r="Y96" s="236">
        <v>-1910071</v>
      </c>
      <c r="Z96" s="236">
        <v>-4482264</v>
      </c>
      <c r="AA96" s="236">
        <v>-2576086</v>
      </c>
      <c r="AB96" s="236">
        <v>2170973</v>
      </c>
    </row>
    <row r="97" spans="1:32">
      <c r="A97" s="222" t="s">
        <v>124</v>
      </c>
      <c r="B97" s="232"/>
      <c r="C97" s="232"/>
      <c r="D97" s="232"/>
      <c r="E97" s="232"/>
      <c r="F97" s="232"/>
      <c r="G97" s="232"/>
      <c r="H97" s="232"/>
      <c r="I97" s="232"/>
      <c r="J97" s="232"/>
      <c r="K97" s="232"/>
      <c r="L97" s="232"/>
      <c r="M97" s="232"/>
      <c r="N97" s="232"/>
      <c r="O97" s="232"/>
      <c r="P97" s="232"/>
      <c r="Q97" s="232"/>
      <c r="R97" s="232"/>
      <c r="S97" s="232"/>
      <c r="T97" s="232"/>
      <c r="U97" s="232"/>
      <c r="V97" s="232"/>
      <c r="W97" s="232"/>
      <c r="X97" s="232"/>
      <c r="Y97" s="232"/>
      <c r="Z97" s="232"/>
      <c r="AA97" s="232"/>
      <c r="AB97" s="232"/>
    </row>
    <row r="98" spans="1:32">
      <c r="A98" s="222" t="s">
        <v>125</v>
      </c>
      <c r="B98" s="236">
        <v>-5486</v>
      </c>
      <c r="C98" s="236">
        <v>-42418</v>
      </c>
      <c r="D98" s="236">
        <v>1588</v>
      </c>
      <c r="E98" s="236">
        <v>45390</v>
      </c>
      <c r="F98" s="236">
        <v>19496</v>
      </c>
      <c r="G98" s="236">
        <v>28437</v>
      </c>
      <c r="H98" s="236">
        <v>65479</v>
      </c>
      <c r="I98" s="236">
        <v>36649</v>
      </c>
      <c r="J98" s="236">
        <v>137369</v>
      </c>
      <c r="K98" s="236">
        <v>138494</v>
      </c>
      <c r="L98" s="236">
        <v>-15539</v>
      </c>
      <c r="M98" s="236">
        <v>-183036</v>
      </c>
      <c r="N98" s="236">
        <v>592312</v>
      </c>
      <c r="O98" s="236">
        <v>-427378</v>
      </c>
      <c r="P98" s="236">
        <v>271562</v>
      </c>
      <c r="Q98" s="236">
        <v>3184174</v>
      </c>
      <c r="R98" s="236">
        <v>-3161000</v>
      </c>
      <c r="S98" s="236">
        <v>1932</v>
      </c>
      <c r="T98" s="236">
        <v>385868</v>
      </c>
      <c r="U98" s="236">
        <v>532345</v>
      </c>
      <c r="V98" s="236">
        <v>-1104581</v>
      </c>
      <c r="W98" s="236">
        <v>88852</v>
      </c>
      <c r="X98" s="236">
        <v>-141075</v>
      </c>
      <c r="Y98" s="236">
        <v>922250</v>
      </c>
      <c r="Z98" s="236">
        <v>-967974</v>
      </c>
      <c r="AA98" s="236">
        <v>155038</v>
      </c>
      <c r="AB98" s="236">
        <v>2636727</v>
      </c>
    </row>
    <row r="99" spans="1:32">
      <c r="A99" s="222" t="s">
        <v>126</v>
      </c>
      <c r="B99" s="232"/>
      <c r="C99" s="232"/>
      <c r="D99" s="232"/>
      <c r="E99" s="232"/>
      <c r="F99" s="232"/>
      <c r="G99" s="232"/>
      <c r="H99" s="232"/>
      <c r="I99" s="232"/>
      <c r="J99" s="232"/>
      <c r="K99" s="232"/>
      <c r="L99" s="232"/>
      <c r="M99" s="232"/>
      <c r="N99" s="232"/>
      <c r="O99" s="232"/>
      <c r="P99" s="232"/>
      <c r="Q99" s="232"/>
      <c r="R99" s="232"/>
      <c r="S99" s="232"/>
      <c r="T99" s="232"/>
      <c r="U99" s="232"/>
      <c r="V99" s="232"/>
      <c r="W99" s="232"/>
      <c r="X99" s="232"/>
      <c r="Y99" s="232"/>
      <c r="Z99" s="232"/>
      <c r="AA99" s="232"/>
      <c r="AB99" s="232"/>
    </row>
    <row r="100" spans="1:32">
      <c r="A100" s="234" t="s">
        <v>127</v>
      </c>
      <c r="B100" s="235">
        <v>140106</v>
      </c>
      <c r="C100" s="235">
        <v>142345</v>
      </c>
      <c r="D100" s="235">
        <v>191965</v>
      </c>
      <c r="E100" s="235">
        <v>270912</v>
      </c>
      <c r="F100" s="235">
        <v>397560</v>
      </c>
      <c r="G100" s="235">
        <v>566191</v>
      </c>
      <c r="H100" s="235">
        <v>646200</v>
      </c>
      <c r="I100" s="235">
        <v>588889</v>
      </c>
      <c r="J100" s="235">
        <v>591328</v>
      </c>
      <c r="K100" s="235">
        <v>596274</v>
      </c>
      <c r="L100" s="235">
        <v>648984</v>
      </c>
      <c r="M100" s="235">
        <v>822906</v>
      </c>
      <c r="N100" s="235">
        <v>845964</v>
      </c>
      <c r="O100" s="235">
        <v>983219</v>
      </c>
      <c r="P100" s="235">
        <v>1001718</v>
      </c>
      <c r="Q100" s="235">
        <v>994688</v>
      </c>
      <c r="R100" s="235">
        <v>1015989</v>
      </c>
      <c r="S100" s="235">
        <v>979436</v>
      </c>
      <c r="T100" s="235">
        <v>1063470</v>
      </c>
      <c r="U100" s="235">
        <v>1086128</v>
      </c>
      <c r="V100" s="235">
        <v>1018911</v>
      </c>
      <c r="W100" s="235">
        <v>943683</v>
      </c>
      <c r="X100" s="235">
        <v>887118</v>
      </c>
      <c r="Y100" s="235">
        <v>814729</v>
      </c>
      <c r="Z100" s="235">
        <v>811971</v>
      </c>
      <c r="AA100" s="235">
        <v>803728</v>
      </c>
      <c r="AB100" s="232" t="s">
        <v>37</v>
      </c>
    </row>
    <row r="101" spans="1:32">
      <c r="A101" s="234" t="s">
        <v>128</v>
      </c>
      <c r="B101" s="232" t="s">
        <v>37</v>
      </c>
      <c r="C101" s="235">
        <v>57250.875</v>
      </c>
      <c r="D101" s="235">
        <v>9773.375</v>
      </c>
      <c r="E101" s="235">
        <v>68935.375</v>
      </c>
      <c r="F101" s="235">
        <v>198555.75</v>
      </c>
      <c r="G101" s="235">
        <v>-7879</v>
      </c>
      <c r="H101" s="235">
        <v>185233.375</v>
      </c>
      <c r="I101" s="235">
        <v>521853.5</v>
      </c>
      <c r="J101" s="235">
        <v>555193.125</v>
      </c>
      <c r="K101" s="235">
        <v>176920.5</v>
      </c>
      <c r="L101" s="235">
        <v>229770.625</v>
      </c>
      <c r="M101" s="235">
        <v>987664.875</v>
      </c>
      <c r="N101" s="235">
        <v>146321.875</v>
      </c>
      <c r="O101" s="235">
        <v>23861.5</v>
      </c>
      <c r="P101" s="235">
        <v>418629.125</v>
      </c>
      <c r="Q101" s="235">
        <v>970334.125</v>
      </c>
      <c r="R101" s="235">
        <v>1368945.125</v>
      </c>
      <c r="S101" s="235">
        <v>1506916.5</v>
      </c>
      <c r="T101" s="235">
        <v>1858864.75</v>
      </c>
      <c r="U101" s="235">
        <v>-453042.5</v>
      </c>
      <c r="V101" s="235">
        <v>3508904.125</v>
      </c>
      <c r="W101" s="235">
        <v>1527721.5</v>
      </c>
      <c r="X101" s="235">
        <v>1538237.25</v>
      </c>
      <c r="Y101" s="235">
        <v>1807564.875</v>
      </c>
      <c r="Z101" s="235">
        <v>2296260</v>
      </c>
      <c r="AA101" s="235">
        <v>1918494.75</v>
      </c>
      <c r="AB101" s="235">
        <v>750933.125</v>
      </c>
    </row>
    <row r="102" spans="1:32">
      <c r="A102" s="234" t="s">
        <v>129</v>
      </c>
      <c r="B102" s="232" t="s">
        <v>37</v>
      </c>
      <c r="C102" s="235">
        <v>151140.875</v>
      </c>
      <c r="D102" s="235">
        <v>136137.125</v>
      </c>
      <c r="E102" s="235">
        <v>248824.75</v>
      </c>
      <c r="F102" s="235">
        <v>465889.5</v>
      </c>
      <c r="G102" s="235">
        <v>374524.125</v>
      </c>
      <c r="H102" s="235">
        <v>607908.375</v>
      </c>
      <c r="I102" s="235">
        <v>917922.25</v>
      </c>
      <c r="J102" s="235">
        <v>936248.125</v>
      </c>
      <c r="K102" s="235">
        <v>556300.5</v>
      </c>
      <c r="L102" s="235">
        <v>651656.875</v>
      </c>
      <c r="M102" s="235">
        <v>1504647.375</v>
      </c>
      <c r="N102" s="235">
        <v>659983.125</v>
      </c>
      <c r="O102" s="235">
        <v>615019</v>
      </c>
      <c r="P102" s="235">
        <v>1010591.625</v>
      </c>
      <c r="Q102" s="235">
        <v>1590374.75</v>
      </c>
      <c r="R102" s="235">
        <v>2010877</v>
      </c>
      <c r="S102" s="235">
        <v>2121620.25</v>
      </c>
      <c r="T102" s="235">
        <v>2526477.875</v>
      </c>
      <c r="U102" s="235">
        <v>223258.125</v>
      </c>
      <c r="V102" s="235">
        <v>4129279.75</v>
      </c>
      <c r="W102" s="235">
        <v>2105032.125</v>
      </c>
      <c r="X102" s="235">
        <v>2074208.5</v>
      </c>
      <c r="Y102" s="235">
        <v>2313435.5</v>
      </c>
      <c r="Z102" s="235">
        <v>2806211.875</v>
      </c>
      <c r="AA102" s="235">
        <v>2411840.375</v>
      </c>
      <c r="AB102" s="235">
        <v>991363.125</v>
      </c>
    </row>
    <row r="103" spans="1:32">
      <c r="A103" s="234" t="s">
        <v>130</v>
      </c>
      <c r="B103" s="232" t="s">
        <v>37</v>
      </c>
      <c r="C103" s="235">
        <v>9738</v>
      </c>
      <c r="D103" s="235">
        <v>29295</v>
      </c>
      <c r="E103" s="235">
        <v>-35335</v>
      </c>
      <c r="F103" s="235">
        <v>-135403</v>
      </c>
      <c r="G103" s="235">
        <v>48822</v>
      </c>
      <c r="H103" s="235">
        <v>32036</v>
      </c>
      <c r="I103" s="235">
        <v>-144427</v>
      </c>
      <c r="J103" s="235">
        <v>-78002</v>
      </c>
      <c r="K103" s="235">
        <v>219889</v>
      </c>
      <c r="L103" s="235">
        <v>90950</v>
      </c>
      <c r="M103" s="235">
        <v>-644856</v>
      </c>
      <c r="N103" s="235">
        <v>232987</v>
      </c>
      <c r="O103" s="235">
        <v>228342</v>
      </c>
      <c r="P103" s="235">
        <v>75300</v>
      </c>
      <c r="Q103" s="235">
        <v>71799</v>
      </c>
      <c r="R103" s="235">
        <v>-94782</v>
      </c>
      <c r="S103" s="235">
        <v>-214006</v>
      </c>
      <c r="T103" s="235">
        <v>-745324</v>
      </c>
      <c r="U103" s="235">
        <v>1675501</v>
      </c>
      <c r="V103" s="235">
        <v>-2109493</v>
      </c>
      <c r="W103" s="235">
        <v>-186834</v>
      </c>
      <c r="X103" s="235">
        <v>227380</v>
      </c>
      <c r="Y103" s="235">
        <v>86278</v>
      </c>
      <c r="Z103" s="235">
        <v>-391288</v>
      </c>
      <c r="AA103" s="235">
        <v>-93415</v>
      </c>
      <c r="AB103" s="235">
        <v>51144</v>
      </c>
    </row>
    <row r="104" spans="1:32">
      <c r="A104" s="234" t="s">
        <v>131</v>
      </c>
      <c r="B104" s="235">
        <v>149349</v>
      </c>
      <c r="C104" s="235">
        <v>-75046</v>
      </c>
      <c r="D104" s="235">
        <v>25680</v>
      </c>
      <c r="E104" s="235">
        <v>945459</v>
      </c>
      <c r="F104" s="235">
        <v>1914401</v>
      </c>
      <c r="G104" s="235">
        <v>574180</v>
      </c>
      <c r="H104" s="235">
        <v>48396</v>
      </c>
      <c r="I104" s="235">
        <v>107929</v>
      </c>
      <c r="J104" s="235">
        <v>305099</v>
      </c>
      <c r="K104" s="235">
        <v>609524</v>
      </c>
      <c r="L104" s="235">
        <v>2488980</v>
      </c>
      <c r="M104" s="235">
        <v>-235017</v>
      </c>
      <c r="N104" s="235">
        <v>1065403</v>
      </c>
      <c r="O104" s="235">
        <v>1399320</v>
      </c>
      <c r="P104" s="235">
        <v>764839</v>
      </c>
      <c r="Q104" s="235">
        <v>542067</v>
      </c>
      <c r="R104" s="235">
        <v>-2368999</v>
      </c>
      <c r="S104" s="235">
        <v>256506</v>
      </c>
      <c r="T104" s="235">
        <v>2211881</v>
      </c>
      <c r="U104" s="235">
        <v>473173</v>
      </c>
      <c r="V104" s="235">
        <v>-692897</v>
      </c>
      <c r="W104" s="235">
        <v>1356647</v>
      </c>
      <c r="X104" s="235">
        <v>216037</v>
      </c>
      <c r="Y104" s="235">
        <v>1082737</v>
      </c>
      <c r="Z104" s="235">
        <v>-1144966</v>
      </c>
      <c r="AA104" s="235">
        <v>784627</v>
      </c>
      <c r="AB104" s="235">
        <v>3089901</v>
      </c>
    </row>
    <row r="105" spans="1:32">
      <c r="A105" s="234" t="s">
        <v>132</v>
      </c>
      <c r="B105" s="232" t="s">
        <v>37</v>
      </c>
      <c r="C105" s="232" t="s">
        <v>37</v>
      </c>
      <c r="D105" s="232" t="s">
        <v>37</v>
      </c>
      <c r="E105" s="232" t="s">
        <v>37</v>
      </c>
      <c r="F105" s="232" t="s">
        <v>37</v>
      </c>
      <c r="G105" s="232" t="s">
        <v>37</v>
      </c>
      <c r="H105" s="232" t="s">
        <v>37</v>
      </c>
      <c r="I105" s="232" t="s">
        <v>37</v>
      </c>
      <c r="J105" s="232" t="s">
        <v>37</v>
      </c>
      <c r="K105" s="232" t="s">
        <v>37</v>
      </c>
      <c r="L105" s="232" t="s">
        <v>37</v>
      </c>
      <c r="M105" s="232" t="s">
        <v>37</v>
      </c>
      <c r="N105" s="232" t="s">
        <v>37</v>
      </c>
      <c r="O105" s="235">
        <v>56374</v>
      </c>
      <c r="P105" s="232" t="s">
        <v>37</v>
      </c>
      <c r="Q105" s="232" t="s">
        <v>37</v>
      </c>
      <c r="R105" s="232" t="s">
        <v>37</v>
      </c>
      <c r="S105" s="232" t="s">
        <v>37</v>
      </c>
      <c r="T105" s="232" t="s">
        <v>37</v>
      </c>
      <c r="U105" s="232" t="s">
        <v>37</v>
      </c>
      <c r="V105" s="232" t="s">
        <v>37</v>
      </c>
      <c r="W105" s="232" t="s">
        <v>37</v>
      </c>
      <c r="X105" s="232" t="s">
        <v>37</v>
      </c>
      <c r="Y105" s="232" t="s">
        <v>37</v>
      </c>
      <c r="Z105" s="232" t="s">
        <v>37</v>
      </c>
      <c r="AA105" s="232" t="s">
        <v>37</v>
      </c>
      <c r="AB105" s="232" t="s">
        <v>37</v>
      </c>
    </row>
    <row r="106" spans="1:32">
      <c r="A106" s="234" t="s">
        <v>133</v>
      </c>
      <c r="B106" s="232" t="s">
        <v>134</v>
      </c>
      <c r="C106" s="232" t="s">
        <v>135</v>
      </c>
      <c r="D106" s="232" t="s">
        <v>136</v>
      </c>
      <c r="E106" s="232" t="s">
        <v>136</v>
      </c>
      <c r="F106" s="232" t="s">
        <v>136</v>
      </c>
      <c r="G106" s="232" t="s">
        <v>136</v>
      </c>
      <c r="H106" s="232" t="s">
        <v>134</v>
      </c>
      <c r="I106" s="232" t="s">
        <v>134</v>
      </c>
      <c r="J106" s="232" t="s">
        <v>136</v>
      </c>
      <c r="K106" s="232" t="s">
        <v>136</v>
      </c>
      <c r="L106" s="232" t="s">
        <v>134</v>
      </c>
      <c r="M106" s="232" t="s">
        <v>134</v>
      </c>
      <c r="N106" s="232" t="s">
        <v>137</v>
      </c>
      <c r="O106" s="232" t="s">
        <v>134</v>
      </c>
      <c r="P106" s="232" t="s">
        <v>134</v>
      </c>
      <c r="Q106" s="232" t="s">
        <v>136</v>
      </c>
      <c r="R106" s="232" t="s">
        <v>136</v>
      </c>
      <c r="S106" s="232" t="s">
        <v>136</v>
      </c>
      <c r="T106" s="232" t="s">
        <v>136</v>
      </c>
      <c r="U106" s="232" t="s">
        <v>138</v>
      </c>
      <c r="V106" s="232" t="s">
        <v>136</v>
      </c>
      <c r="W106" s="232" t="s">
        <v>136</v>
      </c>
      <c r="X106" s="232" t="s">
        <v>136</v>
      </c>
      <c r="Y106" s="232" t="s">
        <v>136</v>
      </c>
      <c r="Z106" s="232" t="s">
        <v>136</v>
      </c>
      <c r="AA106" s="232" t="s">
        <v>139</v>
      </c>
      <c r="AB106" s="232" t="s">
        <v>139</v>
      </c>
    </row>
    <row r="107" spans="1:32">
      <c r="A107" s="234" t="s">
        <v>140</v>
      </c>
      <c r="B107" s="232" t="s">
        <v>141</v>
      </c>
      <c r="C107" s="232" t="s">
        <v>141</v>
      </c>
      <c r="D107" s="232" t="s">
        <v>141</v>
      </c>
      <c r="E107" s="232" t="s">
        <v>141</v>
      </c>
      <c r="F107" s="232" t="s">
        <v>141</v>
      </c>
      <c r="G107" s="232" t="s">
        <v>141</v>
      </c>
      <c r="H107" s="232" t="s">
        <v>141</v>
      </c>
      <c r="I107" s="232" t="s">
        <v>141</v>
      </c>
      <c r="J107" s="232" t="s">
        <v>141</v>
      </c>
      <c r="K107" s="232" t="s">
        <v>141</v>
      </c>
      <c r="L107" s="232" t="s">
        <v>141</v>
      </c>
      <c r="M107" s="232" t="s">
        <v>141</v>
      </c>
      <c r="N107" s="232" t="s">
        <v>141</v>
      </c>
      <c r="O107" s="232" t="s">
        <v>141</v>
      </c>
      <c r="P107" s="232" t="s">
        <v>141</v>
      </c>
      <c r="Q107" s="232" t="s">
        <v>141</v>
      </c>
      <c r="R107" s="232" t="s">
        <v>141</v>
      </c>
      <c r="S107" s="232" t="s">
        <v>141</v>
      </c>
      <c r="T107" s="232" t="s">
        <v>141</v>
      </c>
      <c r="U107" s="232" t="s">
        <v>141</v>
      </c>
      <c r="V107" s="232" t="s">
        <v>141</v>
      </c>
      <c r="W107" s="232" t="s">
        <v>141</v>
      </c>
      <c r="X107" s="232" t="s">
        <v>141</v>
      </c>
      <c r="Y107" s="232" t="s">
        <v>141</v>
      </c>
      <c r="Z107" s="232" t="s">
        <v>141</v>
      </c>
      <c r="AA107" s="232" t="s">
        <v>141</v>
      </c>
      <c r="AB107" s="232" t="s">
        <v>141</v>
      </c>
    </row>
    <row r="108" spans="1:32">
      <c r="A108" s="222" t="s">
        <v>142</v>
      </c>
      <c r="B108" s="220"/>
      <c r="C108" s="220"/>
      <c r="D108" s="220"/>
      <c r="E108" s="220"/>
      <c r="F108" s="220"/>
      <c r="G108" s="220"/>
      <c r="H108" s="220"/>
      <c r="I108" s="220"/>
      <c r="J108" s="220"/>
      <c r="K108" s="220"/>
      <c r="L108" s="220"/>
      <c r="M108" s="220"/>
      <c r="N108" s="220"/>
      <c r="O108" s="220"/>
      <c r="P108" s="220"/>
      <c r="Q108" s="220"/>
      <c r="R108" s="220"/>
      <c r="S108" s="220"/>
      <c r="T108" s="220"/>
      <c r="U108" s="220"/>
      <c r="V108" s="220"/>
      <c r="W108" s="220"/>
      <c r="X108" s="220"/>
      <c r="Y108" s="220"/>
      <c r="Z108" s="220"/>
      <c r="AA108" s="220"/>
      <c r="AB108" s="220"/>
      <c r="AC108" s="220"/>
      <c r="AE108" s="47"/>
      <c r="AF108" s="38"/>
    </row>
    <row r="109" spans="1:32">
      <c r="A109" s="219" t="s">
        <v>143</v>
      </c>
      <c r="B109" s="220" t="s">
        <v>37</v>
      </c>
      <c r="C109" s="237">
        <v>1.21</v>
      </c>
      <c r="D109" s="237">
        <v>2.5099999999999998</v>
      </c>
      <c r="E109" s="237">
        <v>2.2400000000000002</v>
      </c>
      <c r="F109" s="237">
        <v>2.1</v>
      </c>
      <c r="G109" s="237">
        <v>1.7</v>
      </c>
      <c r="H109" s="237">
        <v>1.5</v>
      </c>
      <c r="I109" s="237">
        <v>1.59</v>
      </c>
      <c r="J109" s="237">
        <v>1.45</v>
      </c>
      <c r="K109" s="237">
        <v>2.95</v>
      </c>
      <c r="L109" s="237">
        <v>2.4500000000000002</v>
      </c>
      <c r="M109" s="237">
        <v>2.0499999999999998</v>
      </c>
      <c r="N109" s="237">
        <v>2.2200000000000002</v>
      </c>
      <c r="O109" s="237">
        <v>2.67</v>
      </c>
      <c r="P109" s="237">
        <v>2.75</v>
      </c>
      <c r="Q109" s="237">
        <v>2.54</v>
      </c>
      <c r="R109" s="237">
        <v>1.57</v>
      </c>
      <c r="S109" s="237">
        <v>3.04</v>
      </c>
      <c r="T109" s="237">
        <v>4.97</v>
      </c>
      <c r="U109" s="237">
        <v>5.47</v>
      </c>
      <c r="V109" s="237">
        <v>4.8099999999999996</v>
      </c>
      <c r="W109" s="237">
        <v>5.31</v>
      </c>
      <c r="X109" s="237">
        <v>7.04</v>
      </c>
      <c r="Y109" s="237">
        <v>6.82</v>
      </c>
      <c r="Z109" s="237">
        <v>7.21</v>
      </c>
      <c r="AA109" s="237">
        <v>9.07</v>
      </c>
      <c r="AB109" s="237">
        <v>7.67</v>
      </c>
      <c r="AC109" s="237">
        <v>3.8468372273094702</v>
      </c>
      <c r="AE109" s="128"/>
      <c r="AF109" s="44"/>
    </row>
    <row r="110" spans="1:32">
      <c r="A110" s="219" t="s">
        <v>144</v>
      </c>
      <c r="B110" s="220" t="s">
        <v>37</v>
      </c>
      <c r="C110" s="237">
        <v>28.8</v>
      </c>
      <c r="D110" s="237">
        <v>46.09</v>
      </c>
      <c r="E110" s="237">
        <v>13.62</v>
      </c>
      <c r="F110" s="237">
        <v>10.01</v>
      </c>
      <c r="G110" s="237">
        <v>7.42</v>
      </c>
      <c r="H110" s="237">
        <v>6.19</v>
      </c>
      <c r="I110" s="237">
        <v>7.1</v>
      </c>
      <c r="J110" s="237">
        <v>6.45</v>
      </c>
      <c r="K110" s="237">
        <v>12.79</v>
      </c>
      <c r="L110" s="237">
        <v>10.83</v>
      </c>
      <c r="M110" s="237">
        <v>10.01</v>
      </c>
      <c r="N110" s="237">
        <v>10.75</v>
      </c>
      <c r="O110" s="237">
        <v>13.54</v>
      </c>
      <c r="P110" s="237">
        <v>16.760000000000002</v>
      </c>
      <c r="Q110" s="237">
        <v>17.760000000000002</v>
      </c>
      <c r="R110" s="237">
        <v>8.68</v>
      </c>
      <c r="S110" s="237">
        <v>14.03</v>
      </c>
      <c r="T110" s="237">
        <v>22.42</v>
      </c>
      <c r="U110" s="237">
        <v>25.05</v>
      </c>
      <c r="V110" s="237">
        <v>22.74</v>
      </c>
      <c r="W110" s="237">
        <v>26.18</v>
      </c>
      <c r="X110" s="237">
        <v>38.43</v>
      </c>
      <c r="Y110" s="237">
        <v>40.479999999999997</v>
      </c>
      <c r="Z110" s="237">
        <v>50.27</v>
      </c>
      <c r="AA110" s="237">
        <v>71.33</v>
      </c>
      <c r="AB110" s="237">
        <v>71.81</v>
      </c>
      <c r="AC110" s="237">
        <v>50.8164878163862</v>
      </c>
      <c r="AE110" s="128"/>
      <c r="AF110" s="44"/>
    </row>
    <row r="111" spans="1:32">
      <c r="A111" s="219" t="s">
        <v>145</v>
      </c>
      <c r="B111" s="220" t="s">
        <v>37</v>
      </c>
      <c r="C111" s="237">
        <v>9.07</v>
      </c>
      <c r="D111" s="237">
        <v>9.23</v>
      </c>
      <c r="E111" s="237">
        <v>9.09</v>
      </c>
      <c r="F111" s="237">
        <v>7.76</v>
      </c>
      <c r="G111" s="237">
        <v>8.16</v>
      </c>
      <c r="H111" s="237">
        <v>9.64</v>
      </c>
      <c r="I111" s="237">
        <v>10.55</v>
      </c>
      <c r="J111" s="237">
        <v>9.76</v>
      </c>
      <c r="K111" s="237">
        <v>8.69</v>
      </c>
      <c r="L111" s="237">
        <v>8.17</v>
      </c>
      <c r="M111" s="237">
        <v>7.28</v>
      </c>
      <c r="N111" s="237">
        <v>6.56</v>
      </c>
      <c r="O111" s="237">
        <v>5.96</v>
      </c>
      <c r="P111" s="237">
        <v>5.49</v>
      </c>
      <c r="Q111" s="237">
        <v>6.29</v>
      </c>
      <c r="R111" s="237">
        <v>8.09</v>
      </c>
      <c r="S111" s="237">
        <v>6.25</v>
      </c>
      <c r="T111" s="237">
        <v>5.6</v>
      </c>
      <c r="U111" s="237">
        <v>4.8499999999999996</v>
      </c>
      <c r="V111" s="237">
        <v>5.09</v>
      </c>
      <c r="W111" s="237">
        <v>4.66</v>
      </c>
      <c r="X111" s="237">
        <v>4.45</v>
      </c>
      <c r="Y111" s="237">
        <v>4.3099999999999996</v>
      </c>
      <c r="Z111" s="237">
        <v>5.13</v>
      </c>
      <c r="AA111" s="237">
        <v>5.15</v>
      </c>
      <c r="AB111" s="237">
        <v>5.31</v>
      </c>
      <c r="AC111" s="237">
        <v>7.2738065562261101</v>
      </c>
      <c r="AE111" s="128"/>
      <c r="AF111" s="44"/>
    </row>
    <row r="112" spans="1:32">
      <c r="A112" s="219" t="s">
        <v>146</v>
      </c>
      <c r="B112" s="220" t="s">
        <v>147</v>
      </c>
      <c r="C112" s="237">
        <v>380</v>
      </c>
      <c r="D112" s="237">
        <v>189.42</v>
      </c>
      <c r="E112" s="237">
        <v>166.22</v>
      </c>
      <c r="F112" s="237">
        <v>185.88</v>
      </c>
      <c r="G112" s="237">
        <v>190.57</v>
      </c>
      <c r="H112" s="237">
        <v>208.25</v>
      </c>
      <c r="I112" s="237">
        <v>187.04</v>
      </c>
      <c r="J112" s="237">
        <v>244.71</v>
      </c>
      <c r="K112" s="237">
        <v>109.3</v>
      </c>
      <c r="L112" s="237">
        <v>145.44999999999999</v>
      </c>
      <c r="M112" s="237">
        <v>180.56</v>
      </c>
      <c r="N112" s="237">
        <v>153.85</v>
      </c>
      <c r="O112" s="237">
        <v>138.81</v>
      </c>
      <c r="P112" s="237">
        <v>172.31</v>
      </c>
      <c r="Q112" s="237">
        <v>192.51</v>
      </c>
      <c r="R112" s="237">
        <v>43.87</v>
      </c>
      <c r="S112" s="237">
        <v>123.81</v>
      </c>
      <c r="T112" s="237">
        <v>100.57</v>
      </c>
      <c r="U112" s="237">
        <v>86.86</v>
      </c>
      <c r="V112" s="237">
        <v>109.67</v>
      </c>
      <c r="W112" s="237">
        <v>113.94</v>
      </c>
      <c r="X112" s="237">
        <v>102.89</v>
      </c>
      <c r="Y112" s="237">
        <v>110.73</v>
      </c>
      <c r="Z112" s="237">
        <v>114.58</v>
      </c>
      <c r="AA112" s="237">
        <v>100.38</v>
      </c>
      <c r="AB112" s="237">
        <v>121.88</v>
      </c>
      <c r="AC112" s="237">
        <v>167.130919220056</v>
      </c>
      <c r="AE112" s="128"/>
      <c r="AF112" s="44"/>
    </row>
    <row r="113" spans="1:32">
      <c r="A113" s="219" t="s">
        <v>148</v>
      </c>
      <c r="B113" s="237">
        <v>0</v>
      </c>
      <c r="C113" s="237">
        <v>7.84</v>
      </c>
      <c r="D113" s="237">
        <v>8.08</v>
      </c>
      <c r="E113" s="237">
        <v>6.35</v>
      </c>
      <c r="F113" s="237">
        <v>6.18</v>
      </c>
      <c r="G113" s="237">
        <v>6.93</v>
      </c>
      <c r="H113" s="237">
        <v>8.81</v>
      </c>
      <c r="I113" s="237">
        <v>8.42</v>
      </c>
      <c r="J113" s="237">
        <v>7.16</v>
      </c>
      <c r="K113" s="237">
        <v>6.46</v>
      </c>
      <c r="L113" s="237">
        <v>5.18</v>
      </c>
      <c r="M113" s="237">
        <v>4.0199999999999996</v>
      </c>
      <c r="N113" s="237">
        <v>3.65</v>
      </c>
      <c r="O113" s="237">
        <v>3</v>
      </c>
      <c r="P113" s="237">
        <v>3.87</v>
      </c>
      <c r="Q113" s="237">
        <v>6.78</v>
      </c>
      <c r="R113" s="237">
        <v>0.6</v>
      </c>
      <c r="S113" s="237">
        <v>3.22</v>
      </c>
      <c r="T113" s="237">
        <v>2.79</v>
      </c>
      <c r="U113" s="237">
        <v>2.78</v>
      </c>
      <c r="V113" s="237">
        <v>3.15</v>
      </c>
      <c r="W113" s="237">
        <v>2.86</v>
      </c>
      <c r="X113" s="237">
        <v>3.29</v>
      </c>
      <c r="Y113" s="237">
        <v>3.71</v>
      </c>
      <c r="Z113" s="237">
        <v>4.3099999999999996</v>
      </c>
      <c r="AA113" s="237">
        <v>4.76</v>
      </c>
      <c r="AB113" s="237">
        <v>5.64</v>
      </c>
      <c r="AC113" s="237">
        <v>6.0975609756097597</v>
      </c>
      <c r="AE113" s="128"/>
      <c r="AF113" s="44"/>
    </row>
    <row r="114" spans="1:32">
      <c r="A114" s="219" t="s">
        <v>149</v>
      </c>
      <c r="B114" s="220" t="s">
        <v>37</v>
      </c>
      <c r="C114" s="237">
        <v>68.180000000000007</v>
      </c>
      <c r="D114" s="237">
        <v>91.24</v>
      </c>
      <c r="E114" s="237">
        <v>84.19</v>
      </c>
      <c r="F114" s="237">
        <v>77.81</v>
      </c>
      <c r="G114" s="237">
        <v>71.38</v>
      </c>
      <c r="H114" s="237">
        <v>68.239999999999995</v>
      </c>
      <c r="I114" s="237">
        <v>62.54</v>
      </c>
      <c r="J114" s="237">
        <v>60.29</v>
      </c>
      <c r="K114" s="237">
        <v>57.85</v>
      </c>
      <c r="L114" s="237">
        <v>59.41</v>
      </c>
      <c r="M114" s="237">
        <v>58.3</v>
      </c>
      <c r="N114" s="237">
        <v>56.45</v>
      </c>
      <c r="O114" s="237">
        <v>56.4</v>
      </c>
      <c r="P114" s="237">
        <v>56.95</v>
      </c>
      <c r="Q114" s="237">
        <v>55.81</v>
      </c>
      <c r="R114" s="237">
        <v>8.18</v>
      </c>
      <c r="S114" s="237">
        <v>51.69</v>
      </c>
      <c r="T114" s="237">
        <v>47.9</v>
      </c>
      <c r="U114" s="237">
        <v>51.38</v>
      </c>
      <c r="V114" s="237">
        <v>52.54</v>
      </c>
      <c r="W114" s="237">
        <v>57.87</v>
      </c>
      <c r="X114" s="237">
        <v>61.36</v>
      </c>
      <c r="Y114" s="237">
        <v>61.96</v>
      </c>
      <c r="Z114" s="237">
        <v>63.78</v>
      </c>
      <c r="AA114" s="237">
        <v>65.13</v>
      </c>
      <c r="AB114" s="237">
        <v>68.94</v>
      </c>
      <c r="AC114" s="237">
        <v>51.591657519209697</v>
      </c>
      <c r="AE114" s="128"/>
      <c r="AF114" s="44"/>
    </row>
    <row r="115" spans="1:32">
      <c r="A115" s="219" t="s">
        <v>150</v>
      </c>
      <c r="B115" s="220" t="s">
        <v>37</v>
      </c>
      <c r="C115" s="237">
        <v>20.74</v>
      </c>
      <c r="D115" s="237">
        <v>35.659999999999997</v>
      </c>
      <c r="E115" s="237">
        <v>37.17</v>
      </c>
      <c r="F115" s="237">
        <v>38.68</v>
      </c>
      <c r="G115" s="237">
        <v>37.97</v>
      </c>
      <c r="H115" s="237">
        <v>36.130000000000003</v>
      </c>
      <c r="I115" s="237">
        <v>37.159999999999997</v>
      </c>
      <c r="J115" s="237">
        <v>37.22</v>
      </c>
      <c r="K115" s="237">
        <v>42.58</v>
      </c>
      <c r="L115" s="237">
        <v>43.14</v>
      </c>
      <c r="M115" s="237">
        <v>43.41</v>
      </c>
      <c r="N115" s="237">
        <v>43.44</v>
      </c>
      <c r="O115" s="237">
        <v>45.05</v>
      </c>
      <c r="P115" s="237">
        <v>46.01</v>
      </c>
      <c r="Q115" s="237">
        <v>48.97</v>
      </c>
      <c r="R115" s="237">
        <v>47.72</v>
      </c>
      <c r="S115" s="237">
        <v>43.95</v>
      </c>
      <c r="T115" s="237">
        <v>55.64</v>
      </c>
      <c r="U115" s="237">
        <v>52.44</v>
      </c>
      <c r="V115" s="237">
        <v>58.63</v>
      </c>
      <c r="W115" s="237">
        <v>63.68</v>
      </c>
      <c r="X115" s="237">
        <v>62.09</v>
      </c>
      <c r="Y115" s="237">
        <v>65.22</v>
      </c>
      <c r="Z115" s="237">
        <v>67.959999999999994</v>
      </c>
      <c r="AA115" s="237">
        <v>70.7</v>
      </c>
      <c r="AB115" s="237">
        <v>69.069999999999993</v>
      </c>
      <c r="AC115" s="237">
        <v>67.173479100964997</v>
      </c>
      <c r="AE115" s="128"/>
      <c r="AF115" s="44"/>
    </row>
    <row r="116" spans="1:32">
      <c r="A116" s="219" t="s">
        <v>151</v>
      </c>
      <c r="B116" s="220" t="s">
        <v>37</v>
      </c>
      <c r="C116" s="237">
        <v>11.6</v>
      </c>
      <c r="D116" s="237">
        <v>11.39</v>
      </c>
      <c r="E116" s="237">
        <v>13.25</v>
      </c>
      <c r="F116" s="237">
        <v>12.67</v>
      </c>
      <c r="G116" s="237">
        <v>10.07</v>
      </c>
      <c r="H116" s="237">
        <v>7.75</v>
      </c>
      <c r="I116" s="237">
        <v>7.43</v>
      </c>
      <c r="J116" s="237">
        <v>8.5</v>
      </c>
      <c r="K116" s="237">
        <v>9.06</v>
      </c>
      <c r="L116" s="237">
        <v>11.47</v>
      </c>
      <c r="M116" s="237">
        <v>14.5</v>
      </c>
      <c r="N116" s="237">
        <v>15.45</v>
      </c>
      <c r="O116" s="237">
        <v>18.79</v>
      </c>
      <c r="P116" s="237">
        <v>14.72</v>
      </c>
      <c r="Q116" s="237">
        <v>8.24</v>
      </c>
      <c r="R116" s="237">
        <v>14.51</v>
      </c>
      <c r="S116" s="237">
        <v>19.78</v>
      </c>
      <c r="T116" s="237">
        <v>18.71</v>
      </c>
      <c r="U116" s="237">
        <v>19.809999999999999</v>
      </c>
      <c r="V116" s="237">
        <v>17.190000000000001</v>
      </c>
      <c r="W116" s="237">
        <v>20.46</v>
      </c>
      <c r="X116" s="237">
        <v>19.72</v>
      </c>
      <c r="Y116" s="237">
        <v>16.940000000000001</v>
      </c>
      <c r="Z116" s="237">
        <v>15.32</v>
      </c>
      <c r="AA116" s="237">
        <v>13.85</v>
      </c>
      <c r="AB116" s="237">
        <v>12.37</v>
      </c>
      <c r="AC116" s="237">
        <v>9.3611416026344703</v>
      </c>
      <c r="AE116" s="128"/>
      <c r="AF116" s="44"/>
    </row>
    <row r="117" spans="1:32">
      <c r="A117" s="219" t="s">
        <v>152</v>
      </c>
      <c r="B117" s="220" t="s">
        <v>37</v>
      </c>
      <c r="C117" s="220" t="s">
        <v>37</v>
      </c>
      <c r="D117" s="220" t="s">
        <v>37</v>
      </c>
      <c r="E117" s="220" t="s">
        <v>37</v>
      </c>
      <c r="F117" s="220" t="s">
        <v>37</v>
      </c>
      <c r="G117" s="220" t="s">
        <v>37</v>
      </c>
      <c r="H117" s="220" t="s">
        <v>37</v>
      </c>
      <c r="I117" s="220" t="s">
        <v>37</v>
      </c>
      <c r="J117" s="220" t="s">
        <v>37</v>
      </c>
      <c r="K117" s="220" t="s">
        <v>37</v>
      </c>
      <c r="L117" s="220" t="s">
        <v>37</v>
      </c>
      <c r="M117" s="220" t="s">
        <v>37</v>
      </c>
      <c r="N117" s="220" t="s">
        <v>37</v>
      </c>
      <c r="O117" s="220" t="s">
        <v>37</v>
      </c>
      <c r="P117" s="220" t="s">
        <v>37</v>
      </c>
      <c r="Q117" s="220" t="s">
        <v>37</v>
      </c>
      <c r="R117" s="220" t="s">
        <v>37</v>
      </c>
      <c r="S117" s="220" t="s">
        <v>37</v>
      </c>
      <c r="T117" s="220" t="s">
        <v>37</v>
      </c>
      <c r="U117" s="220" t="s">
        <v>37</v>
      </c>
      <c r="V117" s="237">
        <v>19.260000000000002</v>
      </c>
      <c r="W117" s="237">
        <v>22.37</v>
      </c>
      <c r="X117" s="237">
        <v>21.37</v>
      </c>
      <c r="Y117" s="220" t="s">
        <v>37</v>
      </c>
      <c r="Z117" s="220" t="s">
        <v>37</v>
      </c>
      <c r="AA117" s="220" t="s">
        <v>37</v>
      </c>
      <c r="AB117" s="220" t="s">
        <v>37</v>
      </c>
      <c r="AC117" s="220" t="s">
        <v>37</v>
      </c>
      <c r="AE117" s="47"/>
      <c r="AF117" s="44"/>
    </row>
    <row r="118" spans="1:32">
      <c r="A118" s="219" t="s">
        <v>153</v>
      </c>
      <c r="B118" s="220" t="s">
        <v>37</v>
      </c>
      <c r="C118" s="237">
        <v>48.5</v>
      </c>
      <c r="D118" s="237">
        <v>23.44</v>
      </c>
      <c r="E118" s="237">
        <v>31.63</v>
      </c>
      <c r="F118" s="237">
        <v>30.27</v>
      </c>
      <c r="G118" s="237">
        <v>26.89</v>
      </c>
      <c r="H118" s="237">
        <v>23.65</v>
      </c>
      <c r="I118" s="237">
        <v>22.22</v>
      </c>
      <c r="J118" s="237">
        <v>34.51</v>
      </c>
      <c r="K118" s="237">
        <v>17.12</v>
      </c>
      <c r="L118" s="237">
        <v>28.08</v>
      </c>
      <c r="M118" s="237">
        <v>44.91</v>
      </c>
      <c r="N118" s="237">
        <v>42.1</v>
      </c>
      <c r="O118" s="237">
        <v>46.25</v>
      </c>
      <c r="P118" s="237">
        <v>44.54</v>
      </c>
      <c r="Q118" s="237">
        <v>28.41</v>
      </c>
      <c r="R118" s="237">
        <v>76</v>
      </c>
      <c r="S118" s="237">
        <v>47.38</v>
      </c>
      <c r="T118" s="237">
        <v>37.049999999999997</v>
      </c>
      <c r="U118" s="237">
        <v>33.49</v>
      </c>
      <c r="V118" s="237">
        <v>35.89</v>
      </c>
      <c r="W118" s="237">
        <v>40.29</v>
      </c>
      <c r="X118" s="237">
        <v>33.07</v>
      </c>
      <c r="Y118" s="237">
        <v>30.27</v>
      </c>
      <c r="Z118" s="237">
        <v>27.52</v>
      </c>
      <c r="AA118" s="237">
        <v>21.35</v>
      </c>
      <c r="AB118" s="237">
        <v>21.87</v>
      </c>
      <c r="AC118" s="237">
        <v>23.754874651810599</v>
      </c>
      <c r="AE118" s="128"/>
      <c r="AF118" s="44"/>
    </row>
    <row r="119" spans="1:32">
      <c r="A119" s="219" t="s">
        <v>154</v>
      </c>
      <c r="B119" s="237">
        <v>4.05</v>
      </c>
      <c r="C119" s="237">
        <v>1.93</v>
      </c>
      <c r="D119" s="237">
        <v>2.2999999999999998</v>
      </c>
      <c r="E119" s="237">
        <v>2.39</v>
      </c>
      <c r="F119" s="237">
        <v>2.42</v>
      </c>
      <c r="G119" s="237">
        <v>2.2400000000000002</v>
      </c>
      <c r="H119" s="237">
        <v>2.23</v>
      </c>
      <c r="I119" s="237">
        <v>2.21</v>
      </c>
      <c r="J119" s="237">
        <v>2.2999999999999998</v>
      </c>
      <c r="K119" s="237">
        <v>2.44</v>
      </c>
      <c r="L119" s="237">
        <v>2.63</v>
      </c>
      <c r="M119" s="237">
        <v>2.66</v>
      </c>
      <c r="N119" s="237">
        <v>2.66</v>
      </c>
      <c r="O119" s="237">
        <v>2.73</v>
      </c>
      <c r="P119" s="237">
        <v>2.57</v>
      </c>
      <c r="Q119" s="237">
        <v>2.68</v>
      </c>
      <c r="R119" s="237">
        <v>2.62</v>
      </c>
      <c r="S119" s="237">
        <v>2.67</v>
      </c>
      <c r="T119" s="237">
        <v>3.12</v>
      </c>
      <c r="U119" s="237">
        <v>3.17</v>
      </c>
      <c r="V119" s="237">
        <v>3.42</v>
      </c>
      <c r="W119" s="237">
        <v>3.74</v>
      </c>
      <c r="X119" s="237">
        <v>4.41</v>
      </c>
      <c r="Y119" s="237">
        <v>5</v>
      </c>
      <c r="Z119" s="237">
        <v>5.46</v>
      </c>
      <c r="AA119" s="237">
        <v>5.64</v>
      </c>
      <c r="AB119" s="237">
        <v>5.8</v>
      </c>
      <c r="AC119" s="237">
        <v>4.7300000000000004</v>
      </c>
      <c r="AE119" s="47"/>
      <c r="AF119" s="44"/>
    </row>
    <row r="120" spans="1:32">
      <c r="A120" s="219" t="s">
        <v>155</v>
      </c>
      <c r="B120" s="237">
        <v>4.05</v>
      </c>
      <c r="C120" s="237">
        <v>1.93</v>
      </c>
      <c r="D120" s="237">
        <v>2.2799999999999998</v>
      </c>
      <c r="E120" s="237">
        <v>2.25</v>
      </c>
      <c r="F120" s="237">
        <v>2.2000000000000002</v>
      </c>
      <c r="G120" s="237">
        <v>2.04</v>
      </c>
      <c r="H120" s="237">
        <v>1.99</v>
      </c>
      <c r="I120" s="237">
        <v>1.97</v>
      </c>
      <c r="J120" s="237">
        <v>2.04</v>
      </c>
      <c r="K120" s="237">
        <v>2.17</v>
      </c>
      <c r="L120" s="237">
        <v>2.36</v>
      </c>
      <c r="M120" s="237">
        <v>2.4300000000000002</v>
      </c>
      <c r="N120" s="237">
        <v>2.36</v>
      </c>
      <c r="O120" s="237">
        <v>2.42</v>
      </c>
      <c r="P120" s="237">
        <v>2.4300000000000002</v>
      </c>
      <c r="Q120" s="237">
        <v>2.56</v>
      </c>
      <c r="R120" s="237">
        <v>2.56</v>
      </c>
      <c r="S120" s="237">
        <v>2.65</v>
      </c>
      <c r="T120" s="237">
        <v>3.11</v>
      </c>
      <c r="U120" s="237">
        <v>3.16</v>
      </c>
      <c r="V120" s="237">
        <v>3.41</v>
      </c>
      <c r="W120" s="237">
        <v>3.73</v>
      </c>
      <c r="X120" s="237">
        <v>4.4000000000000004</v>
      </c>
      <c r="Y120" s="237">
        <v>4.9800000000000004</v>
      </c>
      <c r="Z120" s="237">
        <v>5.44</v>
      </c>
      <c r="AA120" s="237">
        <v>5.62</v>
      </c>
      <c r="AB120" s="237">
        <v>5.77</v>
      </c>
      <c r="AC120" s="237">
        <v>4.71</v>
      </c>
      <c r="AE120" s="47"/>
      <c r="AF120" s="44"/>
    </row>
    <row r="121" spans="1:32">
      <c r="A121" s="219" t="s">
        <v>156</v>
      </c>
      <c r="B121" s="220" t="s">
        <v>37</v>
      </c>
      <c r="C121" s="237">
        <v>49.49</v>
      </c>
      <c r="D121" s="237">
        <v>49.78</v>
      </c>
      <c r="E121" s="237">
        <v>47.81</v>
      </c>
      <c r="F121" s="237">
        <v>52.96</v>
      </c>
      <c r="G121" s="237">
        <v>61.33</v>
      </c>
      <c r="H121" s="237">
        <v>68.760000000000005</v>
      </c>
      <c r="I121" s="237">
        <v>68.62</v>
      </c>
      <c r="J121" s="237">
        <v>64.680000000000007</v>
      </c>
      <c r="K121" s="237">
        <v>61.32</v>
      </c>
      <c r="L121" s="237">
        <v>53.97</v>
      </c>
      <c r="M121" s="237">
        <v>51.58</v>
      </c>
      <c r="N121" s="237">
        <v>47.14</v>
      </c>
      <c r="O121" s="237">
        <v>42.24</v>
      </c>
      <c r="P121" s="237">
        <v>50.3</v>
      </c>
      <c r="Q121" s="237">
        <v>63.73</v>
      </c>
      <c r="R121" s="237">
        <v>52.41</v>
      </c>
      <c r="S121" s="237">
        <v>41.32</v>
      </c>
      <c r="T121" s="237">
        <v>35.659999999999997</v>
      </c>
      <c r="U121" s="237">
        <v>33.700000000000003</v>
      </c>
      <c r="V121" s="237">
        <v>35.69</v>
      </c>
      <c r="W121" s="237">
        <v>29.3</v>
      </c>
      <c r="X121" s="237">
        <v>29.55</v>
      </c>
      <c r="Y121" s="237">
        <v>31.9</v>
      </c>
      <c r="Z121" s="237">
        <v>34.51</v>
      </c>
      <c r="AA121" s="237">
        <v>33.92</v>
      </c>
      <c r="AB121" s="237">
        <v>38.03</v>
      </c>
      <c r="AC121" s="237">
        <v>52.5446867644132</v>
      </c>
      <c r="AE121" s="128"/>
      <c r="AF121" s="44"/>
    </row>
    <row r="122" spans="1:32">
      <c r="A122" s="219" t="s">
        <v>157</v>
      </c>
      <c r="B122" s="237">
        <v>107.91</v>
      </c>
      <c r="C122" s="237">
        <v>103.05</v>
      </c>
      <c r="D122" s="237">
        <v>94.14</v>
      </c>
      <c r="E122" s="237">
        <v>70.61</v>
      </c>
      <c r="F122" s="237">
        <v>75.69</v>
      </c>
      <c r="G122" s="237">
        <v>68.349999999999994</v>
      </c>
      <c r="H122" s="237">
        <v>69.59</v>
      </c>
      <c r="I122" s="237">
        <v>67.540000000000006</v>
      </c>
      <c r="J122" s="237">
        <v>67.58</v>
      </c>
      <c r="K122" s="237">
        <v>67.650000000000006</v>
      </c>
      <c r="L122" s="237">
        <v>69.709999999999994</v>
      </c>
      <c r="M122" s="237">
        <v>69.930000000000007</v>
      </c>
      <c r="N122" s="237">
        <v>66.040000000000006</v>
      </c>
      <c r="O122" s="237">
        <v>68.930000000000007</v>
      </c>
      <c r="P122" s="237">
        <v>72.45</v>
      </c>
      <c r="Q122" s="237">
        <v>72.61</v>
      </c>
      <c r="R122" s="237">
        <v>74.36</v>
      </c>
      <c r="S122" s="237">
        <v>63.81</v>
      </c>
      <c r="T122" s="237">
        <v>63.19</v>
      </c>
      <c r="U122" s="237">
        <v>68.13</v>
      </c>
      <c r="V122" s="237">
        <v>67.86</v>
      </c>
      <c r="W122" s="237">
        <v>67.7</v>
      </c>
      <c r="X122" s="237">
        <v>68.34</v>
      </c>
      <c r="Y122" s="237">
        <v>66.180000000000007</v>
      </c>
      <c r="Z122" s="237">
        <v>68.63</v>
      </c>
      <c r="AA122" s="237">
        <v>63.8</v>
      </c>
      <c r="AB122" s="237">
        <v>65.8</v>
      </c>
      <c r="AC122" s="237">
        <v>70.634482021807898</v>
      </c>
      <c r="AE122" s="128"/>
      <c r="AF122" s="44"/>
    </row>
    <row r="123" spans="1:32">
      <c r="A123" s="219" t="s">
        <v>158</v>
      </c>
      <c r="B123" s="237">
        <v>0</v>
      </c>
      <c r="C123" s="237">
        <v>0</v>
      </c>
      <c r="D123" s="237">
        <v>0</v>
      </c>
      <c r="E123" s="237">
        <v>0</v>
      </c>
      <c r="F123" s="237">
        <v>0</v>
      </c>
      <c r="G123" s="237">
        <v>0</v>
      </c>
      <c r="H123" s="237">
        <v>0</v>
      </c>
      <c r="I123" s="237">
        <v>0</v>
      </c>
      <c r="J123" s="237">
        <v>0</v>
      </c>
      <c r="K123" s="237">
        <v>0</v>
      </c>
      <c r="L123" s="237">
        <v>0</v>
      </c>
      <c r="M123" s="237">
        <v>0.08</v>
      </c>
      <c r="N123" s="237">
        <v>0.08</v>
      </c>
      <c r="O123" s="237">
        <v>0.08</v>
      </c>
      <c r="P123" s="237">
        <v>2.41</v>
      </c>
      <c r="Q123" s="237">
        <v>2.2999999999999998</v>
      </c>
      <c r="R123" s="237">
        <v>2.5</v>
      </c>
      <c r="S123" s="237">
        <v>4.28</v>
      </c>
      <c r="T123" s="237">
        <v>3.16</v>
      </c>
      <c r="U123" s="237">
        <v>0.05</v>
      </c>
      <c r="V123" s="237">
        <v>0.05</v>
      </c>
      <c r="W123" s="237">
        <v>0.1</v>
      </c>
      <c r="X123" s="237">
        <v>0.09</v>
      </c>
      <c r="Y123" s="237">
        <v>0.09</v>
      </c>
      <c r="Z123" s="237">
        <v>0.31</v>
      </c>
      <c r="AA123" s="237">
        <v>0.28000000000000003</v>
      </c>
      <c r="AB123" s="237">
        <v>0.25</v>
      </c>
      <c r="AC123" s="237" t="s">
        <v>37</v>
      </c>
      <c r="AE123" s="47"/>
      <c r="AF123" s="44"/>
    </row>
    <row r="124" spans="1:32">
      <c r="A124" s="219" t="s">
        <v>159</v>
      </c>
      <c r="B124" s="220" t="s">
        <v>37</v>
      </c>
      <c r="C124" s="237">
        <v>84.82</v>
      </c>
      <c r="D124" s="237">
        <v>49</v>
      </c>
      <c r="E124" s="237">
        <v>30.67</v>
      </c>
      <c r="F124" s="237">
        <v>76.16</v>
      </c>
      <c r="G124" s="237">
        <v>29.44</v>
      </c>
      <c r="H124" s="237">
        <v>62.8</v>
      </c>
      <c r="I124" s="237">
        <v>51.6</v>
      </c>
      <c r="J124" s="237">
        <v>15.04</v>
      </c>
      <c r="K124" s="237">
        <v>24.64</v>
      </c>
      <c r="L124" s="237">
        <v>26.23</v>
      </c>
      <c r="M124" s="237">
        <v>34</v>
      </c>
      <c r="N124" s="237">
        <v>26.98</v>
      </c>
      <c r="O124" s="237">
        <v>10.17</v>
      </c>
      <c r="P124" s="237">
        <v>67.19</v>
      </c>
      <c r="Q124" s="237">
        <v>29.89</v>
      </c>
      <c r="R124" s="237">
        <v>12.51</v>
      </c>
      <c r="S124" s="237">
        <v>22.02</v>
      </c>
      <c r="T124" s="237">
        <v>23.82</v>
      </c>
      <c r="U124" s="237">
        <v>26.56</v>
      </c>
      <c r="V124" s="237">
        <v>19.54</v>
      </c>
      <c r="W124" s="237">
        <v>9.31</v>
      </c>
      <c r="X124" s="237">
        <v>18.03</v>
      </c>
      <c r="Y124" s="237">
        <v>4.01</v>
      </c>
      <c r="Z124" s="237">
        <v>4.07</v>
      </c>
      <c r="AA124" s="237">
        <v>1.44</v>
      </c>
      <c r="AB124" s="237">
        <v>1.52</v>
      </c>
      <c r="AC124" s="237">
        <v>1.6666666666666701</v>
      </c>
      <c r="AE124" s="128"/>
      <c r="AF124" s="44"/>
    </row>
    <row r="125" spans="1:32">
      <c r="A125" s="219" t="s">
        <v>30</v>
      </c>
      <c r="B125" s="220"/>
      <c r="C125" s="220"/>
      <c r="D125" s="220"/>
      <c r="E125" s="220"/>
      <c r="F125" s="220"/>
      <c r="G125" s="220"/>
      <c r="H125" s="220"/>
      <c r="I125" s="220"/>
      <c r="J125" s="220"/>
      <c r="K125" s="220"/>
      <c r="L125" s="220"/>
      <c r="M125" s="220"/>
      <c r="N125" s="220"/>
      <c r="O125" s="220"/>
      <c r="P125" s="220"/>
      <c r="Q125" s="220"/>
      <c r="R125" s="220"/>
      <c r="S125" s="220"/>
      <c r="T125" s="220"/>
      <c r="U125" s="220"/>
      <c r="V125" s="220"/>
      <c r="W125" s="220"/>
      <c r="X125" s="220"/>
      <c r="Y125" s="220"/>
      <c r="Z125" s="220"/>
      <c r="AA125" s="220"/>
      <c r="AB125" s="220"/>
      <c r="AC125" s="220"/>
      <c r="AE125" s="47"/>
      <c r="AF125" s="44"/>
    </row>
    <row r="126" spans="1:32">
      <c r="A126" s="222" t="s">
        <v>160</v>
      </c>
      <c r="B126" s="220"/>
      <c r="C126" s="220"/>
      <c r="D126" s="220"/>
      <c r="E126" s="220"/>
      <c r="F126" s="220"/>
      <c r="G126" s="220"/>
      <c r="H126" s="220"/>
      <c r="I126" s="220"/>
      <c r="J126" s="220"/>
      <c r="K126" s="220"/>
      <c r="L126" s="220"/>
      <c r="M126" s="220"/>
      <c r="N126" s="220"/>
      <c r="O126" s="220"/>
      <c r="P126" s="220"/>
      <c r="Q126" s="220"/>
      <c r="R126" s="220"/>
      <c r="S126" s="220"/>
      <c r="T126" s="220"/>
      <c r="U126" s="220"/>
      <c r="V126" s="220"/>
      <c r="W126" s="220"/>
      <c r="X126" s="220"/>
      <c r="Y126" s="220"/>
      <c r="Z126" s="220"/>
      <c r="AA126" s="220"/>
      <c r="AB126" s="220"/>
      <c r="AC126" s="220"/>
      <c r="AE126" s="47"/>
      <c r="AF126" s="38"/>
    </row>
    <row r="127" spans="1:32">
      <c r="A127" s="219" t="s">
        <v>161</v>
      </c>
      <c r="B127" s="220" t="s">
        <v>37</v>
      </c>
      <c r="C127" s="220" t="s">
        <v>37</v>
      </c>
      <c r="D127" s="220" t="s">
        <v>37</v>
      </c>
      <c r="E127" s="220" t="s">
        <v>37</v>
      </c>
      <c r="F127" s="220" t="s">
        <v>37</v>
      </c>
      <c r="G127" s="220" t="s">
        <v>37</v>
      </c>
      <c r="H127" s="220" t="s">
        <v>37</v>
      </c>
      <c r="I127" s="220" t="s">
        <v>37</v>
      </c>
      <c r="J127" s="237">
        <v>4</v>
      </c>
      <c r="K127" s="220" t="s">
        <v>37</v>
      </c>
      <c r="L127" s="220" t="s">
        <v>37</v>
      </c>
      <c r="M127" s="237">
        <v>3</v>
      </c>
      <c r="N127" s="237">
        <v>4</v>
      </c>
      <c r="O127" s="237">
        <v>5.03</v>
      </c>
      <c r="P127" s="237">
        <v>5.12</v>
      </c>
      <c r="Q127" s="237">
        <v>1.77</v>
      </c>
      <c r="R127" s="237">
        <v>1.1000000000000001</v>
      </c>
      <c r="S127" s="237">
        <v>2.9</v>
      </c>
      <c r="T127" s="237">
        <v>3.4</v>
      </c>
      <c r="U127" s="237">
        <v>4.8</v>
      </c>
      <c r="V127" s="237">
        <v>5.2</v>
      </c>
      <c r="W127" s="237">
        <v>5.0999999999999996</v>
      </c>
      <c r="X127" s="237">
        <v>3.7</v>
      </c>
      <c r="Y127" s="237">
        <v>3.6</v>
      </c>
      <c r="Z127" s="237">
        <v>3.2</v>
      </c>
      <c r="AA127" s="237">
        <v>2.2999999999999998</v>
      </c>
      <c r="AB127" s="237">
        <v>1.4</v>
      </c>
      <c r="AC127" s="237" t="s">
        <v>37</v>
      </c>
      <c r="AE127" s="47"/>
      <c r="AF127" s="44"/>
    </row>
    <row r="128" spans="1:32">
      <c r="A128" s="219" t="s">
        <v>162</v>
      </c>
      <c r="B128" s="220" t="s">
        <v>37</v>
      </c>
      <c r="C128" s="220" t="s">
        <v>37</v>
      </c>
      <c r="D128" s="220" t="s">
        <v>37</v>
      </c>
      <c r="E128" s="220" t="s">
        <v>37</v>
      </c>
      <c r="F128" s="220" t="s">
        <v>37</v>
      </c>
      <c r="G128" s="220" t="s">
        <v>37</v>
      </c>
      <c r="H128" s="220" t="s">
        <v>37</v>
      </c>
      <c r="I128" s="220" t="s">
        <v>37</v>
      </c>
      <c r="J128" s="220" t="s">
        <v>37</v>
      </c>
      <c r="K128" s="220" t="s">
        <v>37</v>
      </c>
      <c r="L128" s="220" t="s">
        <v>37</v>
      </c>
      <c r="M128" s="220" t="s">
        <v>37</v>
      </c>
      <c r="N128" s="220" t="s">
        <v>37</v>
      </c>
      <c r="O128" s="220" t="s">
        <v>37</v>
      </c>
      <c r="P128" s="220" t="s">
        <v>37</v>
      </c>
      <c r="Q128" s="220" t="s">
        <v>37</v>
      </c>
      <c r="R128" s="220" t="s">
        <v>37</v>
      </c>
      <c r="S128" s="220" t="s">
        <v>37</v>
      </c>
      <c r="T128" s="220" t="s">
        <v>37</v>
      </c>
      <c r="U128" s="220" t="s">
        <v>37</v>
      </c>
      <c r="V128" s="220" t="s">
        <v>37</v>
      </c>
      <c r="W128" s="220" t="s">
        <v>37</v>
      </c>
      <c r="X128" s="220" t="s">
        <v>37</v>
      </c>
      <c r="Y128" s="220" t="s">
        <v>37</v>
      </c>
      <c r="Z128" s="220" t="s">
        <v>37</v>
      </c>
      <c r="AA128" s="220" t="s">
        <v>37</v>
      </c>
      <c r="AB128" s="220" t="s">
        <v>37</v>
      </c>
      <c r="AC128" s="220" t="s">
        <v>37</v>
      </c>
      <c r="AE128" s="47"/>
      <c r="AF128" s="44"/>
    </row>
    <row r="129" spans="1:32">
      <c r="A129" s="219" t="s">
        <v>163</v>
      </c>
      <c r="B129" s="220" t="s">
        <v>37</v>
      </c>
      <c r="C129" s="220" t="s">
        <v>37</v>
      </c>
      <c r="D129" s="237">
        <v>101.51</v>
      </c>
      <c r="E129" s="237">
        <v>42.23</v>
      </c>
      <c r="F129" s="237">
        <v>47.47</v>
      </c>
      <c r="G129" s="237">
        <v>31.16</v>
      </c>
      <c r="H129" s="237">
        <v>29.3</v>
      </c>
      <c r="I129" s="237">
        <v>11.07</v>
      </c>
      <c r="J129" s="237">
        <v>0.6</v>
      </c>
      <c r="K129" s="237">
        <v>19.03</v>
      </c>
      <c r="L129" s="237">
        <v>11.19</v>
      </c>
      <c r="M129" s="237">
        <v>13.53</v>
      </c>
      <c r="N129" s="237">
        <v>19.41</v>
      </c>
      <c r="O129" s="237">
        <v>8.92</v>
      </c>
      <c r="P129" s="237">
        <v>10.06</v>
      </c>
      <c r="Q129" s="237">
        <v>10.1</v>
      </c>
      <c r="R129" s="237">
        <v>-2.72</v>
      </c>
      <c r="S129" s="237">
        <v>-2.2999999999999998</v>
      </c>
      <c r="T129" s="237">
        <v>37.75</v>
      </c>
      <c r="U129" s="237">
        <v>18.29</v>
      </c>
      <c r="V129" s="237">
        <v>11.12</v>
      </c>
      <c r="W129" s="237">
        <v>0.92</v>
      </c>
      <c r="X129" s="237">
        <v>10.38</v>
      </c>
      <c r="Y129" s="237">
        <v>6.21</v>
      </c>
      <c r="Z129" s="237">
        <v>6</v>
      </c>
      <c r="AA129" s="237">
        <v>7.56</v>
      </c>
      <c r="AB129" s="237">
        <v>-1.21</v>
      </c>
      <c r="AC129" s="237">
        <v>-24.233200562417501</v>
      </c>
      <c r="AE129" s="128"/>
      <c r="AF129" s="44"/>
    </row>
    <row r="130" spans="1:32">
      <c r="A130" s="219" t="s">
        <v>164</v>
      </c>
      <c r="B130" s="220" t="s">
        <v>37</v>
      </c>
      <c r="C130" s="220" t="s">
        <v>37</v>
      </c>
      <c r="D130" s="226">
        <v>2.4</v>
      </c>
      <c r="E130" s="226">
        <v>9.3000000000000007</v>
      </c>
      <c r="F130" s="226">
        <v>10.3</v>
      </c>
      <c r="G130" s="226">
        <v>9.6999999999999993</v>
      </c>
      <c r="H130" s="226">
        <v>4.5999999999999996</v>
      </c>
      <c r="I130" s="226">
        <v>9.1</v>
      </c>
      <c r="J130" s="226">
        <v>6.8</v>
      </c>
      <c r="K130" s="226">
        <v>9</v>
      </c>
      <c r="L130" s="226">
        <v>7.4</v>
      </c>
      <c r="M130" s="226">
        <v>10.4</v>
      </c>
      <c r="N130" s="226">
        <v>11.2</v>
      </c>
      <c r="O130" s="226">
        <v>8.6999999999999993</v>
      </c>
      <c r="P130" s="226">
        <v>9.5</v>
      </c>
      <c r="Q130" s="226">
        <v>9.3000000000000007</v>
      </c>
      <c r="R130" s="226">
        <v>-14.7</v>
      </c>
      <c r="S130" s="226">
        <v>-8.5</v>
      </c>
      <c r="T130" s="226">
        <v>37</v>
      </c>
      <c r="U130" s="226">
        <v>15.8</v>
      </c>
      <c r="V130" s="226">
        <v>10.9</v>
      </c>
      <c r="W130" s="226">
        <v>0.6</v>
      </c>
      <c r="X130" s="226">
        <v>10.8</v>
      </c>
      <c r="Y130" s="226">
        <v>6.4</v>
      </c>
      <c r="Z130" s="226">
        <v>6.9</v>
      </c>
      <c r="AA130" s="226">
        <v>8.1999999999999993</v>
      </c>
      <c r="AB130" s="226">
        <v>-0.7</v>
      </c>
      <c r="AC130" s="226">
        <v>-24.335548172757498</v>
      </c>
      <c r="AE130" s="186"/>
      <c r="AF130" s="44"/>
    </row>
    <row r="131" spans="1:32">
      <c r="A131" s="219" t="s">
        <v>165</v>
      </c>
      <c r="B131" s="220" t="s">
        <v>37</v>
      </c>
      <c r="C131" s="226">
        <v>-78.8</v>
      </c>
      <c r="D131" s="226">
        <v>52.1</v>
      </c>
      <c r="E131" s="226">
        <v>-6.5</v>
      </c>
      <c r="F131" s="226">
        <v>6.9</v>
      </c>
      <c r="G131" s="226">
        <v>-5.6</v>
      </c>
      <c r="H131" s="226">
        <v>-2</v>
      </c>
      <c r="I131" s="226">
        <v>13</v>
      </c>
      <c r="J131" s="226">
        <v>-23.9</v>
      </c>
      <c r="K131" s="226">
        <v>123.3</v>
      </c>
      <c r="L131" s="226">
        <v>-20.3</v>
      </c>
      <c r="M131" s="226">
        <v>-5.9</v>
      </c>
      <c r="N131" s="226">
        <v>-11.8</v>
      </c>
      <c r="O131" s="226">
        <v>72.400000000000006</v>
      </c>
      <c r="P131" s="226">
        <v>-5</v>
      </c>
      <c r="Q131" s="226">
        <v>-10.1</v>
      </c>
      <c r="R131" s="226">
        <v>-43.9</v>
      </c>
      <c r="S131" s="226">
        <v>100</v>
      </c>
      <c r="T131" s="226">
        <v>65.7</v>
      </c>
      <c r="U131" s="226">
        <v>35.6</v>
      </c>
      <c r="V131" s="226">
        <v>-10.199999999999999</v>
      </c>
      <c r="W131" s="226">
        <v>4.7</v>
      </c>
      <c r="X131" s="226">
        <v>32.4</v>
      </c>
      <c r="Y131" s="226">
        <v>-0.2</v>
      </c>
      <c r="Z131" s="226">
        <v>6.3</v>
      </c>
      <c r="AA131" s="226">
        <v>26.1</v>
      </c>
      <c r="AB131" s="226">
        <v>-13.5</v>
      </c>
      <c r="AC131" s="226">
        <v>-47.2834067547724</v>
      </c>
      <c r="AE131" s="186"/>
      <c r="AF131" s="44"/>
    </row>
    <row r="132" spans="1:32">
      <c r="A132" s="219" t="s">
        <v>166</v>
      </c>
      <c r="B132" s="220" t="s">
        <v>37</v>
      </c>
      <c r="C132" s="237">
        <v>38.39</v>
      </c>
      <c r="D132" s="237">
        <v>13.8</v>
      </c>
      <c r="E132" s="237">
        <v>154.69</v>
      </c>
      <c r="F132" s="237">
        <v>29.56</v>
      </c>
      <c r="G132" s="237">
        <v>78.97</v>
      </c>
      <c r="H132" s="237">
        <v>5.35</v>
      </c>
      <c r="I132" s="237">
        <v>-2.66</v>
      </c>
      <c r="J132" s="237">
        <v>-0.87</v>
      </c>
      <c r="K132" s="237">
        <v>7.24</v>
      </c>
      <c r="L132" s="237">
        <v>3.9</v>
      </c>
      <c r="M132" s="237">
        <v>40.79</v>
      </c>
      <c r="N132" s="237">
        <v>-2.56</v>
      </c>
      <c r="O132" s="237">
        <v>1.46</v>
      </c>
      <c r="P132" s="237">
        <v>8.86</v>
      </c>
      <c r="Q132" s="237">
        <v>-1.54</v>
      </c>
      <c r="R132" s="237">
        <v>-3.65</v>
      </c>
      <c r="S132" s="237">
        <v>8.81</v>
      </c>
      <c r="T132" s="237">
        <v>5.51</v>
      </c>
      <c r="U132" s="237">
        <v>24.91</v>
      </c>
      <c r="V132" s="237">
        <v>0.67</v>
      </c>
      <c r="W132" s="237">
        <v>-10.02</v>
      </c>
      <c r="X132" s="237">
        <v>5.42</v>
      </c>
      <c r="Y132" s="237">
        <v>1.97</v>
      </c>
      <c r="Z132" s="237">
        <v>0.73</v>
      </c>
      <c r="AA132" s="237">
        <v>-1.66</v>
      </c>
      <c r="AB132" s="237">
        <v>1.1000000000000001</v>
      </c>
      <c r="AC132" s="237">
        <v>10.008399872688701</v>
      </c>
      <c r="AE132" s="128"/>
      <c r="AF132" s="44"/>
    </row>
    <row r="133" spans="1:32">
      <c r="A133" s="219" t="s">
        <v>30</v>
      </c>
      <c r="B133" s="220"/>
      <c r="C133" s="220"/>
      <c r="D133" s="220"/>
      <c r="E133" s="220"/>
      <c r="F133" s="220"/>
      <c r="G133" s="220"/>
      <c r="H133" s="220"/>
      <c r="I133" s="220"/>
      <c r="J133" s="220"/>
      <c r="K133" s="220"/>
      <c r="L133" s="220"/>
      <c r="M133" s="220"/>
      <c r="N133" s="220"/>
      <c r="O133" s="220"/>
      <c r="P133" s="220"/>
      <c r="Q133" s="220"/>
      <c r="R133" s="220"/>
      <c r="S133" s="220"/>
      <c r="T133" s="220"/>
      <c r="U133" s="220"/>
      <c r="V133" s="220"/>
      <c r="W133" s="220"/>
      <c r="X133" s="220"/>
      <c r="Y133" s="220"/>
      <c r="Z133" s="220"/>
      <c r="AA133" s="220"/>
      <c r="AB133" s="220"/>
      <c r="AC133" s="220"/>
      <c r="AE133" s="47"/>
      <c r="AF133" s="44"/>
    </row>
    <row r="134" spans="1:32">
      <c r="A134" s="222" t="s">
        <v>167</v>
      </c>
      <c r="B134" s="220"/>
      <c r="C134" s="220"/>
      <c r="D134" s="220"/>
      <c r="E134" s="220"/>
      <c r="F134" s="220"/>
      <c r="G134" s="220"/>
      <c r="H134" s="220"/>
      <c r="I134" s="220"/>
      <c r="J134" s="220"/>
      <c r="K134" s="220"/>
      <c r="L134" s="220"/>
      <c r="M134" s="220"/>
      <c r="N134" s="220"/>
      <c r="O134" s="220"/>
      <c r="P134" s="220"/>
      <c r="Q134" s="220"/>
      <c r="R134" s="220"/>
      <c r="S134" s="220"/>
      <c r="T134" s="220"/>
      <c r="U134" s="220"/>
      <c r="V134" s="220"/>
      <c r="W134" s="220"/>
      <c r="X134" s="220"/>
      <c r="Y134" s="220"/>
      <c r="Z134" s="220"/>
      <c r="AA134" s="220"/>
      <c r="AB134" s="220"/>
      <c r="AC134" s="220"/>
      <c r="AE134" s="47"/>
      <c r="AF134" s="38"/>
    </row>
    <row r="135" spans="1:32">
      <c r="A135" s="219" t="s">
        <v>168</v>
      </c>
      <c r="B135" s="223">
        <v>40950000</v>
      </c>
      <c r="C135" s="223">
        <v>48412445</v>
      </c>
      <c r="D135" s="223">
        <v>58360195</v>
      </c>
      <c r="E135" s="223">
        <v>96880415</v>
      </c>
      <c r="F135" s="223">
        <v>109643001</v>
      </c>
      <c r="G135" s="223">
        <v>166775031</v>
      </c>
      <c r="H135" s="223">
        <v>173165255</v>
      </c>
      <c r="I135" s="223">
        <v>171945760</v>
      </c>
      <c r="J135" s="223">
        <v>173806306</v>
      </c>
      <c r="K135" s="223">
        <v>185543540</v>
      </c>
      <c r="L135" s="223">
        <v>201981997</v>
      </c>
      <c r="M135" s="223">
        <v>220306495</v>
      </c>
      <c r="N135" s="223">
        <v>220361581</v>
      </c>
      <c r="O135" s="223">
        <v>221431071</v>
      </c>
      <c r="P135" s="223">
        <v>223034282</v>
      </c>
      <c r="Q135" s="223">
        <v>231319644</v>
      </c>
      <c r="R135" s="223">
        <v>285748271</v>
      </c>
      <c r="S135" s="223">
        <v>292961909</v>
      </c>
      <c r="T135" s="223">
        <v>293856250</v>
      </c>
      <c r="U135" s="223">
        <v>309903824</v>
      </c>
      <c r="V135" s="223">
        <v>310608565</v>
      </c>
      <c r="W135" s="223">
        <v>310787910</v>
      </c>
      <c r="X135" s="223">
        <v>309420569</v>
      </c>
      <c r="Y135" s="223">
        <v>313074574</v>
      </c>
      <c r="Z135" s="223">
        <v>311166854</v>
      </c>
      <c r="AA135" s="223">
        <v>309017468</v>
      </c>
      <c r="AB135" s="223">
        <v>306868960</v>
      </c>
      <c r="AC135" s="223">
        <v>328501416</v>
      </c>
      <c r="AD135" s="223">
        <v>328619625</v>
      </c>
      <c r="AE135" s="57"/>
      <c r="AF135" s="44"/>
    </row>
    <row r="136" spans="1:32">
      <c r="A136" s="219" t="s">
        <v>169</v>
      </c>
      <c r="B136" s="237">
        <v>22.63</v>
      </c>
      <c r="C136" s="237">
        <v>24.25</v>
      </c>
      <c r="D136" s="237">
        <v>24.38</v>
      </c>
      <c r="E136" s="237">
        <v>31</v>
      </c>
      <c r="F136" s="237">
        <v>32.69</v>
      </c>
      <c r="G136" s="237">
        <v>28.5</v>
      </c>
      <c r="H136" s="237">
        <v>22.94</v>
      </c>
      <c r="I136" s="237">
        <v>24</v>
      </c>
      <c r="J136" s="237">
        <v>29.33</v>
      </c>
      <c r="K136" s="237">
        <v>34.07</v>
      </c>
      <c r="L136" s="237">
        <v>46.34</v>
      </c>
      <c r="M136" s="237">
        <v>64.67</v>
      </c>
      <c r="N136" s="237">
        <v>76.63</v>
      </c>
      <c r="O136" s="237">
        <v>101.29</v>
      </c>
      <c r="P136" s="237">
        <v>86.86</v>
      </c>
      <c r="Q136" s="237">
        <v>53.13</v>
      </c>
      <c r="R136" s="237">
        <v>79.8</v>
      </c>
      <c r="S136" s="237">
        <v>99.49</v>
      </c>
      <c r="T136" s="237">
        <v>128.94</v>
      </c>
      <c r="U136" s="237">
        <v>158.09</v>
      </c>
      <c r="V136" s="237">
        <v>152.16</v>
      </c>
      <c r="W136" s="237">
        <v>182.11</v>
      </c>
      <c r="X136" s="237">
        <v>194.44</v>
      </c>
      <c r="Y136" s="237">
        <v>177.67</v>
      </c>
      <c r="Z136" s="237">
        <v>171.74</v>
      </c>
      <c r="AA136" s="237">
        <v>167.99</v>
      </c>
      <c r="AB136" s="237">
        <v>148.96</v>
      </c>
      <c r="AC136" s="237">
        <v>85.28</v>
      </c>
      <c r="AD136" s="237"/>
      <c r="AE136" s="128"/>
      <c r="AF136" s="44"/>
    </row>
    <row r="137" spans="1:32">
      <c r="A137" s="219" t="s">
        <v>170</v>
      </c>
      <c r="B137" s="220" t="s">
        <v>37</v>
      </c>
      <c r="C137" s="237">
        <v>0.71</v>
      </c>
      <c r="D137" s="237">
        <v>1.08</v>
      </c>
      <c r="E137" s="237">
        <v>1.01</v>
      </c>
      <c r="F137" s="237">
        <v>1.08</v>
      </c>
      <c r="G137" s="237">
        <v>1.02</v>
      </c>
      <c r="H137" s="237">
        <v>1</v>
      </c>
      <c r="I137" s="237">
        <v>1.1299999999999999</v>
      </c>
      <c r="J137" s="237">
        <v>0.87</v>
      </c>
      <c r="K137" s="237">
        <v>1.92</v>
      </c>
      <c r="L137" s="237">
        <v>1.53</v>
      </c>
      <c r="M137" s="237">
        <v>1.45</v>
      </c>
      <c r="N137" s="237">
        <v>1.27</v>
      </c>
      <c r="O137" s="237">
        <v>2.2000000000000002</v>
      </c>
      <c r="P137" s="237">
        <v>2.09</v>
      </c>
      <c r="Q137" s="237">
        <v>1.88</v>
      </c>
      <c r="R137" s="237">
        <v>1.06</v>
      </c>
      <c r="S137" s="237">
        <v>2.1</v>
      </c>
      <c r="T137" s="237">
        <v>3.48</v>
      </c>
      <c r="U137" s="237">
        <v>4.72</v>
      </c>
      <c r="V137" s="237">
        <v>4.24</v>
      </c>
      <c r="W137" s="237">
        <v>4.4400000000000004</v>
      </c>
      <c r="X137" s="237">
        <v>5.88</v>
      </c>
      <c r="Y137" s="237">
        <v>5.87</v>
      </c>
      <c r="Z137" s="237">
        <v>6.24</v>
      </c>
      <c r="AA137" s="237">
        <v>7.87</v>
      </c>
      <c r="AB137" s="237">
        <v>6.81</v>
      </c>
      <c r="AC137" s="237">
        <v>3.59</v>
      </c>
      <c r="AD137" s="237"/>
      <c r="AE137" s="128"/>
      <c r="AF137" s="44"/>
    </row>
    <row r="138" spans="1:32">
      <c r="A138" s="219" t="s">
        <v>171</v>
      </c>
      <c r="B138" s="220" t="s">
        <v>37</v>
      </c>
      <c r="C138" s="237">
        <v>0.71</v>
      </c>
      <c r="D138" s="237">
        <v>1.08</v>
      </c>
      <c r="E138" s="237">
        <v>1.01</v>
      </c>
      <c r="F138" s="237">
        <v>1.08</v>
      </c>
      <c r="G138" s="237">
        <v>1.02</v>
      </c>
      <c r="H138" s="237">
        <v>1</v>
      </c>
      <c r="I138" s="237">
        <v>1.1299999999999999</v>
      </c>
      <c r="J138" s="237">
        <v>0.86</v>
      </c>
      <c r="K138" s="237">
        <v>1.92</v>
      </c>
      <c r="L138" s="237">
        <v>1.53</v>
      </c>
      <c r="M138" s="237">
        <v>1.44</v>
      </c>
      <c r="N138" s="237">
        <v>1.27</v>
      </c>
      <c r="O138" s="237">
        <v>2.19</v>
      </c>
      <c r="P138" s="237">
        <v>2.08</v>
      </c>
      <c r="Q138" s="237">
        <v>1.87</v>
      </c>
      <c r="R138" s="237">
        <v>1.05</v>
      </c>
      <c r="S138" s="237">
        <v>2.1</v>
      </c>
      <c r="T138" s="237">
        <v>3.48</v>
      </c>
      <c r="U138" s="237">
        <v>4.72</v>
      </c>
      <c r="V138" s="237">
        <v>4.24</v>
      </c>
      <c r="W138" s="237">
        <v>4.4400000000000004</v>
      </c>
      <c r="X138" s="237">
        <v>5.88</v>
      </c>
      <c r="Y138" s="237">
        <v>5.87</v>
      </c>
      <c r="Z138" s="237">
        <v>6.24</v>
      </c>
      <c r="AA138" s="237">
        <v>7.87</v>
      </c>
      <c r="AB138" s="237">
        <v>6.81</v>
      </c>
      <c r="AC138" s="237">
        <v>3.59</v>
      </c>
      <c r="AD138" s="237"/>
      <c r="AE138" s="128"/>
      <c r="AF138" s="44"/>
    </row>
    <row r="139" spans="1:32">
      <c r="A139" s="219" t="s">
        <v>172</v>
      </c>
      <c r="B139" s="220" t="s">
        <v>37</v>
      </c>
      <c r="C139" s="237">
        <v>2.09</v>
      </c>
      <c r="D139" s="237">
        <v>2.14</v>
      </c>
      <c r="E139" s="237">
        <v>2.34</v>
      </c>
      <c r="F139" s="237">
        <v>2.58</v>
      </c>
      <c r="G139" s="237">
        <v>2.83</v>
      </c>
      <c r="H139" s="237">
        <v>2.96</v>
      </c>
      <c r="I139" s="237">
        <v>3.23</v>
      </c>
      <c r="J139" s="237">
        <v>3.45</v>
      </c>
      <c r="K139" s="237">
        <v>3.76</v>
      </c>
      <c r="L139" s="237">
        <v>4.04</v>
      </c>
      <c r="M139" s="237">
        <v>4.46</v>
      </c>
      <c r="N139" s="237">
        <v>4.96</v>
      </c>
      <c r="O139" s="237">
        <v>5.39</v>
      </c>
      <c r="P139" s="237">
        <v>5.9</v>
      </c>
      <c r="Q139" s="237">
        <v>6.45</v>
      </c>
      <c r="R139" s="237">
        <v>5.5</v>
      </c>
      <c r="S139" s="237">
        <v>5.03</v>
      </c>
      <c r="T139" s="237">
        <v>6.89</v>
      </c>
      <c r="U139" s="237">
        <v>7.98</v>
      </c>
      <c r="V139" s="237">
        <v>8.85</v>
      </c>
      <c r="W139" s="237">
        <v>8.9</v>
      </c>
      <c r="X139" s="237">
        <v>9.86</v>
      </c>
      <c r="Y139" s="237">
        <v>10.49</v>
      </c>
      <c r="Z139" s="237">
        <v>11.21</v>
      </c>
      <c r="AA139" s="237">
        <v>12.13</v>
      </c>
      <c r="AB139" s="237">
        <v>12.04</v>
      </c>
      <c r="AC139" s="237">
        <v>9.11</v>
      </c>
      <c r="AD139" s="237">
        <v>11.94</v>
      </c>
      <c r="AE139" s="128"/>
      <c r="AF139" s="44"/>
    </row>
    <row r="140" spans="1:32">
      <c r="A140" s="219" t="s">
        <v>173</v>
      </c>
      <c r="B140" s="220" t="s">
        <v>37</v>
      </c>
      <c r="C140" s="220" t="s">
        <v>37</v>
      </c>
      <c r="D140" s="220" t="s">
        <v>37</v>
      </c>
      <c r="E140" s="220" t="s">
        <v>37</v>
      </c>
      <c r="F140" s="220" t="s">
        <v>37</v>
      </c>
      <c r="G140" s="220" t="s">
        <v>37</v>
      </c>
      <c r="H140" s="237">
        <v>2.99</v>
      </c>
      <c r="I140" s="237">
        <v>3.29</v>
      </c>
      <c r="J140" s="237">
        <v>3.51</v>
      </c>
      <c r="K140" s="237">
        <v>3.7</v>
      </c>
      <c r="L140" s="237">
        <v>4.04</v>
      </c>
      <c r="M140" s="237">
        <v>4.46</v>
      </c>
      <c r="N140" s="237">
        <v>4.96</v>
      </c>
      <c r="O140" s="237">
        <v>5.39</v>
      </c>
      <c r="P140" s="237">
        <v>6.02</v>
      </c>
      <c r="Q140" s="237">
        <v>6.56</v>
      </c>
      <c r="R140" s="237">
        <v>6.01</v>
      </c>
      <c r="S140" s="237">
        <v>6.03</v>
      </c>
      <c r="T140" s="237">
        <v>6.79</v>
      </c>
      <c r="U140" s="237">
        <v>7.87</v>
      </c>
      <c r="V140" s="237">
        <v>7.73</v>
      </c>
      <c r="W140" s="237">
        <v>8.83</v>
      </c>
      <c r="X140" s="237">
        <v>9.84</v>
      </c>
      <c r="Y140" s="237">
        <v>10.74</v>
      </c>
      <c r="Z140" s="237">
        <v>11.45</v>
      </c>
      <c r="AA140" s="237">
        <v>11.85</v>
      </c>
      <c r="AB140" s="237">
        <v>12.37</v>
      </c>
      <c r="AC140" s="237" t="s">
        <v>37</v>
      </c>
      <c r="AE140" s="47"/>
      <c r="AF140" s="44"/>
    </row>
    <row r="141" spans="1:32">
      <c r="A141" s="219" t="s">
        <v>174</v>
      </c>
      <c r="B141" s="220" t="s">
        <v>37</v>
      </c>
      <c r="C141" s="220" t="s">
        <v>37</v>
      </c>
      <c r="D141" s="220" t="s">
        <v>37</v>
      </c>
      <c r="E141" s="220" t="s">
        <v>37</v>
      </c>
      <c r="F141" s="220" t="s">
        <v>37</v>
      </c>
      <c r="G141" s="220" t="s">
        <v>37</v>
      </c>
      <c r="H141" s="220" t="s">
        <v>37</v>
      </c>
      <c r="I141" s="220" t="s">
        <v>37</v>
      </c>
      <c r="J141" s="220" t="s">
        <v>37</v>
      </c>
      <c r="K141" s="220" t="s">
        <v>37</v>
      </c>
      <c r="L141" s="220" t="s">
        <v>37</v>
      </c>
      <c r="M141" s="220" t="s">
        <v>37</v>
      </c>
      <c r="N141" s="220" t="s">
        <v>37</v>
      </c>
      <c r="O141" s="220" t="s">
        <v>37</v>
      </c>
      <c r="P141" s="220" t="s">
        <v>37</v>
      </c>
      <c r="Q141" s="220" t="s">
        <v>37</v>
      </c>
      <c r="R141" s="220" t="s">
        <v>37</v>
      </c>
      <c r="S141" s="220" t="s">
        <v>37</v>
      </c>
      <c r="T141" s="220" t="s">
        <v>37</v>
      </c>
      <c r="U141" s="220" t="s">
        <v>37</v>
      </c>
      <c r="V141" s="237">
        <v>7.9</v>
      </c>
      <c r="W141" s="237">
        <v>8.14</v>
      </c>
      <c r="X141" s="237">
        <v>9.1</v>
      </c>
      <c r="Y141" s="220" t="s">
        <v>37</v>
      </c>
      <c r="Z141" s="220" t="s">
        <v>37</v>
      </c>
      <c r="AA141" s="220" t="s">
        <v>37</v>
      </c>
      <c r="AB141" s="220" t="s">
        <v>37</v>
      </c>
      <c r="AC141" s="220" t="s">
        <v>37</v>
      </c>
      <c r="AE141" s="47"/>
      <c r="AF141" s="44"/>
    </row>
    <row r="142" spans="1:32">
      <c r="A142" s="219" t="s">
        <v>175</v>
      </c>
      <c r="B142" s="220" t="s">
        <v>37</v>
      </c>
      <c r="C142" s="220" t="s">
        <v>37</v>
      </c>
      <c r="D142" s="220" t="s">
        <v>37</v>
      </c>
      <c r="E142" s="220" t="s">
        <v>37</v>
      </c>
      <c r="F142" s="220" t="s">
        <v>37</v>
      </c>
      <c r="G142" s="220" t="s">
        <v>37</v>
      </c>
      <c r="H142" s="220" t="s">
        <v>37</v>
      </c>
      <c r="I142" s="220" t="s">
        <v>37</v>
      </c>
      <c r="J142" s="220" t="s">
        <v>37</v>
      </c>
      <c r="K142" s="220" t="s">
        <v>37</v>
      </c>
      <c r="L142" s="220" t="s">
        <v>37</v>
      </c>
      <c r="M142" s="220" t="s">
        <v>37</v>
      </c>
      <c r="N142" s="220" t="s">
        <v>37</v>
      </c>
      <c r="O142" s="220" t="s">
        <v>37</v>
      </c>
      <c r="P142" s="220" t="s">
        <v>37</v>
      </c>
      <c r="Q142" s="220" t="s">
        <v>37</v>
      </c>
      <c r="R142" s="220" t="s">
        <v>37</v>
      </c>
      <c r="S142" s="220" t="s">
        <v>37</v>
      </c>
      <c r="T142" s="220" t="s">
        <v>37</v>
      </c>
      <c r="U142" s="220" t="s">
        <v>37</v>
      </c>
      <c r="V142" s="220" t="s">
        <v>37</v>
      </c>
      <c r="W142" s="220" t="s">
        <v>37</v>
      </c>
      <c r="X142" s="220" t="s">
        <v>37</v>
      </c>
      <c r="Y142" s="220" t="s">
        <v>37</v>
      </c>
      <c r="Z142" s="220" t="s">
        <v>37</v>
      </c>
      <c r="AA142" s="220" t="s">
        <v>37</v>
      </c>
      <c r="AB142" s="220" t="s">
        <v>37</v>
      </c>
      <c r="AC142" s="220" t="s">
        <v>37</v>
      </c>
      <c r="AE142" s="47"/>
      <c r="AF142" s="44"/>
    </row>
    <row r="143" spans="1:32">
      <c r="A143" s="219" t="s">
        <v>176</v>
      </c>
      <c r="B143" s="238">
        <v>0</v>
      </c>
      <c r="C143" s="238">
        <v>1.9</v>
      </c>
      <c r="D143" s="238">
        <v>1.97</v>
      </c>
      <c r="E143" s="238">
        <v>1.629</v>
      </c>
      <c r="F143" s="238">
        <v>2.0074999999999998</v>
      </c>
      <c r="G143" s="238">
        <v>2.02</v>
      </c>
      <c r="H143" s="238">
        <v>2.02</v>
      </c>
      <c r="I143" s="238">
        <v>2.02</v>
      </c>
      <c r="J143" s="238">
        <v>2.08</v>
      </c>
      <c r="K143" s="238">
        <v>2.1749999999999998</v>
      </c>
      <c r="L143" s="238">
        <v>2.4</v>
      </c>
      <c r="M143" s="238">
        <v>2.6</v>
      </c>
      <c r="N143" s="238">
        <v>2.8</v>
      </c>
      <c r="O143" s="238">
        <v>3.04</v>
      </c>
      <c r="P143" s="238">
        <v>3.36</v>
      </c>
      <c r="Q143" s="238">
        <v>3.6</v>
      </c>
      <c r="R143" s="238">
        <v>0.46060000000000001</v>
      </c>
      <c r="S143" s="238">
        <v>2.6</v>
      </c>
      <c r="T143" s="238">
        <v>3.5</v>
      </c>
      <c r="U143" s="238">
        <v>4.0999999999999996</v>
      </c>
      <c r="V143" s="238">
        <v>4.6500000000000004</v>
      </c>
      <c r="W143" s="238">
        <v>5.15</v>
      </c>
      <c r="X143" s="238">
        <v>6.05</v>
      </c>
      <c r="Y143" s="238">
        <v>6.5</v>
      </c>
      <c r="Z143" s="238">
        <v>7.15</v>
      </c>
      <c r="AA143" s="238">
        <v>7.9</v>
      </c>
      <c r="AB143" s="238">
        <v>8.3000000000000007</v>
      </c>
      <c r="AC143" s="238">
        <v>6</v>
      </c>
      <c r="AD143" s="238">
        <v>5.85</v>
      </c>
      <c r="AE143" s="187">
        <v>6.9</v>
      </c>
      <c r="AF143" s="44"/>
    </row>
    <row r="144" spans="1:32">
      <c r="A144" s="219" t="s">
        <v>177</v>
      </c>
      <c r="B144" s="238"/>
      <c r="C144" s="238"/>
      <c r="D144" s="238"/>
      <c r="E144" s="238"/>
      <c r="F144" s="238"/>
      <c r="G144" s="238"/>
      <c r="H144" s="238"/>
      <c r="I144" s="238"/>
      <c r="J144" s="238"/>
      <c r="K144" s="238"/>
      <c r="L144" s="238"/>
      <c r="M144" s="238"/>
      <c r="N144" s="238"/>
      <c r="O144" s="238"/>
      <c r="P144" s="238"/>
      <c r="Q144" s="238"/>
      <c r="R144" s="238"/>
      <c r="S144" s="225">
        <f>(AB143/S143)^0.1-1</f>
        <v>0.12307943397061138</v>
      </c>
      <c r="T144" s="238"/>
      <c r="U144" s="238"/>
      <c r="V144" s="238"/>
      <c r="W144" s="238"/>
      <c r="X144" s="238"/>
      <c r="Y144" s="238"/>
      <c r="Z144" s="238"/>
      <c r="AA144" s="238"/>
      <c r="AB144" s="238"/>
      <c r="AC144" s="238"/>
      <c r="AE144" s="187"/>
      <c r="AF144" s="44"/>
    </row>
    <row r="145" spans="1:32">
      <c r="A145" s="219" t="s">
        <v>178</v>
      </c>
      <c r="B145" s="220" t="s">
        <v>37</v>
      </c>
      <c r="C145" s="220" t="s">
        <v>37</v>
      </c>
      <c r="D145" s="220" t="s">
        <v>37</v>
      </c>
      <c r="E145" s="220" t="s">
        <v>37</v>
      </c>
      <c r="F145" s="220" t="s">
        <v>37</v>
      </c>
      <c r="G145" s="220" t="s">
        <v>37</v>
      </c>
      <c r="H145" s="220" t="s">
        <v>37</v>
      </c>
      <c r="I145" s="220" t="s">
        <v>37</v>
      </c>
      <c r="J145" s="220" t="s">
        <v>37</v>
      </c>
      <c r="K145" s="220" t="s">
        <v>37</v>
      </c>
      <c r="L145" s="220" t="s">
        <v>37</v>
      </c>
      <c r="M145" s="220" t="s">
        <v>37</v>
      </c>
      <c r="N145" s="220" t="s">
        <v>37</v>
      </c>
      <c r="O145" s="220" t="s">
        <v>37</v>
      </c>
      <c r="P145" s="220" t="s">
        <v>37</v>
      </c>
      <c r="Q145" s="220" t="s">
        <v>37</v>
      </c>
      <c r="R145" s="220" t="s">
        <v>37</v>
      </c>
      <c r="S145" s="220" t="s">
        <v>37</v>
      </c>
      <c r="T145" s="220" t="s">
        <v>37</v>
      </c>
      <c r="U145" s="220" t="s">
        <v>37</v>
      </c>
      <c r="V145" s="220" t="s">
        <v>37</v>
      </c>
      <c r="W145" s="220" t="s">
        <v>37</v>
      </c>
      <c r="X145" s="220" t="s">
        <v>37</v>
      </c>
      <c r="Y145" s="220" t="s">
        <v>37</v>
      </c>
      <c r="Z145" s="220" t="s">
        <v>37</v>
      </c>
      <c r="AA145" s="220" t="s">
        <v>37</v>
      </c>
      <c r="AB145" s="220" t="s">
        <v>37</v>
      </c>
      <c r="AC145" s="220" t="s">
        <v>37</v>
      </c>
      <c r="AE145" s="47"/>
      <c r="AF145" s="44"/>
    </row>
    <row r="146" spans="1:32">
      <c r="A146" s="219" t="s">
        <v>30</v>
      </c>
      <c r="B146" s="220"/>
      <c r="C146" s="220"/>
      <c r="D146" s="220"/>
      <c r="E146" s="220"/>
      <c r="F146" s="220"/>
      <c r="G146" s="220"/>
      <c r="H146" s="220"/>
      <c r="I146" s="220"/>
      <c r="J146" s="220"/>
      <c r="K146" s="220"/>
      <c r="L146" s="220"/>
      <c r="M146" s="220"/>
      <c r="N146" s="220"/>
      <c r="O146" s="220"/>
      <c r="P146" s="220"/>
      <c r="Q146" s="220"/>
      <c r="R146" s="220"/>
      <c r="S146" s="220"/>
      <c r="T146" s="220"/>
      <c r="U146" s="220"/>
      <c r="V146" s="220"/>
      <c r="W146" s="220"/>
      <c r="X146" s="220"/>
      <c r="Y146" s="220"/>
      <c r="Z146" s="220"/>
      <c r="AA146" s="220"/>
      <c r="AB146" s="220"/>
      <c r="AC146" s="220"/>
      <c r="AE146" s="47"/>
      <c r="AF146" s="44"/>
    </row>
    <row r="147" spans="1:32">
      <c r="A147" s="222" t="s">
        <v>179</v>
      </c>
      <c r="B147" s="220"/>
      <c r="C147" s="220"/>
      <c r="D147" s="220"/>
      <c r="E147" s="220"/>
      <c r="F147" s="220"/>
      <c r="G147" s="220"/>
      <c r="H147" s="220"/>
      <c r="I147" s="220"/>
      <c r="J147" s="220"/>
      <c r="K147" s="220"/>
      <c r="L147" s="220"/>
      <c r="M147" s="220"/>
      <c r="N147" s="220"/>
      <c r="O147" s="220"/>
      <c r="P147" s="220"/>
      <c r="Q147" s="220"/>
      <c r="R147" s="220"/>
      <c r="S147" s="220"/>
      <c r="T147" s="220"/>
      <c r="U147" s="220"/>
      <c r="V147" s="220"/>
      <c r="W147" s="220"/>
      <c r="X147" s="220"/>
      <c r="Y147" s="220"/>
      <c r="Z147" s="220"/>
      <c r="AA147" s="220"/>
      <c r="AB147" s="220"/>
      <c r="AC147" s="220"/>
      <c r="AE147" s="47"/>
      <c r="AF147" s="38"/>
    </row>
    <row r="148" spans="1:32">
      <c r="A148" s="219" t="s">
        <v>180</v>
      </c>
      <c r="B148" s="220" t="s">
        <v>37</v>
      </c>
      <c r="C148" s="220" t="s">
        <v>37</v>
      </c>
      <c r="D148" s="220" t="s">
        <v>37</v>
      </c>
      <c r="E148" s="220" t="s">
        <v>37</v>
      </c>
      <c r="F148" s="220" t="s">
        <v>37</v>
      </c>
      <c r="G148" s="220" t="s">
        <v>37</v>
      </c>
      <c r="H148" s="220" t="s">
        <v>37</v>
      </c>
      <c r="I148" s="223">
        <v>40000</v>
      </c>
      <c r="J148" s="223">
        <v>633481</v>
      </c>
      <c r="K148" s="223">
        <v>905918</v>
      </c>
      <c r="L148" s="223">
        <v>1443658</v>
      </c>
      <c r="M148" s="223">
        <v>887723</v>
      </c>
      <c r="N148" s="223">
        <v>1348296</v>
      </c>
      <c r="O148" s="223">
        <v>1624502</v>
      </c>
      <c r="P148" s="223">
        <v>751364</v>
      </c>
      <c r="Q148" s="223">
        <v>1432530</v>
      </c>
      <c r="R148" s="223">
        <v>2206061</v>
      </c>
      <c r="S148" s="223">
        <v>846605</v>
      </c>
      <c r="T148" s="223">
        <v>1495619</v>
      </c>
      <c r="U148" s="223">
        <v>744519</v>
      </c>
      <c r="V148" s="223">
        <v>2001630</v>
      </c>
      <c r="W148" s="223">
        <v>1102636</v>
      </c>
      <c r="X148" s="223">
        <v>3114350</v>
      </c>
      <c r="Y148" s="223">
        <v>2183665</v>
      </c>
      <c r="Z148" s="223">
        <v>2008467</v>
      </c>
      <c r="AA148" s="223">
        <v>1358681</v>
      </c>
      <c r="AB148" s="223">
        <v>2806659</v>
      </c>
      <c r="AC148" s="220" t="s">
        <v>37</v>
      </c>
      <c r="AE148" s="47"/>
      <c r="AF148" s="44"/>
    </row>
    <row r="149" spans="1:32">
      <c r="A149" s="219" t="s">
        <v>181</v>
      </c>
      <c r="B149" s="220" t="s">
        <v>37</v>
      </c>
      <c r="C149" s="220" t="s">
        <v>37</v>
      </c>
      <c r="D149" s="220" t="s">
        <v>37</v>
      </c>
      <c r="E149" s="220" t="s">
        <v>37</v>
      </c>
      <c r="F149" s="220" t="s">
        <v>37</v>
      </c>
      <c r="G149" s="220" t="s">
        <v>37</v>
      </c>
      <c r="H149" s="220" t="s">
        <v>37</v>
      </c>
      <c r="I149" s="223">
        <v>593481</v>
      </c>
      <c r="J149" s="223">
        <v>1335822</v>
      </c>
      <c r="K149" s="223">
        <v>1580805</v>
      </c>
      <c r="L149" s="223">
        <v>877696</v>
      </c>
      <c r="M149" s="223">
        <v>3308228</v>
      </c>
      <c r="N149" s="223">
        <v>1608819</v>
      </c>
      <c r="O149" s="223">
        <v>756106</v>
      </c>
      <c r="P149" s="223">
        <v>1479728</v>
      </c>
      <c r="Q149" s="223">
        <v>2286746</v>
      </c>
      <c r="R149" s="223">
        <v>1993077</v>
      </c>
      <c r="S149" s="223">
        <v>1781539</v>
      </c>
      <c r="T149" s="223">
        <v>1145517</v>
      </c>
      <c r="U149" s="223">
        <v>2271378</v>
      </c>
      <c r="V149" s="223">
        <v>2856960</v>
      </c>
      <c r="W149" s="223">
        <v>3107133</v>
      </c>
      <c r="X149" s="223">
        <v>3034094</v>
      </c>
      <c r="Y149" s="223">
        <v>941499</v>
      </c>
      <c r="Z149" s="223">
        <v>1010039</v>
      </c>
      <c r="AA149" s="223">
        <v>1922355</v>
      </c>
      <c r="AB149" s="223">
        <v>1623918</v>
      </c>
      <c r="AC149" s="220" t="s">
        <v>37</v>
      </c>
      <c r="AE149" s="47"/>
      <c r="AF149" s="44"/>
    </row>
    <row r="150" spans="1:32">
      <c r="A150" s="219" t="s">
        <v>182</v>
      </c>
      <c r="B150" s="220" t="s">
        <v>37</v>
      </c>
      <c r="C150" s="220" t="s">
        <v>37</v>
      </c>
      <c r="D150" s="220" t="s">
        <v>37</v>
      </c>
      <c r="E150" s="220" t="s">
        <v>37</v>
      </c>
      <c r="F150" s="220" t="s">
        <v>37</v>
      </c>
      <c r="G150" s="220" t="s">
        <v>37</v>
      </c>
      <c r="H150" s="220" t="s">
        <v>37</v>
      </c>
      <c r="I150" s="223">
        <v>1335822</v>
      </c>
      <c r="J150" s="223">
        <v>1512762</v>
      </c>
      <c r="K150" s="223">
        <v>864829</v>
      </c>
      <c r="L150" s="223">
        <v>1363078</v>
      </c>
      <c r="M150" s="223">
        <v>1881766</v>
      </c>
      <c r="N150" s="223">
        <v>895089</v>
      </c>
      <c r="O150" s="223">
        <v>1646952</v>
      </c>
      <c r="P150" s="223">
        <v>2001348</v>
      </c>
      <c r="Q150" s="223">
        <v>3048965</v>
      </c>
      <c r="R150" s="223">
        <v>2937213</v>
      </c>
      <c r="S150" s="223">
        <v>2209969</v>
      </c>
      <c r="T150" s="223">
        <v>1755370</v>
      </c>
      <c r="U150" s="223">
        <v>3356424</v>
      </c>
      <c r="V150" s="223">
        <v>4492801</v>
      </c>
      <c r="W150" s="223">
        <v>3056114</v>
      </c>
      <c r="X150" s="223">
        <v>1987662</v>
      </c>
      <c r="Y150" s="223">
        <v>813943</v>
      </c>
      <c r="Z150" s="223">
        <v>2098866</v>
      </c>
      <c r="AA150" s="223">
        <v>3236031</v>
      </c>
      <c r="AB150" s="223">
        <v>2743166</v>
      </c>
      <c r="AC150" s="220" t="s">
        <v>37</v>
      </c>
      <c r="AE150" s="47"/>
      <c r="AF150" s="44"/>
    </row>
    <row r="151" spans="1:32">
      <c r="A151" s="219" t="s">
        <v>183</v>
      </c>
      <c r="B151" s="220" t="s">
        <v>37</v>
      </c>
      <c r="C151" s="220" t="s">
        <v>37</v>
      </c>
      <c r="D151" s="220" t="s">
        <v>37</v>
      </c>
      <c r="E151" s="220" t="s">
        <v>37</v>
      </c>
      <c r="F151" s="220" t="s">
        <v>37</v>
      </c>
      <c r="G151" s="220" t="s">
        <v>37</v>
      </c>
      <c r="H151" s="220" t="s">
        <v>37</v>
      </c>
      <c r="I151" s="223">
        <v>1512762</v>
      </c>
      <c r="J151" s="223">
        <v>849597</v>
      </c>
      <c r="K151" s="223">
        <v>1139916</v>
      </c>
      <c r="L151" s="223">
        <v>1480073</v>
      </c>
      <c r="M151" s="223">
        <v>999229</v>
      </c>
      <c r="N151" s="223">
        <v>1662742</v>
      </c>
      <c r="O151" s="223">
        <v>2014951</v>
      </c>
      <c r="P151" s="223">
        <v>2011581</v>
      </c>
      <c r="Q151" s="223">
        <v>2942703</v>
      </c>
      <c r="R151" s="223">
        <v>2421318</v>
      </c>
      <c r="S151" s="223">
        <v>1796821</v>
      </c>
      <c r="T151" s="223">
        <v>2581263</v>
      </c>
      <c r="U151" s="223">
        <v>4612182</v>
      </c>
      <c r="V151" s="223">
        <v>3409082</v>
      </c>
      <c r="W151" s="223">
        <v>2308537</v>
      </c>
      <c r="X151" s="223">
        <v>1340370</v>
      </c>
      <c r="Y151" s="223">
        <v>3206992</v>
      </c>
      <c r="Z151" s="223">
        <v>3129802</v>
      </c>
      <c r="AA151" s="223">
        <v>3485476</v>
      </c>
      <c r="AB151" s="223">
        <v>1884110</v>
      </c>
      <c r="AC151" s="220" t="s">
        <v>37</v>
      </c>
      <c r="AE151" s="47"/>
      <c r="AF151" s="44"/>
    </row>
    <row r="152" spans="1:32">
      <c r="A152" s="219" t="s">
        <v>184</v>
      </c>
      <c r="B152" s="220" t="s">
        <v>37</v>
      </c>
      <c r="C152" s="220" t="s">
        <v>37</v>
      </c>
      <c r="D152" s="220" t="s">
        <v>37</v>
      </c>
      <c r="E152" s="220" t="s">
        <v>37</v>
      </c>
      <c r="F152" s="220" t="s">
        <v>37</v>
      </c>
      <c r="G152" s="220" t="s">
        <v>37</v>
      </c>
      <c r="H152" s="220" t="s">
        <v>37</v>
      </c>
      <c r="I152" s="223">
        <v>849597</v>
      </c>
      <c r="J152" s="223">
        <v>833673</v>
      </c>
      <c r="K152" s="223">
        <v>1488389</v>
      </c>
      <c r="L152" s="223">
        <v>651540</v>
      </c>
      <c r="M152" s="223">
        <v>1677783</v>
      </c>
      <c r="N152" s="223">
        <v>1892636</v>
      </c>
      <c r="O152" s="223">
        <v>2325071</v>
      </c>
      <c r="P152" s="223">
        <v>2213591</v>
      </c>
      <c r="Q152" s="223">
        <v>2039499</v>
      </c>
      <c r="R152" s="223">
        <v>2626535</v>
      </c>
      <c r="S152" s="223">
        <v>1644962</v>
      </c>
      <c r="T152" s="223">
        <v>3711040</v>
      </c>
      <c r="U152" s="223">
        <v>3078022</v>
      </c>
      <c r="V152" s="223">
        <v>1750000</v>
      </c>
      <c r="W152" s="223">
        <v>1341686</v>
      </c>
      <c r="X152" s="223">
        <v>3147132</v>
      </c>
      <c r="Y152" s="223">
        <v>2718166</v>
      </c>
      <c r="Z152" s="223">
        <v>3554072</v>
      </c>
      <c r="AA152" s="223">
        <v>1896748</v>
      </c>
      <c r="AB152" s="223">
        <v>2880447</v>
      </c>
      <c r="AC152" s="220" t="s">
        <v>37</v>
      </c>
      <c r="AE152" s="47"/>
      <c r="AF152" s="44"/>
    </row>
    <row r="153" spans="1:32">
      <c r="A153" s="219" t="s">
        <v>185</v>
      </c>
      <c r="B153" s="220" t="s">
        <v>37</v>
      </c>
      <c r="C153" s="220" t="s">
        <v>37</v>
      </c>
      <c r="D153" s="220" t="s">
        <v>37</v>
      </c>
      <c r="E153" s="220" t="s">
        <v>37</v>
      </c>
      <c r="F153" s="220" t="s">
        <v>37</v>
      </c>
      <c r="G153" s="220" t="s">
        <v>37</v>
      </c>
      <c r="H153" s="220" t="s">
        <v>37</v>
      </c>
      <c r="I153" s="223">
        <v>4528562</v>
      </c>
      <c r="J153" s="223">
        <v>3694889</v>
      </c>
      <c r="K153" s="223">
        <v>3540451</v>
      </c>
      <c r="L153" s="223">
        <v>4439020</v>
      </c>
      <c r="M153" s="223">
        <v>5701479</v>
      </c>
      <c r="N153" s="223">
        <v>6613389</v>
      </c>
      <c r="O153" s="223">
        <v>6972574</v>
      </c>
      <c r="P153" s="223">
        <v>8722059</v>
      </c>
      <c r="Q153" s="223">
        <v>6274890</v>
      </c>
      <c r="R153" s="223">
        <v>6436364</v>
      </c>
      <c r="S153" s="223">
        <v>9188836</v>
      </c>
      <c r="T153" s="223">
        <v>7732562</v>
      </c>
      <c r="U153" s="223">
        <v>8988225</v>
      </c>
      <c r="V153" s="223">
        <v>9052609</v>
      </c>
      <c r="W153" s="223">
        <v>9927865</v>
      </c>
      <c r="X153" s="223">
        <v>9878669</v>
      </c>
      <c r="Y153" s="223">
        <v>13235185</v>
      </c>
      <c r="Z153" s="223">
        <v>12908319</v>
      </c>
      <c r="AA153" s="223">
        <v>11468033</v>
      </c>
      <c r="AB153" s="223">
        <v>12307156</v>
      </c>
      <c r="AC153" s="220" t="s">
        <v>37</v>
      </c>
      <c r="AE153" s="47"/>
      <c r="AF153" s="44"/>
    </row>
    <row r="154" spans="1:32">
      <c r="A154" s="219" t="s">
        <v>30</v>
      </c>
      <c r="B154" s="220"/>
      <c r="C154" s="220"/>
      <c r="D154" s="220"/>
      <c r="E154" s="220"/>
      <c r="F154" s="220"/>
      <c r="G154" s="220"/>
      <c r="H154" s="220"/>
      <c r="I154" s="220"/>
      <c r="J154" s="220"/>
      <c r="K154" s="220"/>
      <c r="L154" s="220"/>
      <c r="M154" s="220"/>
      <c r="N154" s="220"/>
      <c r="O154" s="220"/>
      <c r="P154" s="220"/>
      <c r="Q154" s="220"/>
      <c r="R154" s="220"/>
      <c r="S154" s="220"/>
      <c r="T154" s="220"/>
      <c r="U154" s="220"/>
      <c r="V154" s="220"/>
      <c r="W154" s="220"/>
      <c r="X154" s="220"/>
      <c r="Y154" s="220"/>
      <c r="Z154" s="220"/>
      <c r="AA154" s="220"/>
      <c r="AB154" s="220"/>
      <c r="AC154" s="220"/>
      <c r="AE154" s="47"/>
      <c r="AF154" s="44"/>
    </row>
    <row r="155" spans="1:32">
      <c r="A155" s="222" t="s">
        <v>186</v>
      </c>
      <c r="B155" s="220"/>
      <c r="C155" s="220"/>
      <c r="D155" s="220"/>
      <c r="E155" s="220"/>
      <c r="F155" s="220"/>
      <c r="G155" s="220"/>
      <c r="H155" s="220"/>
      <c r="I155" s="220"/>
      <c r="J155" s="220"/>
      <c r="K155" s="220"/>
      <c r="L155" s="220"/>
      <c r="M155" s="220"/>
      <c r="N155" s="220"/>
      <c r="O155" s="220"/>
      <c r="P155" s="220"/>
      <c r="Q155" s="220"/>
      <c r="R155" s="220"/>
      <c r="S155" s="220"/>
      <c r="T155" s="220"/>
      <c r="U155" s="220"/>
      <c r="V155" s="220"/>
      <c r="W155" s="220"/>
      <c r="X155" s="220"/>
      <c r="Y155" s="220"/>
      <c r="Z155" s="220"/>
      <c r="AA155" s="220"/>
      <c r="AB155" s="220"/>
      <c r="AC155" s="220"/>
      <c r="AE155" s="47"/>
      <c r="AF155" s="38"/>
    </row>
    <row r="156" spans="1:32">
      <c r="A156" s="219" t="s">
        <v>187</v>
      </c>
      <c r="B156" s="223">
        <v>9662</v>
      </c>
      <c r="C156" s="223">
        <v>7097</v>
      </c>
      <c r="D156" s="223">
        <v>159982</v>
      </c>
      <c r="E156" s="223">
        <v>49829</v>
      </c>
      <c r="F156" s="223">
        <v>390835</v>
      </c>
      <c r="G156" s="223">
        <v>1030354</v>
      </c>
      <c r="H156" s="223">
        <v>1161725</v>
      </c>
      <c r="I156" s="223">
        <v>1164354</v>
      </c>
      <c r="J156" s="223">
        <v>665485</v>
      </c>
      <c r="K156" s="223">
        <v>939882</v>
      </c>
      <c r="L156" s="223">
        <v>1480850</v>
      </c>
      <c r="M156" s="223">
        <v>1542161</v>
      </c>
      <c r="N156" s="223">
        <v>1414042</v>
      </c>
      <c r="O156" s="223">
        <v>1683966</v>
      </c>
      <c r="P156" s="223">
        <v>809667</v>
      </c>
      <c r="Q156" s="223">
        <v>1475510</v>
      </c>
      <c r="R156" s="223">
        <v>2311705</v>
      </c>
      <c r="S156" s="223">
        <v>895575</v>
      </c>
      <c r="T156" s="223">
        <v>1564661</v>
      </c>
      <c r="U156" s="223">
        <v>821637</v>
      </c>
      <c r="V156" s="223">
        <v>2072529</v>
      </c>
      <c r="W156" s="223">
        <v>1174796</v>
      </c>
      <c r="X156" s="223">
        <v>3168580</v>
      </c>
      <c r="Y156" s="223">
        <v>2233249</v>
      </c>
      <c r="Z156" s="223">
        <v>2060959</v>
      </c>
      <c r="AA156" s="223">
        <v>1416309</v>
      </c>
      <c r="AB156" s="223">
        <v>2857060</v>
      </c>
      <c r="AC156" s="223">
        <v>2289781</v>
      </c>
      <c r="AE156" s="57"/>
      <c r="AF156" s="44"/>
    </row>
    <row r="157" spans="1:32">
      <c r="A157" s="219" t="s">
        <v>188</v>
      </c>
      <c r="B157" s="223">
        <v>12517</v>
      </c>
      <c r="C157" s="223">
        <v>234953</v>
      </c>
      <c r="D157" s="223">
        <v>119023</v>
      </c>
      <c r="E157" s="223">
        <v>367699</v>
      </c>
      <c r="F157" s="223">
        <v>1209011</v>
      </c>
      <c r="G157" s="223">
        <v>1464646</v>
      </c>
      <c r="H157" s="223">
        <v>268474</v>
      </c>
      <c r="I157" s="223">
        <v>779381</v>
      </c>
      <c r="J157" s="223">
        <v>1358315</v>
      </c>
      <c r="K157" s="223">
        <v>1615606</v>
      </c>
      <c r="L157" s="223">
        <v>913105</v>
      </c>
      <c r="M157" s="223">
        <v>2772108</v>
      </c>
      <c r="N157" s="223">
        <v>1657409</v>
      </c>
      <c r="O157" s="223">
        <v>809667</v>
      </c>
      <c r="P157" s="223">
        <v>1654043</v>
      </c>
      <c r="Q157" s="223">
        <v>2301674</v>
      </c>
      <c r="R157" s="223">
        <v>2015128</v>
      </c>
      <c r="S157" s="223">
        <v>1823095</v>
      </c>
      <c r="T157" s="223">
        <v>1211305</v>
      </c>
      <c r="U157" s="223">
        <v>2337975</v>
      </c>
      <c r="V157" s="223">
        <v>2932946</v>
      </c>
      <c r="W157" s="223">
        <v>3132728</v>
      </c>
      <c r="X157" s="223">
        <v>3043067</v>
      </c>
      <c r="Y157" s="223">
        <v>994305</v>
      </c>
      <c r="Z157" s="223">
        <v>1064485</v>
      </c>
      <c r="AA157" s="223">
        <v>1972316</v>
      </c>
      <c r="AB157" s="223">
        <v>1666478</v>
      </c>
      <c r="AC157" s="223">
        <v>4811599</v>
      </c>
      <c r="AE157" s="57"/>
      <c r="AF157" s="44"/>
    </row>
    <row r="158" spans="1:32">
      <c r="A158" s="219" t="s">
        <v>189</v>
      </c>
      <c r="B158" s="223">
        <v>88280</v>
      </c>
      <c r="C158" s="223">
        <v>317124</v>
      </c>
      <c r="D158" s="223">
        <v>431984</v>
      </c>
      <c r="E158" s="223">
        <v>476255</v>
      </c>
      <c r="F158" s="223">
        <v>291740</v>
      </c>
      <c r="G158" s="223">
        <v>260382</v>
      </c>
      <c r="H158" s="223">
        <v>1563601</v>
      </c>
      <c r="I158" s="223">
        <v>1841814</v>
      </c>
      <c r="J158" s="223">
        <v>1532302</v>
      </c>
      <c r="K158" s="223">
        <v>896788</v>
      </c>
      <c r="L158" s="223">
        <v>1407980</v>
      </c>
      <c r="M158" s="223">
        <v>1920225</v>
      </c>
      <c r="N158" s="223">
        <v>944681</v>
      </c>
      <c r="O158" s="223">
        <v>1653486</v>
      </c>
      <c r="P158" s="223">
        <v>2292483</v>
      </c>
      <c r="Q158" s="223">
        <v>3050576</v>
      </c>
      <c r="R158" s="223">
        <v>2950700</v>
      </c>
      <c r="S158" s="223">
        <v>2306160</v>
      </c>
      <c r="T158" s="223">
        <v>1792649</v>
      </c>
      <c r="U158" s="223">
        <v>3432360</v>
      </c>
      <c r="V158" s="223">
        <v>4497153</v>
      </c>
      <c r="W158" s="223">
        <v>3043067</v>
      </c>
      <c r="X158" s="223">
        <v>2021937</v>
      </c>
      <c r="Y158" s="223">
        <v>867323</v>
      </c>
      <c r="Z158" s="223">
        <v>2142596</v>
      </c>
      <c r="AA158" s="223">
        <v>3271997</v>
      </c>
      <c r="AB158" s="223">
        <v>2747980</v>
      </c>
      <c r="AC158" s="223">
        <v>1820606</v>
      </c>
      <c r="AE158" s="57"/>
      <c r="AF158" s="44"/>
    </row>
    <row r="159" spans="1:32">
      <c r="A159" s="219" t="s">
        <v>190</v>
      </c>
      <c r="B159" s="223">
        <v>192176</v>
      </c>
      <c r="C159" s="223">
        <v>164751</v>
      </c>
      <c r="D159" s="223">
        <v>250013</v>
      </c>
      <c r="E159" s="223">
        <v>395147</v>
      </c>
      <c r="F159" s="223">
        <v>250091</v>
      </c>
      <c r="G159" s="223">
        <v>835067</v>
      </c>
      <c r="H159" s="223">
        <v>1135047</v>
      </c>
      <c r="I159" s="223">
        <v>1490759</v>
      </c>
      <c r="J159" s="223">
        <v>867941</v>
      </c>
      <c r="K159" s="223">
        <v>1167415</v>
      </c>
      <c r="L159" s="223">
        <v>1491031</v>
      </c>
      <c r="M159" s="223">
        <v>1044997</v>
      </c>
      <c r="N159" s="223">
        <v>1653307</v>
      </c>
      <c r="O159" s="223">
        <v>2001021</v>
      </c>
      <c r="P159" s="223">
        <v>4355900</v>
      </c>
      <c r="Q159" s="223">
        <v>2938395</v>
      </c>
      <c r="R159" s="223">
        <v>2493227</v>
      </c>
      <c r="S159" s="223">
        <v>1796160</v>
      </c>
      <c r="T159" s="223">
        <v>2645550</v>
      </c>
      <c r="U159" s="223">
        <v>4566856</v>
      </c>
      <c r="V159" s="223">
        <v>3382562</v>
      </c>
      <c r="W159" s="223">
        <v>2342812</v>
      </c>
      <c r="X159" s="223">
        <v>1369857</v>
      </c>
      <c r="Y159" s="223">
        <v>3246897</v>
      </c>
      <c r="Z159" s="223">
        <v>3157745</v>
      </c>
      <c r="AA159" s="223">
        <v>3471138</v>
      </c>
      <c r="AB159" s="223">
        <v>1868669</v>
      </c>
      <c r="AC159" s="223">
        <v>3020584.0000000005</v>
      </c>
      <c r="AE159" s="57"/>
      <c r="AF159" s="44"/>
    </row>
    <row r="160" spans="1:32">
      <c r="A160" s="219" t="s">
        <v>191</v>
      </c>
      <c r="B160" s="223">
        <v>166888</v>
      </c>
      <c r="C160" s="223">
        <v>227631</v>
      </c>
      <c r="D160" s="223">
        <v>240225</v>
      </c>
      <c r="E160" s="223">
        <v>659950</v>
      </c>
      <c r="F160" s="223">
        <v>496321</v>
      </c>
      <c r="G160" s="223">
        <v>722514</v>
      </c>
      <c r="H160" s="223">
        <v>1083039</v>
      </c>
      <c r="I160" s="223">
        <v>816058</v>
      </c>
      <c r="J160" s="223">
        <v>846738</v>
      </c>
      <c r="K160" s="223">
        <v>1478053</v>
      </c>
      <c r="L160" s="223">
        <v>691417</v>
      </c>
      <c r="M160" s="223">
        <v>1653507</v>
      </c>
      <c r="N160" s="223">
        <v>1883252</v>
      </c>
      <c r="O160" s="223">
        <v>2309420</v>
      </c>
      <c r="P160" s="223">
        <v>2202532</v>
      </c>
      <c r="Q160" s="223">
        <v>2034735</v>
      </c>
      <c r="R160" s="223">
        <v>2675490</v>
      </c>
      <c r="S160" s="223">
        <v>1680043</v>
      </c>
      <c r="T160" s="223">
        <v>3652149</v>
      </c>
      <c r="U160" s="223">
        <v>3022643</v>
      </c>
      <c r="V160" s="223">
        <v>1791818</v>
      </c>
      <c r="W160" s="223">
        <v>1369857</v>
      </c>
      <c r="X160" s="223">
        <v>3159632</v>
      </c>
      <c r="Y160" s="223">
        <v>2740755</v>
      </c>
      <c r="Z160" s="223">
        <v>3521890</v>
      </c>
      <c r="AA160" s="223">
        <v>1869674</v>
      </c>
      <c r="AB160" s="223">
        <v>2896466</v>
      </c>
      <c r="AC160" s="223">
        <v>2945753</v>
      </c>
      <c r="AE160" s="57"/>
      <c r="AF160" s="44"/>
    </row>
    <row r="161" spans="1:32">
      <c r="A161" s="219" t="s">
        <v>192</v>
      </c>
      <c r="B161" s="223">
        <v>988415</v>
      </c>
      <c r="C161" s="223">
        <v>986535</v>
      </c>
      <c r="D161" s="223">
        <v>779532</v>
      </c>
      <c r="E161" s="223">
        <v>1720645</v>
      </c>
      <c r="F161" s="223">
        <v>2442335</v>
      </c>
      <c r="G161" s="223">
        <v>3644269</v>
      </c>
      <c r="H161" s="223">
        <v>3550301</v>
      </c>
      <c r="I161" s="223">
        <v>2637787</v>
      </c>
      <c r="J161" s="223">
        <v>3589443</v>
      </c>
      <c r="K161" s="223">
        <v>3422564</v>
      </c>
      <c r="L161" s="223">
        <v>4270682</v>
      </c>
      <c r="M161" s="223">
        <v>5523211</v>
      </c>
      <c r="N161" s="223">
        <v>6468280</v>
      </c>
      <c r="O161" s="223">
        <v>6882596</v>
      </c>
      <c r="P161" s="223">
        <v>5865046</v>
      </c>
      <c r="Q161" s="223">
        <v>6224443</v>
      </c>
      <c r="R161" s="223">
        <v>6174318</v>
      </c>
      <c r="S161" s="223">
        <v>8967699</v>
      </c>
      <c r="T161" s="223">
        <v>7555054</v>
      </c>
      <c r="U161" s="223">
        <v>8869279</v>
      </c>
      <c r="V161" s="223">
        <v>8886074</v>
      </c>
      <c r="W161" s="223">
        <v>9780711</v>
      </c>
      <c r="X161" s="223">
        <v>9739204</v>
      </c>
      <c r="Y161" s="223">
        <v>13016921</v>
      </c>
      <c r="Z161" s="223">
        <v>12761890</v>
      </c>
      <c r="AA161" s="223">
        <v>11365890</v>
      </c>
      <c r="AB161" s="223">
        <v>12208803</v>
      </c>
      <c r="AC161" s="223">
        <v>11720264.000000002</v>
      </c>
      <c r="AE161" s="57"/>
      <c r="AF161" s="44"/>
    </row>
    <row r="162" spans="1:32">
      <c r="A162" s="219" t="s">
        <v>193</v>
      </c>
      <c r="B162" s="223">
        <v>0</v>
      </c>
      <c r="C162" s="223">
        <v>0</v>
      </c>
      <c r="D162" s="223">
        <v>0</v>
      </c>
      <c r="E162" s="223">
        <v>12459</v>
      </c>
      <c r="F162" s="223">
        <v>-2343</v>
      </c>
      <c r="G162" s="223">
        <v>16140</v>
      </c>
      <c r="H162" s="223">
        <v>6764</v>
      </c>
      <c r="I162" s="223">
        <v>-1571</v>
      </c>
      <c r="J162" s="223">
        <v>-18846</v>
      </c>
      <c r="K162" s="223">
        <v>25773</v>
      </c>
      <c r="L162" s="223">
        <v>11323</v>
      </c>
      <c r="M162" s="223">
        <v>130184</v>
      </c>
      <c r="N162" s="223">
        <v>85146</v>
      </c>
      <c r="O162" s="223">
        <v>54333</v>
      </c>
      <c r="P162" s="223">
        <v>39003</v>
      </c>
      <c r="Q162" s="223">
        <v>17199</v>
      </c>
      <c r="R162" s="223">
        <v>9734</v>
      </c>
      <c r="S162" s="223">
        <v>5028</v>
      </c>
      <c r="T162" s="223">
        <v>25072</v>
      </c>
      <c r="U162" s="223">
        <v>62257</v>
      </c>
      <c r="V162" s="223">
        <v>25449</v>
      </c>
      <c r="W162" s="223">
        <v>-75717</v>
      </c>
      <c r="X162" s="223">
        <v>-85595</v>
      </c>
      <c r="Y162" s="223">
        <v>-122346</v>
      </c>
      <c r="Z162" s="223">
        <v>-145522</v>
      </c>
      <c r="AA162" s="223">
        <v>-129044</v>
      </c>
      <c r="AB162" s="223">
        <v>-149481</v>
      </c>
      <c r="AC162" s="223">
        <v>-132254</v>
      </c>
      <c r="AE162" s="57"/>
      <c r="AF162" s="44"/>
    </row>
    <row r="163" spans="1:32">
      <c r="A163" s="328"/>
      <c r="B163" s="239"/>
      <c r="C163" s="239"/>
      <c r="D163" s="239"/>
      <c r="E163" s="239"/>
      <c r="F163" s="239"/>
      <c r="G163" s="239"/>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row>
    <row r="164" spans="1:32">
      <c r="A164" s="240" t="s">
        <v>194</v>
      </c>
      <c r="B164" s="239"/>
      <c r="C164" s="239"/>
      <c r="D164" s="239"/>
      <c r="E164" s="239"/>
      <c r="F164" s="239"/>
      <c r="G164" s="239"/>
      <c r="H164" s="239"/>
      <c r="I164" s="239"/>
      <c r="J164" s="239"/>
      <c r="K164" s="239"/>
      <c r="L164" s="239"/>
      <c r="M164" s="239"/>
      <c r="N164" s="239"/>
      <c r="O164" s="239"/>
      <c r="P164" s="239"/>
      <c r="Q164" s="239"/>
      <c r="R164" s="239"/>
      <c r="S164" s="239"/>
      <c r="T164" s="239"/>
      <c r="U164" s="239"/>
      <c r="V164" s="239"/>
      <c r="W164" s="239"/>
      <c r="X164" s="239"/>
      <c r="Y164" s="239"/>
      <c r="Z164" s="239"/>
      <c r="AA164" s="239"/>
      <c r="AB164" s="239"/>
      <c r="AC164" s="239"/>
    </row>
    <row r="165" spans="1:32">
      <c r="A165" s="219" t="s">
        <v>195</v>
      </c>
      <c r="N165" s="241">
        <f>'CF SP'!M23/Everything!N148</f>
        <v>0.86803713724582732</v>
      </c>
      <c r="O165" s="241">
        <f>'CF SP'!N23/Everything!O148</f>
        <v>0.81018552147057987</v>
      </c>
      <c r="P165" s="241">
        <f>'CF SP'!O23/Everything!P148</f>
        <v>2.0754680820481153</v>
      </c>
      <c r="Q165" s="241">
        <f>'CF SP'!P23/Everything!Q148</f>
        <v>1.141956538432005</v>
      </c>
      <c r="R165" s="241">
        <f>'CF SP'!Q23/Everything!R148</f>
        <v>0.77990590468713239</v>
      </c>
      <c r="S165" s="241">
        <f>'CF SP'!R23/Everything!S148</f>
        <v>2.0732336804058562</v>
      </c>
      <c r="T165" s="241">
        <f>'CF SP'!S23/Everything!T148</f>
        <v>1.3411751254831612</v>
      </c>
      <c r="U165" s="241">
        <f>'CF SP'!T23/Everything!U148</f>
        <v>3.3754303113822481</v>
      </c>
      <c r="V165" s="241">
        <f>'CF SP'!U23/Everything!V148</f>
        <v>1.3493982404340463</v>
      </c>
      <c r="W165" s="241">
        <f>'CF SP'!V23/Everything!W148</f>
        <v>2.4762659662844313</v>
      </c>
      <c r="X165" s="241">
        <f>'CF SP'!W23/Everything!X148</f>
        <v>0.97120908054650246</v>
      </c>
      <c r="Y165" s="241">
        <f>'CF SP'!X23/Everything!Y148</f>
        <v>1.5445107193640051</v>
      </c>
      <c r="Z165" s="241">
        <f>'CF SP'!Y23/Everything!Z148</f>
        <v>1.7893189183591267</v>
      </c>
      <c r="AA165" s="241">
        <f>'CF SP'!Z23/Everything!AA148</f>
        <v>2.7606156264789159</v>
      </c>
      <c r="AB165" s="241">
        <f>'CF SP'!AA23/Everything!AB148</f>
        <v>1.3567130884086738</v>
      </c>
    </row>
    <row r="167" spans="1:32" s="207" customFormat="1" ht="15.5">
      <c r="A167" s="242" t="s">
        <v>196</v>
      </c>
      <c r="B167" s="243"/>
      <c r="C167" s="243"/>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c r="AA167" s="243"/>
      <c r="AB167" s="243"/>
      <c r="AC167" s="243"/>
    </row>
    <row r="168" spans="1:32">
      <c r="A168" s="244" t="s">
        <v>197</v>
      </c>
    </row>
    <row r="169" spans="1:32" ht="14.25" customHeight="1">
      <c r="A169" s="245" t="s">
        <v>198</v>
      </c>
      <c r="L169" s="246">
        <v>0.94</v>
      </c>
      <c r="M169" s="246">
        <f>85.8%+3.6%</f>
        <v>0.89400000000000002</v>
      </c>
      <c r="N169" s="246">
        <f>76.4%+12.1%</f>
        <v>0.88500000000000001</v>
      </c>
      <c r="O169" s="246">
        <f>77.3%+12.7%</f>
        <v>0.9</v>
      </c>
      <c r="P169" s="246">
        <f>75.7%+13.7%</f>
        <v>0.89400000000000002</v>
      </c>
      <c r="Q169" s="246">
        <f>66.8%+17.9%</f>
        <v>0.84699999999999998</v>
      </c>
      <c r="R169" s="246">
        <f>67.4%+19.7%</f>
        <v>0.871</v>
      </c>
      <c r="S169" s="246">
        <v>0.879</v>
      </c>
      <c r="T169" s="246">
        <v>0.88300000000000001</v>
      </c>
      <c r="U169" s="246">
        <v>0.81799999999999995</v>
      </c>
      <c r="V169" s="247">
        <v>0.79400000000000004</v>
      </c>
      <c r="W169" s="247">
        <v>0.79900000000000004</v>
      </c>
      <c r="X169" s="247">
        <v>0.80700000000000005</v>
      </c>
      <c r="Y169" s="247">
        <v>0.80400000000000005</v>
      </c>
      <c r="Z169" s="247">
        <v>0.79900000000000004</v>
      </c>
      <c r="AA169" s="247">
        <v>0.79</v>
      </c>
      <c r="AB169" s="247">
        <v>0.79</v>
      </c>
      <c r="AC169" s="246">
        <v>0.79400000000000004</v>
      </c>
      <c r="AD169" s="6">
        <v>0.72099999999999997</v>
      </c>
      <c r="AE169" s="6">
        <v>0.71299999999999997</v>
      </c>
    </row>
    <row r="170" spans="1:32">
      <c r="A170" s="245" t="s">
        <v>199</v>
      </c>
      <c r="K170" s="223"/>
      <c r="L170" s="453">
        <f t="shared" ref="L170:P170" si="2">L$37*L169</f>
        <v>1363709.7</v>
      </c>
      <c r="M170" s="453">
        <f t="shared" si="2"/>
        <v>1499883.4680000001</v>
      </c>
      <c r="N170" s="453">
        <f t="shared" si="2"/>
        <v>1837653.825</v>
      </c>
      <c r="O170" s="453">
        <f t="shared" si="2"/>
        <v>1967845.5</v>
      </c>
      <c r="P170" s="453">
        <f t="shared" si="2"/>
        <v>2032464.3</v>
      </c>
      <c r="Q170" s="453">
        <f t="shared" ref="Q170:V170" si="3">Q$37*Q169</f>
        <v>2060092.034</v>
      </c>
      <c r="R170" s="453">
        <f t="shared" si="3"/>
        <v>2166124.7400000002</v>
      </c>
      <c r="S170" s="453">
        <f t="shared" si="3"/>
        <v>2309410.764</v>
      </c>
      <c r="T170" s="453">
        <f t="shared" si="3"/>
        <v>2572889.8149999999</v>
      </c>
      <c r="U170" s="453">
        <f t="shared" si="3"/>
        <v>2768555.3559999997</v>
      </c>
      <c r="V170" s="453">
        <f t="shared" si="3"/>
        <v>2907033.2940000002</v>
      </c>
      <c r="W170" s="453">
        <f>W$37*W169</f>
        <v>2774490.7460000003</v>
      </c>
      <c r="X170" s="453">
        <f t="shared" ref="X170:Y170" si="4">X$37*X169</f>
        <v>2943904.5270000002</v>
      </c>
      <c r="Y170" s="453">
        <f t="shared" si="4"/>
        <v>3104811.6240000003</v>
      </c>
      <c r="Z170" s="453">
        <f t="shared" ref="Z170:AE170" si="5">Z$37*Z169</f>
        <v>3146395.6830000002</v>
      </c>
      <c r="AA170" s="453">
        <f t="shared" si="5"/>
        <v>3125660.2800000003</v>
      </c>
      <c r="AB170" s="453">
        <f t="shared" si="5"/>
        <v>3182344.3600000003</v>
      </c>
      <c r="AC170" s="453">
        <f t="shared" si="5"/>
        <v>2601392.5220000003</v>
      </c>
      <c r="AD170" s="453">
        <f t="shared" si="5"/>
        <v>2600833.0179999997</v>
      </c>
      <c r="AE170" s="453">
        <f t="shared" si="5"/>
        <v>2863561.2949999999</v>
      </c>
    </row>
    <row r="171" spans="1:32">
      <c r="A171" s="233" t="s">
        <v>200</v>
      </c>
      <c r="L171" s="233">
        <f>176+28</f>
        <v>204</v>
      </c>
      <c r="M171" s="233">
        <f>31+172</f>
        <v>203</v>
      </c>
      <c r="N171" s="233">
        <f>33+171</f>
        <v>204</v>
      </c>
      <c r="O171" s="233">
        <f>36+171</f>
        <v>207</v>
      </c>
      <c r="P171" s="233">
        <f>38+168</f>
        <v>206</v>
      </c>
      <c r="Q171" s="233">
        <f>40+164</f>
        <v>204</v>
      </c>
      <c r="R171" s="233">
        <f>41+162</f>
        <v>203</v>
      </c>
      <c r="S171" s="233">
        <v>209</v>
      </c>
      <c r="T171" s="248">
        <v>219</v>
      </c>
      <c r="U171" s="248">
        <v>223</v>
      </c>
      <c r="V171" s="233">
        <v>178</v>
      </c>
      <c r="W171" s="233">
        <v>177</v>
      </c>
      <c r="X171" s="249">
        <v>179</v>
      </c>
      <c r="Y171" s="233">
        <v>175</v>
      </c>
      <c r="Z171" s="233">
        <v>175</v>
      </c>
      <c r="AA171" s="233">
        <v>176</v>
      </c>
      <c r="AB171" s="233">
        <v>175</v>
      </c>
      <c r="AC171" s="233">
        <v>168</v>
      </c>
    </row>
    <row r="172" spans="1:32">
      <c r="A172" s="245" t="s">
        <v>201</v>
      </c>
      <c r="L172" s="233">
        <f>171+9.8</f>
        <v>180.8</v>
      </c>
      <c r="M172" s="233">
        <f>11.6+167.7</f>
        <v>179.29999999999998</v>
      </c>
      <c r="N172" s="233">
        <f>166.4+12.6</f>
        <v>179</v>
      </c>
      <c r="O172" s="233">
        <f>13.9+166.4</f>
        <v>180.3</v>
      </c>
      <c r="P172" s="233">
        <f>15+164</f>
        <v>179</v>
      </c>
      <c r="Q172" s="249">
        <f>162.2+16.4</f>
        <v>178.6</v>
      </c>
      <c r="R172" s="249">
        <f>17.1+160</f>
        <v>177.1</v>
      </c>
      <c r="S172" s="233">
        <v>182.4</v>
      </c>
      <c r="T172" s="248">
        <v>175.6</v>
      </c>
      <c r="U172" s="248">
        <v>190</v>
      </c>
      <c r="V172" s="233">
        <v>152.69999999999999</v>
      </c>
      <c r="W172" s="233">
        <v>151.5</v>
      </c>
      <c r="X172" s="249">
        <v>153.30000000000001</v>
      </c>
      <c r="Y172" s="233">
        <v>152</v>
      </c>
      <c r="Z172" s="233">
        <v>151.1</v>
      </c>
      <c r="AA172" s="233">
        <v>151.19999999999999</v>
      </c>
      <c r="AB172" s="233">
        <v>150.30000000000001</v>
      </c>
      <c r="AC172" s="233">
        <v>142.30000000000001</v>
      </c>
      <c r="AD172">
        <v>138.5</v>
      </c>
      <c r="AE172">
        <v>137.6</v>
      </c>
    </row>
    <row r="173" spans="1:32">
      <c r="A173" s="233" t="s">
        <v>202</v>
      </c>
      <c r="L173" s="247">
        <v>0.92400000000000004</v>
      </c>
      <c r="M173" s="247">
        <v>0.92700000000000005</v>
      </c>
      <c r="N173" s="247">
        <v>0.93100000000000005</v>
      </c>
      <c r="O173" s="247">
        <v>0.93200000000000005</v>
      </c>
      <c r="P173" s="247">
        <v>0.93500000000000005</v>
      </c>
      <c r="Q173" s="246">
        <v>0.92400000000000004</v>
      </c>
      <c r="R173" s="246">
        <v>0.92100000000000004</v>
      </c>
      <c r="S173" s="247">
        <v>0.94499999999999995</v>
      </c>
      <c r="T173" s="250">
        <v>0.94599999999999995</v>
      </c>
      <c r="U173" s="250">
        <v>0.95299999999999996</v>
      </c>
      <c r="V173" s="247">
        <v>0.96899999999999997</v>
      </c>
      <c r="W173" s="247">
        <v>0.97099999999999997</v>
      </c>
      <c r="X173" s="246">
        <v>0.96099999999999997</v>
      </c>
      <c r="Y173" s="247">
        <v>0.96799999999999997</v>
      </c>
      <c r="Z173" s="251">
        <v>0.95599999999999996</v>
      </c>
      <c r="AA173" s="247">
        <v>0.95899999999999996</v>
      </c>
      <c r="AB173" s="247">
        <v>0.95099999999999996</v>
      </c>
      <c r="AC173" s="247">
        <v>0.91300000000000003</v>
      </c>
      <c r="AD173" s="6">
        <v>0.93400000000000005</v>
      </c>
      <c r="AE173" s="6">
        <v>0.94899999999999995</v>
      </c>
    </row>
    <row r="174" spans="1:32">
      <c r="A174" s="245" t="s">
        <v>203</v>
      </c>
      <c r="L174" s="233">
        <v>32.26</v>
      </c>
      <c r="M174" s="252">
        <v>33.5</v>
      </c>
      <c r="N174" s="252">
        <v>34.49</v>
      </c>
      <c r="O174" s="252">
        <v>35.380000000000003</v>
      </c>
      <c r="P174" s="253">
        <v>37.090000000000003</v>
      </c>
      <c r="Q174" s="253">
        <v>39.49</v>
      </c>
      <c r="R174" s="253">
        <v>40.04</v>
      </c>
      <c r="S174" s="233">
        <v>37.770000000000003</v>
      </c>
      <c r="T174" s="254">
        <v>39.4</v>
      </c>
      <c r="U174" s="254">
        <v>40.729999999999997</v>
      </c>
      <c r="V174" s="254">
        <v>47.01</v>
      </c>
      <c r="W174" s="254">
        <v>45.01</v>
      </c>
      <c r="X174" s="253">
        <v>48.96</v>
      </c>
      <c r="Y174" s="254">
        <v>51.59</v>
      </c>
      <c r="Z174" s="254">
        <v>53.11</v>
      </c>
      <c r="AA174" s="254">
        <v>54.18</v>
      </c>
      <c r="AB174" s="254">
        <v>54.59</v>
      </c>
      <c r="AC174" s="254">
        <v>55.8</v>
      </c>
      <c r="AD174" s="200">
        <v>53.91</v>
      </c>
      <c r="AE174" s="351">
        <v>55.13</v>
      </c>
      <c r="AF174" s="200"/>
    </row>
    <row r="175" spans="1:32">
      <c r="A175" s="245" t="s">
        <v>204</v>
      </c>
      <c r="L175" s="255">
        <v>402</v>
      </c>
      <c r="M175" s="256">
        <v>427</v>
      </c>
      <c r="N175" s="256">
        <v>450</v>
      </c>
      <c r="O175" s="256">
        <v>476</v>
      </c>
      <c r="P175" s="255">
        <v>491</v>
      </c>
      <c r="Q175" s="255">
        <v>470</v>
      </c>
      <c r="R175" s="255">
        <v>433</v>
      </c>
      <c r="S175" s="254">
        <v>484</v>
      </c>
      <c r="T175" s="254">
        <v>553</v>
      </c>
      <c r="U175" s="254">
        <v>568</v>
      </c>
      <c r="V175" s="254">
        <v>619</v>
      </c>
      <c r="W175" s="254">
        <v>618</v>
      </c>
      <c r="X175" s="254">
        <v>620</v>
      </c>
      <c r="Y175" s="254">
        <v>614</v>
      </c>
      <c r="Z175" s="254">
        <v>628</v>
      </c>
      <c r="AA175" s="254">
        <v>661</v>
      </c>
      <c r="AB175" s="254">
        <v>693</v>
      </c>
      <c r="AC175" s="333" t="s">
        <v>205</v>
      </c>
      <c r="AD175" s="333">
        <v>713</v>
      </c>
      <c r="AE175" s="200">
        <v>753</v>
      </c>
      <c r="AF175" s="200"/>
    </row>
    <row r="176" spans="1:32">
      <c r="A176" s="245" t="s">
        <v>206</v>
      </c>
      <c r="K176" s="254"/>
      <c r="L176" s="451">
        <f>L169*L33/L172/L173/1000</f>
        <v>11.806334999808449</v>
      </c>
      <c r="M176" s="451">
        <f t="shared" ref="M176:AC176" si="6">M169*M33/M172/M173/1000</f>
        <v>12.970288410340826</v>
      </c>
      <c r="N176" s="451">
        <f t="shared" si="6"/>
        <v>15.507342918349345</v>
      </c>
      <c r="O176" s="451">
        <f t="shared" si="6"/>
        <v>16.406009654867066</v>
      </c>
      <c r="P176" s="451">
        <f t="shared" si="6"/>
        <v>17.562601021718997</v>
      </c>
      <c r="Q176" s="451">
        <f t="shared" si="6"/>
        <v>17.748729936543484</v>
      </c>
      <c r="R176" s="451">
        <f t="shared" si="6"/>
        <v>18.497635490601073</v>
      </c>
      <c r="S176" s="451">
        <f t="shared" si="6"/>
        <v>18.480377332219437</v>
      </c>
      <c r="T176" s="451">
        <f t="shared" si="6"/>
        <v>21.170804929760603</v>
      </c>
      <c r="U176" s="451">
        <f t="shared" si="6"/>
        <v>20.563612867951623</v>
      </c>
      <c r="V176" s="451">
        <f t="shared" si="6"/>
        <v>26.123923974580702</v>
      </c>
      <c r="W176" s="451">
        <f t="shared" si="6"/>
        <v>24.614255583539819</v>
      </c>
      <c r="X176" s="451">
        <f t="shared" si="6"/>
        <v>26.195168519419799</v>
      </c>
      <c r="Y176" s="451">
        <f t="shared" si="6"/>
        <v>27.402588353632019</v>
      </c>
      <c r="Z176" s="451">
        <f t="shared" si="6"/>
        <v>28.25977767639819</v>
      </c>
      <c r="AA176" s="451">
        <f t="shared" si="6"/>
        <v>28.104340113985582</v>
      </c>
      <c r="AB176" s="451">
        <f t="shared" si="6"/>
        <v>28.982197469764294</v>
      </c>
      <c r="AC176" s="452">
        <f t="shared" si="6"/>
        <v>26.293734816606229</v>
      </c>
      <c r="AD176" s="452">
        <f>AD169*AD33/AD172/AD173/1000</f>
        <v>26.400748297373973</v>
      </c>
      <c r="AE176" s="452">
        <f>AE169*AE33/AE172/AE173/1000</f>
        <v>26.783010382716203</v>
      </c>
      <c r="AF176" s="514" t="s">
        <v>207</v>
      </c>
    </row>
    <row r="177" spans="1:33" s="6" customFormat="1">
      <c r="A177" s="251" t="s">
        <v>208</v>
      </c>
      <c r="B177" s="247"/>
      <c r="C177" s="247"/>
      <c r="D177" s="247"/>
      <c r="E177" s="247"/>
      <c r="F177" s="247"/>
      <c r="G177" s="247"/>
      <c r="H177" s="247"/>
      <c r="I177" s="247"/>
      <c r="J177" s="247"/>
      <c r="K177" s="247"/>
      <c r="L177" s="247">
        <v>0.251</v>
      </c>
      <c r="M177" s="247">
        <v>0.17100000000000001</v>
      </c>
      <c r="N177" s="247">
        <v>0.20699999999999999</v>
      </c>
      <c r="O177" s="247">
        <v>0.17599999999999999</v>
      </c>
      <c r="P177" s="247">
        <v>0.14399999999999999</v>
      </c>
      <c r="Q177" s="250">
        <v>0.21299999999999999</v>
      </c>
      <c r="R177" s="250">
        <v>0.128</v>
      </c>
      <c r="S177" s="250">
        <f>3%+2.8%+1.2%+5.2%</f>
        <v>0.122</v>
      </c>
      <c r="T177" s="250">
        <v>9.2999999999999999E-2</v>
      </c>
      <c r="U177" s="250">
        <v>0.108</v>
      </c>
      <c r="V177" s="250">
        <v>0.113</v>
      </c>
      <c r="W177" s="250">
        <v>0.11700000000000001</v>
      </c>
      <c r="X177" s="250">
        <v>0.123</v>
      </c>
      <c r="Y177" s="250">
        <v>0.13100000000000001</v>
      </c>
      <c r="Z177" s="250">
        <v>0.13200000000000001</v>
      </c>
      <c r="AA177" s="250">
        <v>0.128</v>
      </c>
      <c r="AB177" s="250">
        <v>0.125</v>
      </c>
      <c r="AC177" s="333" t="s">
        <v>205</v>
      </c>
      <c r="AD177" s="333" t="s">
        <v>205</v>
      </c>
      <c r="AE177" s="198"/>
      <c r="AF177" s="198"/>
    </row>
    <row r="178" spans="1:33" s="6" customFormat="1">
      <c r="A178" s="251"/>
      <c r="B178" s="247"/>
      <c r="C178" s="247"/>
      <c r="D178" s="247"/>
      <c r="E178" s="247"/>
      <c r="F178" s="247"/>
      <c r="G178" s="247"/>
      <c r="H178" s="247"/>
      <c r="I178" s="247"/>
      <c r="J178" s="247"/>
      <c r="K178" s="247"/>
      <c r="L178" s="247"/>
      <c r="M178" s="247"/>
      <c r="N178" s="247"/>
      <c r="O178" s="247"/>
      <c r="P178" s="247"/>
      <c r="Q178" s="250"/>
      <c r="R178" s="250"/>
      <c r="S178" s="250"/>
      <c r="T178" s="250"/>
      <c r="U178" s="250"/>
      <c r="V178" s="250"/>
      <c r="W178" s="250"/>
      <c r="X178" s="250"/>
      <c r="Y178" s="250"/>
      <c r="Z178" s="250"/>
      <c r="AA178" s="250"/>
      <c r="AB178" s="250"/>
      <c r="AC178" s="332"/>
      <c r="AD178" s="198"/>
      <c r="AE178" s="198"/>
      <c r="AF178" s="198"/>
    </row>
    <row r="179" spans="1:33">
      <c r="A179" s="244" t="s">
        <v>209</v>
      </c>
      <c r="AC179" s="334"/>
    </row>
    <row r="180" spans="1:33">
      <c r="A180" s="245" t="s">
        <v>210</v>
      </c>
      <c r="P180" s="246"/>
      <c r="Q180" s="246">
        <f>7.3%</f>
        <v>7.2999999999999995E-2</v>
      </c>
      <c r="R180" s="246">
        <v>4.5999999999999999E-2</v>
      </c>
      <c r="S180" s="246">
        <v>4.4999999999999998E-2</v>
      </c>
      <c r="T180" s="246">
        <v>4.2999999999999997E-2</v>
      </c>
      <c r="U180" s="246">
        <v>7.4999999999999997E-2</v>
      </c>
      <c r="V180" s="247">
        <v>8.3000000000000004E-2</v>
      </c>
      <c r="W180" s="247">
        <v>9.7000000000000003E-2</v>
      </c>
      <c r="X180" s="247">
        <v>0.10299999999999999</v>
      </c>
      <c r="Y180" s="247">
        <v>0.106</v>
      </c>
      <c r="Z180" s="247">
        <v>0.111</v>
      </c>
      <c r="AA180" s="247">
        <v>0.111</v>
      </c>
      <c r="AB180" s="247">
        <v>0.11700000000000001</v>
      </c>
      <c r="AC180" s="335">
        <v>0.113</v>
      </c>
      <c r="AD180" s="6">
        <v>0.111</v>
      </c>
      <c r="AE180" s="6">
        <v>0.113</v>
      </c>
    </row>
    <row r="181" spans="1:33">
      <c r="A181" s="245" t="s">
        <v>199</v>
      </c>
      <c r="M181" s="223"/>
      <c r="N181" s="223"/>
      <c r="O181" s="223"/>
      <c r="P181" s="223"/>
      <c r="Q181" s="223">
        <f t="shared" ref="Q181" si="7">Q$37*Q180</f>
        <v>177552.20599999998</v>
      </c>
      <c r="R181" s="223">
        <f t="shared" ref="R181" si="8">R$37*R180</f>
        <v>114399.24</v>
      </c>
      <c r="S181" s="223">
        <f t="shared" ref="S181" si="9">S$37*S180</f>
        <v>118229.22</v>
      </c>
      <c r="T181" s="223">
        <f t="shared" ref="T181:V181" si="10">T$37*T180</f>
        <v>125293.61499999999</v>
      </c>
      <c r="U181" s="223">
        <f t="shared" si="10"/>
        <v>253840.65</v>
      </c>
      <c r="V181" s="223">
        <f t="shared" si="10"/>
        <v>303883.83300000004</v>
      </c>
      <c r="W181" s="223">
        <f t="shared" ref="W181:AC181" si="11">W$37*W180</f>
        <v>336828.038</v>
      </c>
      <c r="X181" s="223">
        <f t="shared" si="11"/>
        <v>375739.98300000001</v>
      </c>
      <c r="Y181" s="223">
        <f t="shared" si="11"/>
        <v>409340.83600000001</v>
      </c>
      <c r="Z181" s="223">
        <f t="shared" si="11"/>
        <v>437108.78700000001</v>
      </c>
      <c r="AA181" s="223">
        <f t="shared" si="11"/>
        <v>439175.05200000003</v>
      </c>
      <c r="AB181" s="223">
        <f t="shared" si="11"/>
        <v>471309.228</v>
      </c>
      <c r="AC181" s="223">
        <f t="shared" si="11"/>
        <v>370223.36900000001</v>
      </c>
      <c r="AD181" s="39"/>
      <c r="AE181" s="39"/>
      <c r="AF181" s="39"/>
      <c r="AG181" s="39"/>
    </row>
    <row r="182" spans="1:33">
      <c r="A182" s="233" t="s">
        <v>211</v>
      </c>
      <c r="Q182" s="233">
        <v>16</v>
      </c>
      <c r="R182" s="233">
        <v>16</v>
      </c>
      <c r="S182" s="233">
        <v>16</v>
      </c>
      <c r="T182" s="248">
        <v>13</v>
      </c>
      <c r="U182" s="248">
        <v>13</v>
      </c>
      <c r="V182" s="233">
        <v>13</v>
      </c>
      <c r="W182" s="233">
        <v>13</v>
      </c>
      <c r="X182" s="233">
        <v>14</v>
      </c>
      <c r="Y182" s="233">
        <v>14</v>
      </c>
      <c r="Z182" s="233">
        <v>14</v>
      </c>
      <c r="AA182" s="233">
        <v>14</v>
      </c>
      <c r="AB182" s="257">
        <v>14</v>
      </c>
      <c r="AC182" s="336">
        <v>14</v>
      </c>
    </row>
    <row r="183" spans="1:33">
      <c r="A183" s="245" t="s">
        <v>212</v>
      </c>
      <c r="Q183" s="233">
        <v>22.7</v>
      </c>
      <c r="R183" s="233">
        <v>22.8</v>
      </c>
      <c r="S183" s="233">
        <v>22.8</v>
      </c>
      <c r="T183" s="248">
        <v>19</v>
      </c>
      <c r="U183" s="248">
        <v>19</v>
      </c>
      <c r="V183" s="233">
        <v>19.600000000000001</v>
      </c>
      <c r="W183" s="233">
        <v>19.600000000000001</v>
      </c>
      <c r="X183" s="233">
        <v>20.9</v>
      </c>
      <c r="Y183" s="233">
        <v>21.1</v>
      </c>
      <c r="Z183" s="233">
        <v>21.1</v>
      </c>
      <c r="AA183" s="233">
        <v>21.4</v>
      </c>
      <c r="AB183" s="257">
        <v>21.5</v>
      </c>
      <c r="AC183" s="336">
        <v>21.3</v>
      </c>
      <c r="AD183">
        <v>21.3</v>
      </c>
      <c r="AE183">
        <v>21.3</v>
      </c>
    </row>
    <row r="184" spans="1:33">
      <c r="A184" s="233" t="s">
        <v>202</v>
      </c>
      <c r="P184" s="247"/>
      <c r="Q184" s="247">
        <v>0.94499999999999995</v>
      </c>
      <c r="R184" s="247">
        <v>0.93899999999999995</v>
      </c>
      <c r="S184" s="247">
        <v>0.93700000000000006</v>
      </c>
      <c r="T184" s="250">
        <v>0.97</v>
      </c>
      <c r="U184" s="250">
        <v>0.97199999999999998</v>
      </c>
      <c r="V184" s="247">
        <v>0.98499999999999999</v>
      </c>
      <c r="W184" s="247">
        <v>0.98399999999999999</v>
      </c>
      <c r="X184" s="247">
        <v>0.98499999999999999</v>
      </c>
      <c r="Y184" s="247">
        <v>0.98399999999999999</v>
      </c>
      <c r="Z184" s="247">
        <v>0.98399999999999999</v>
      </c>
      <c r="AA184" s="251">
        <v>0.97599999999999998</v>
      </c>
      <c r="AB184" s="258">
        <v>0.97</v>
      </c>
      <c r="AC184" s="337">
        <v>0.95299999999999996</v>
      </c>
      <c r="AD184" s="6">
        <v>0.97599999999999998</v>
      </c>
      <c r="AE184" s="6">
        <v>0.98199999999999998</v>
      </c>
    </row>
    <row r="185" spans="1:33">
      <c r="A185" s="233" t="s">
        <v>213</v>
      </c>
      <c r="Q185" s="233">
        <v>19.510000000000002</v>
      </c>
      <c r="R185" s="233">
        <v>19.62</v>
      </c>
      <c r="S185" s="253">
        <v>19.86</v>
      </c>
      <c r="T185" s="254">
        <v>21.67</v>
      </c>
      <c r="U185" s="254">
        <v>22.58</v>
      </c>
      <c r="V185" s="233">
        <v>23.79</v>
      </c>
      <c r="W185" s="233">
        <v>25.43</v>
      </c>
      <c r="X185" s="253">
        <v>27.14</v>
      </c>
      <c r="Y185" s="233">
        <v>29.07</v>
      </c>
      <c r="Z185" s="233">
        <v>30.98</v>
      </c>
      <c r="AA185" s="233">
        <v>32.630000000000003</v>
      </c>
      <c r="AB185" s="259">
        <v>33.090000000000003</v>
      </c>
      <c r="AC185" s="338">
        <v>33.770000000000003</v>
      </c>
      <c r="AD185" s="338">
        <v>33.799999999999997</v>
      </c>
      <c r="AE185" s="338">
        <v>34.89</v>
      </c>
    </row>
    <row r="186" spans="1:33">
      <c r="A186" s="245" t="s">
        <v>204</v>
      </c>
      <c r="Q186" s="339">
        <v>372</v>
      </c>
      <c r="R186" s="339">
        <v>369</v>
      </c>
      <c r="S186" s="340">
        <v>484</v>
      </c>
      <c r="T186" s="340">
        <v>484</v>
      </c>
      <c r="U186" s="340">
        <v>510</v>
      </c>
      <c r="V186" s="339">
        <v>529</v>
      </c>
      <c r="W186" s="339">
        <v>541</v>
      </c>
      <c r="X186" s="341">
        <v>568</v>
      </c>
      <c r="Y186" s="341">
        <v>565</v>
      </c>
      <c r="Z186" s="339">
        <v>628</v>
      </c>
      <c r="AA186" s="339">
        <v>614</v>
      </c>
      <c r="AB186" s="342">
        <v>620</v>
      </c>
      <c r="AC186" s="333" t="s">
        <v>205</v>
      </c>
      <c r="AD186" s="342">
        <v>645</v>
      </c>
    </row>
    <row r="187" spans="1:33">
      <c r="A187" s="245" t="s">
        <v>206</v>
      </c>
      <c r="O187" s="254"/>
      <c r="P187" s="254"/>
      <c r="Q187" s="451">
        <f>Q180*Q33/1000/Q183/Q184</f>
        <v>11.767995431554903</v>
      </c>
      <c r="R187" s="451">
        <f t="shared" ref="R187:AE187" si="12">R180*R33/1000/R183/R184</f>
        <v>7.4427536759897617</v>
      </c>
      <c r="S187" s="451">
        <f t="shared" si="12"/>
        <v>7.6333763972364199</v>
      </c>
      <c r="T187" s="451">
        <f t="shared" si="12"/>
        <v>9.2925613130765061</v>
      </c>
      <c r="U187" s="451">
        <f t="shared" si="12"/>
        <v>18.485619720597793</v>
      </c>
      <c r="V187" s="451">
        <f t="shared" si="12"/>
        <v>20.929869159846678</v>
      </c>
      <c r="W187" s="451">
        <f t="shared" si="12"/>
        <v>22.792520480753275</v>
      </c>
      <c r="X187" s="451">
        <f t="shared" si="12"/>
        <v>23.925879581278995</v>
      </c>
      <c r="Y187" s="451">
        <f t="shared" si="12"/>
        <v>25.602524756290215</v>
      </c>
      <c r="Z187" s="451">
        <f t="shared" si="12"/>
        <v>27.314279129580395</v>
      </c>
      <c r="AA187" s="451">
        <f t="shared" si="12"/>
        <v>27.414232227669679</v>
      </c>
      <c r="AB187" s="451">
        <f t="shared" si="12"/>
        <v>29.418422776312635</v>
      </c>
      <c r="AC187" s="452">
        <f t="shared" si="12"/>
        <v>23.950434309248287</v>
      </c>
      <c r="AD187" s="452">
        <f t="shared" si="12"/>
        <v>25.291301518125142</v>
      </c>
      <c r="AE187" s="452">
        <f t="shared" si="12"/>
        <v>26.499754979298739</v>
      </c>
      <c r="AF187" s="200"/>
    </row>
    <row r="188" spans="1:33">
      <c r="A188" s="244" t="s">
        <v>214</v>
      </c>
      <c r="B188" s="239"/>
      <c r="C188" s="239"/>
      <c r="D188" s="239"/>
      <c r="E188" s="239"/>
      <c r="F188" s="239"/>
      <c r="G188" s="239"/>
      <c r="H188" s="239"/>
      <c r="I188" s="239"/>
      <c r="J188" s="239"/>
      <c r="K188" s="239"/>
      <c r="L188" s="239"/>
      <c r="M188" s="239"/>
      <c r="N188" s="239"/>
      <c r="O188" s="239"/>
      <c r="P188" s="239"/>
      <c r="Q188" s="239"/>
      <c r="R188" s="239"/>
      <c r="S188" s="239"/>
      <c r="T188" s="239"/>
      <c r="U188" s="239"/>
      <c r="V188" s="239"/>
      <c r="W188" s="239"/>
      <c r="X188" s="239"/>
      <c r="AA188" s="239"/>
      <c r="AB188" s="239"/>
      <c r="AC188" s="239"/>
    </row>
    <row r="189" spans="1:33">
      <c r="A189" s="245" t="s">
        <v>215</v>
      </c>
      <c r="M189" s="247">
        <v>3.5999999999999997E-2</v>
      </c>
      <c r="N189" s="246">
        <v>5.2999999999999999E-2</v>
      </c>
      <c r="O189" s="247">
        <v>5.2999999999999999E-2</v>
      </c>
      <c r="P189" s="247">
        <v>6.2E-2</v>
      </c>
      <c r="Q189" s="247">
        <v>0.04</v>
      </c>
      <c r="R189" s="246">
        <v>4.2000000000000003E-2</v>
      </c>
      <c r="S189" s="246">
        <v>0.04</v>
      </c>
      <c r="T189" s="246">
        <v>3.5999999999999997E-2</v>
      </c>
      <c r="U189" s="246">
        <v>6.3E-2</v>
      </c>
      <c r="V189" s="247">
        <v>8.4000000000000005E-2</v>
      </c>
      <c r="W189" s="247">
        <v>0.09</v>
      </c>
      <c r="X189" s="247">
        <v>7.9000000000000001E-2</v>
      </c>
      <c r="Y189" s="247">
        <v>8.4000000000000005E-2</v>
      </c>
      <c r="Z189" s="247">
        <v>0.09</v>
      </c>
      <c r="AA189" s="247">
        <v>0.1</v>
      </c>
      <c r="AB189" s="247">
        <v>9.2999999999999999E-2</v>
      </c>
      <c r="AC189" s="247">
        <v>9.2999999999999999E-2</v>
      </c>
      <c r="AD189" s="6">
        <v>8.5000000000000006E-2</v>
      </c>
      <c r="AE189" s="6">
        <v>9.4E-2</v>
      </c>
    </row>
    <row r="190" spans="1:33">
      <c r="A190" s="245" t="s">
        <v>199</v>
      </c>
      <c r="L190" s="453">
        <f t="shared" ref="L190" si="13">L$37*L189</f>
        <v>0</v>
      </c>
      <c r="M190" s="453">
        <f t="shared" ref="M190" si="14">M$37*M189</f>
        <v>60397.991999999998</v>
      </c>
      <c r="N190" s="453">
        <f t="shared" ref="N190" si="15">N$37*N189</f>
        <v>110051.58499999999</v>
      </c>
      <c r="O190" s="453">
        <f t="shared" ref="O190" si="16">O$37*O189</f>
        <v>115884.235</v>
      </c>
      <c r="P190" s="453">
        <f t="shared" ref="P190" si="17">P$37*P189</f>
        <v>140953.9</v>
      </c>
      <c r="Q190" s="453">
        <f t="shared" ref="Q190" si="18">Q$37*Q189</f>
        <v>97288.88</v>
      </c>
      <c r="R190" s="453">
        <f t="shared" ref="R190" si="19">R$37*R189</f>
        <v>104451.48000000001</v>
      </c>
      <c r="S190" s="453">
        <f t="shared" ref="S190:AD190" si="20">S$37*S189</f>
        <v>105092.64</v>
      </c>
      <c r="T190" s="453">
        <f t="shared" si="20"/>
        <v>104896.98</v>
      </c>
      <c r="U190" s="453">
        <f t="shared" si="20"/>
        <v>213226.14600000001</v>
      </c>
      <c r="V190" s="453">
        <f t="shared" si="20"/>
        <v>307545.08400000003</v>
      </c>
      <c r="W190" s="453">
        <f t="shared" si="20"/>
        <v>312520.86</v>
      </c>
      <c r="X190" s="453">
        <f t="shared" si="20"/>
        <v>288188.91899999999</v>
      </c>
      <c r="Y190" s="453">
        <f t="shared" si="20"/>
        <v>324383.304</v>
      </c>
      <c r="Z190" s="453">
        <f t="shared" si="20"/>
        <v>354412.52999999997</v>
      </c>
      <c r="AA190" s="453">
        <f t="shared" si="20"/>
        <v>395653.2</v>
      </c>
      <c r="AB190" s="453">
        <f t="shared" si="20"/>
        <v>374630.41200000001</v>
      </c>
      <c r="AC190" s="453">
        <f t="shared" si="20"/>
        <v>304697.109</v>
      </c>
      <c r="AD190" s="453">
        <f t="shared" si="20"/>
        <v>306616.93</v>
      </c>
    </row>
    <row r="191" spans="1:33">
      <c r="A191" s="245" t="s">
        <v>216</v>
      </c>
      <c r="L191" s="233">
        <v>47</v>
      </c>
      <c r="M191" s="233">
        <v>51</v>
      </c>
      <c r="N191" s="233">
        <v>51</v>
      </c>
      <c r="O191" s="233">
        <v>53</v>
      </c>
      <c r="P191" s="233">
        <v>51</v>
      </c>
      <c r="Q191" s="233">
        <f>52</f>
        <v>52</v>
      </c>
      <c r="R191" s="233">
        <f>51</f>
        <v>51</v>
      </c>
      <c r="S191" s="233">
        <v>45</v>
      </c>
      <c r="T191" s="233">
        <v>45</v>
      </c>
      <c r="AB191" s="248"/>
      <c r="AC191" s="248"/>
    </row>
    <row r="192" spans="1:33">
      <c r="A192" s="245" t="s">
        <v>212</v>
      </c>
      <c r="L192" s="233">
        <v>8.9</v>
      </c>
      <c r="M192" s="249">
        <v>10.9</v>
      </c>
      <c r="N192" s="233">
        <v>11.1</v>
      </c>
      <c r="O192" s="233">
        <v>12.2</v>
      </c>
      <c r="P192" s="249">
        <v>13.3</v>
      </c>
      <c r="Q192" s="249">
        <f>13.5</f>
        <v>13.5</v>
      </c>
      <c r="R192" s="233">
        <f>13.4</f>
        <v>13.4</v>
      </c>
      <c r="S192" s="233">
        <v>10.1</v>
      </c>
      <c r="T192" s="16">
        <v>10.1</v>
      </c>
      <c r="U192">
        <v>3.9</v>
      </c>
      <c r="V192">
        <v>5.9</v>
      </c>
      <c r="W192">
        <v>6.5</v>
      </c>
      <c r="X192"/>
      <c r="Y192">
        <f>5.9+1.5</f>
        <v>7.4</v>
      </c>
      <c r="Z192">
        <f>6.6+2.2</f>
        <v>8.8000000000000007</v>
      </c>
      <c r="AA192">
        <f>7.3+2.2</f>
        <v>9.5</v>
      </c>
      <c r="AB192" s="197">
        <v>10.9</v>
      </c>
      <c r="AC192" s="197">
        <v>10.1</v>
      </c>
      <c r="AD192">
        <f>8.4+2.8</f>
        <v>11.2</v>
      </c>
      <c r="AE192">
        <f>8.7+2.8</f>
        <v>11.5</v>
      </c>
    </row>
    <row r="193" spans="1:32">
      <c r="A193" s="233" t="s">
        <v>202</v>
      </c>
      <c r="L193" s="246">
        <v>0.99299999999999999</v>
      </c>
      <c r="M193" s="247">
        <v>0.96</v>
      </c>
      <c r="N193" s="247">
        <v>0.98099999999999998</v>
      </c>
      <c r="O193" s="247">
        <v>0.97099999999999997</v>
      </c>
      <c r="P193" s="246">
        <v>0.98699999999999999</v>
      </c>
      <c r="Q193" s="261">
        <v>0.98399999999999999</v>
      </c>
      <c r="R193" s="246">
        <v>0.95899999999999996</v>
      </c>
      <c r="S193" s="247">
        <v>0.97199999999999998</v>
      </c>
      <c r="T193" s="269">
        <v>0.99</v>
      </c>
      <c r="U193" s="6">
        <v>0.995</v>
      </c>
      <c r="V193" s="6">
        <v>0.99399999999999999</v>
      </c>
      <c r="W193" s="6">
        <v>0.99099999999999999</v>
      </c>
      <c r="X193"/>
      <c r="Y193" s="6">
        <v>0.995</v>
      </c>
      <c r="Z193" s="6">
        <v>0.999</v>
      </c>
      <c r="AA193" s="6">
        <v>0.997</v>
      </c>
      <c r="AB193" s="198">
        <v>0.995</v>
      </c>
      <c r="AC193" s="198">
        <v>0.995</v>
      </c>
      <c r="AD193" s="6">
        <v>0.998</v>
      </c>
      <c r="AE193" s="6">
        <v>0.998</v>
      </c>
    </row>
    <row r="194" spans="1:32">
      <c r="A194" s="233" t="s">
        <v>217</v>
      </c>
      <c r="L194" s="233" t="s">
        <v>37</v>
      </c>
      <c r="M194" s="256">
        <v>526</v>
      </c>
      <c r="N194" s="262">
        <v>380</v>
      </c>
      <c r="O194" s="233">
        <v>391</v>
      </c>
      <c r="P194" s="233">
        <v>421</v>
      </c>
      <c r="Q194" s="233">
        <v>411</v>
      </c>
      <c r="R194" s="249">
        <v>400</v>
      </c>
      <c r="S194" s="249">
        <v>388</v>
      </c>
      <c r="T194" s="249">
        <v>390</v>
      </c>
      <c r="U194" s="201">
        <v>4923</v>
      </c>
      <c r="V194" s="201">
        <v>4888</v>
      </c>
      <c r="W194" s="201">
        <v>4810</v>
      </c>
      <c r="X194" s="201"/>
      <c r="Y194" s="201"/>
      <c r="Z194" s="201"/>
      <c r="AA194" s="201">
        <v>5156</v>
      </c>
      <c r="AB194" s="201">
        <v>5447</v>
      </c>
      <c r="AC194" s="201">
        <v>5269</v>
      </c>
      <c r="AD194" s="201">
        <v>5509</v>
      </c>
      <c r="AE194" s="201">
        <v>5779</v>
      </c>
      <c r="AF194" s="201"/>
    </row>
    <row r="195" spans="1:32">
      <c r="A195" s="245" t="s">
        <v>204</v>
      </c>
      <c r="L195" s="233" t="s">
        <v>37</v>
      </c>
      <c r="M195" s="252">
        <v>34.11</v>
      </c>
      <c r="N195" s="233" t="s">
        <v>218</v>
      </c>
      <c r="O195" s="233">
        <v>26.29</v>
      </c>
      <c r="P195" s="233">
        <v>29.58</v>
      </c>
      <c r="Q195" s="249">
        <v>30.11</v>
      </c>
      <c r="R195" s="249">
        <v>31.41</v>
      </c>
      <c r="S195" s="249">
        <v>26.27</v>
      </c>
      <c r="T195" s="16">
        <v>26.55</v>
      </c>
      <c r="U195" s="265"/>
      <c r="V195" s="201">
        <v>90959</v>
      </c>
      <c r="W195" s="201">
        <v>94993</v>
      </c>
      <c r="X195" s="199"/>
      <c r="Y195" s="199"/>
      <c r="Z195" s="199"/>
      <c r="AA195" s="199">
        <v>107265</v>
      </c>
      <c r="AB195" s="199">
        <v>107866</v>
      </c>
      <c r="AC195" s="265"/>
      <c r="AD195" s="199"/>
      <c r="AE195" s="199"/>
    </row>
    <row r="196" spans="1:32">
      <c r="A196" s="245" t="s">
        <v>206</v>
      </c>
      <c r="O196" s="254"/>
      <c r="P196" s="254"/>
      <c r="Q196" s="451">
        <f t="shared" ref="Q196:AE196" si="21">Q189*Q33/1000/Q192/Q193</f>
        <v>10.412821439325507</v>
      </c>
      <c r="R196" s="451">
        <f t="shared" si="21"/>
        <v>11.321452227911536</v>
      </c>
      <c r="S196" s="451">
        <f t="shared" si="21"/>
        <v>14.765595078026324</v>
      </c>
      <c r="T196" s="451">
        <f t="shared" si="21"/>
        <v>14.339639963996401</v>
      </c>
      <c r="U196" s="451">
        <f t="shared" si="21"/>
        <v>73.900177039041367</v>
      </c>
      <c r="V196" s="451">
        <f t="shared" si="21"/>
        <v>69.730312723800438</v>
      </c>
      <c r="W196" s="451">
        <f t="shared" si="21"/>
        <v>63.318014437630978</v>
      </c>
      <c r="X196" s="451" t="e">
        <f t="shared" si="21"/>
        <v>#DIV/0!</v>
      </c>
      <c r="Y196" s="451">
        <f t="shared" si="21"/>
        <v>57.210924894743997</v>
      </c>
      <c r="Z196" s="451">
        <f t="shared" si="21"/>
        <v>52.304453316953314</v>
      </c>
      <c r="AA196" s="451">
        <f t="shared" si="21"/>
        <v>54.462545531330839</v>
      </c>
      <c r="AB196" s="451">
        <f t="shared" si="21"/>
        <v>44.965257756673275</v>
      </c>
      <c r="AC196" s="451">
        <f t="shared" si="21"/>
        <v>39.814929200457733</v>
      </c>
      <c r="AD196" s="451">
        <f t="shared" si="21"/>
        <v>36.020354548382485</v>
      </c>
      <c r="AE196" s="451">
        <f t="shared" si="21"/>
        <v>40.174823560163809</v>
      </c>
      <c r="AF196" s="200"/>
    </row>
    <row r="197" spans="1:32">
      <c r="A197" s="244" t="s">
        <v>214</v>
      </c>
      <c r="B197" s="239"/>
      <c r="C197" s="239"/>
      <c r="D197" s="239"/>
      <c r="E197" s="239"/>
      <c r="F197" s="239"/>
      <c r="G197" s="239"/>
      <c r="H197" s="239"/>
      <c r="I197" s="239"/>
      <c r="J197" s="239"/>
      <c r="K197" s="239"/>
      <c r="L197" s="239"/>
      <c r="M197" s="239"/>
      <c r="N197" s="239"/>
      <c r="O197" s="239"/>
      <c r="P197" s="239"/>
      <c r="Q197" s="239"/>
      <c r="R197" s="239"/>
      <c r="S197" s="239"/>
      <c r="T197" s="239"/>
      <c r="U197" s="239"/>
      <c r="V197" s="239"/>
      <c r="W197" s="239"/>
      <c r="X197" s="239"/>
      <c r="AA197" s="239"/>
      <c r="AB197" s="239"/>
      <c r="AC197" s="239"/>
    </row>
    <row r="198" spans="1:32">
      <c r="A198" s="245" t="s">
        <v>219</v>
      </c>
      <c r="L198" s="233">
        <v>3</v>
      </c>
      <c r="M198" s="249">
        <v>4</v>
      </c>
      <c r="N198" s="233">
        <v>5</v>
      </c>
      <c r="O198" s="233">
        <v>5</v>
      </c>
      <c r="P198" s="233">
        <v>6</v>
      </c>
      <c r="Q198" s="233">
        <v>7</v>
      </c>
      <c r="R198" s="233">
        <v>8</v>
      </c>
      <c r="S198" s="233">
        <v>8</v>
      </c>
      <c r="T198" s="233">
        <v>12</v>
      </c>
      <c r="U198" s="233">
        <v>12</v>
      </c>
      <c r="V198" s="233">
        <v>20</v>
      </c>
      <c r="W198" s="233">
        <v>21</v>
      </c>
      <c r="X198" s="233">
        <v>22</v>
      </c>
      <c r="Y198" s="233">
        <v>23</v>
      </c>
      <c r="Z198" s="233">
        <v>27</v>
      </c>
      <c r="AA198" s="233">
        <f>19+9</f>
        <v>28</v>
      </c>
      <c r="AB198" s="248">
        <v>29</v>
      </c>
      <c r="AC198" s="248">
        <v>31</v>
      </c>
    </row>
    <row r="199" spans="1:32">
      <c r="A199" s="245" t="s">
        <v>212</v>
      </c>
      <c r="L199" s="233">
        <v>0.82</v>
      </c>
      <c r="M199" s="249">
        <v>1.1000000000000001</v>
      </c>
      <c r="N199" s="233">
        <v>1.3</v>
      </c>
      <c r="O199" s="233">
        <v>1.4</v>
      </c>
      <c r="P199" s="233">
        <v>1.7</v>
      </c>
      <c r="Q199" s="249">
        <v>2</v>
      </c>
      <c r="R199" s="233">
        <v>2.4</v>
      </c>
      <c r="S199" s="233">
        <v>2.5</v>
      </c>
      <c r="T199" s="233">
        <v>3.7</v>
      </c>
      <c r="U199" s="233">
        <v>3.9</v>
      </c>
      <c r="V199" s="233">
        <v>5.9</v>
      </c>
      <c r="W199" s="233">
        <v>6.5</v>
      </c>
      <c r="X199" s="233">
        <f>5.9+1.3</f>
        <v>7.2</v>
      </c>
      <c r="Y199" s="233">
        <f>5.9+1.5</f>
        <v>7.4</v>
      </c>
      <c r="Z199" s="233">
        <f>6.6+2.2</f>
        <v>8.8000000000000007</v>
      </c>
      <c r="AA199" s="233">
        <f>7.3+2.2</f>
        <v>9.5</v>
      </c>
      <c r="AB199" s="248">
        <v>10.9</v>
      </c>
      <c r="AC199" s="248">
        <v>10.1</v>
      </c>
    </row>
    <row r="200" spans="1:32">
      <c r="A200" s="233" t="s">
        <v>202</v>
      </c>
      <c r="L200" s="260">
        <v>1</v>
      </c>
      <c r="M200" s="260">
        <v>1</v>
      </c>
      <c r="N200" s="260">
        <v>1</v>
      </c>
      <c r="O200" s="260">
        <v>1</v>
      </c>
      <c r="P200" s="260">
        <v>1</v>
      </c>
      <c r="Q200" s="261">
        <v>0.999</v>
      </c>
      <c r="R200" s="246">
        <v>0.996</v>
      </c>
      <c r="S200" s="247">
        <v>0.998</v>
      </c>
      <c r="T200" s="260">
        <v>1</v>
      </c>
      <c r="U200" s="247">
        <v>0.995</v>
      </c>
      <c r="V200" s="247">
        <v>0.99399999999999999</v>
      </c>
      <c r="W200" s="247">
        <v>0.99099999999999999</v>
      </c>
      <c r="X200" s="247">
        <v>0.998</v>
      </c>
      <c r="Y200" s="247">
        <v>0.995</v>
      </c>
      <c r="Z200" s="247">
        <v>0.999</v>
      </c>
      <c r="AA200" s="247">
        <v>0.997</v>
      </c>
      <c r="AB200" s="250">
        <v>0.995</v>
      </c>
      <c r="AC200" s="250">
        <v>0.995</v>
      </c>
    </row>
    <row r="201" spans="1:32">
      <c r="A201" s="233" t="s">
        <v>217</v>
      </c>
      <c r="L201" s="256">
        <v>768</v>
      </c>
      <c r="M201" s="256">
        <v>821</v>
      </c>
      <c r="N201" s="233" t="s">
        <v>220</v>
      </c>
      <c r="O201" s="233" t="s">
        <v>221</v>
      </c>
      <c r="P201" s="263">
        <v>4626</v>
      </c>
      <c r="Q201" s="266">
        <v>4685</v>
      </c>
      <c r="R201" s="264">
        <v>4714</v>
      </c>
      <c r="S201" s="263">
        <v>4766</v>
      </c>
      <c r="T201" s="264">
        <v>4834</v>
      </c>
      <c r="U201" s="264">
        <v>4923</v>
      </c>
      <c r="V201" s="264">
        <v>4888</v>
      </c>
      <c r="W201" s="264">
        <v>4810</v>
      </c>
      <c r="X201" s="263">
        <v>4967</v>
      </c>
      <c r="Y201" s="263">
        <v>5037</v>
      </c>
      <c r="Z201" s="264">
        <v>5062</v>
      </c>
      <c r="AA201" s="264">
        <v>5156</v>
      </c>
      <c r="AB201" s="264">
        <v>5447</v>
      </c>
      <c r="AC201" s="264">
        <v>5269</v>
      </c>
      <c r="AD201" s="201"/>
      <c r="AE201" s="201"/>
      <c r="AF201" s="201"/>
    </row>
    <row r="202" spans="1:32">
      <c r="A202" s="245" t="s">
        <v>204</v>
      </c>
      <c r="L202" s="256">
        <v>83</v>
      </c>
      <c r="M202" s="252">
        <v>40.32</v>
      </c>
      <c r="N202" s="233" t="s">
        <v>222</v>
      </c>
      <c r="O202" s="233" t="s">
        <v>223</v>
      </c>
      <c r="P202" s="263">
        <v>93169</v>
      </c>
      <c r="Q202" s="263">
        <v>92000</v>
      </c>
      <c r="R202" s="264">
        <v>94468</v>
      </c>
      <c r="S202" s="263">
        <v>89139</v>
      </c>
      <c r="T202" s="263">
        <v>85488</v>
      </c>
      <c r="U202" s="265" t="s">
        <v>37</v>
      </c>
      <c r="V202" s="264">
        <v>90959</v>
      </c>
      <c r="W202" s="264">
        <v>94993</v>
      </c>
      <c r="X202" s="263">
        <v>101574</v>
      </c>
      <c r="Y202" s="263">
        <v>99971</v>
      </c>
      <c r="Z202" s="265">
        <v>105138</v>
      </c>
      <c r="AA202" s="265">
        <v>107265</v>
      </c>
      <c r="AB202" s="265">
        <v>107866</v>
      </c>
      <c r="AC202" s="265"/>
      <c r="AD202" s="199"/>
      <c r="AE202" s="199"/>
    </row>
    <row r="203" spans="1:32">
      <c r="A203" s="244" t="s">
        <v>224</v>
      </c>
    </row>
    <row r="204" spans="1:32">
      <c r="A204" s="245" t="s">
        <v>210</v>
      </c>
      <c r="L204" s="260">
        <v>0.05</v>
      </c>
      <c r="M204" s="247">
        <v>5.1999999999999998E-2</v>
      </c>
      <c r="N204" s="247">
        <v>5.0999999999999997E-2</v>
      </c>
      <c r="O204" s="246">
        <v>4.4999999999999998E-2</v>
      </c>
      <c r="P204" s="246">
        <v>4.2000000000000003E-2</v>
      </c>
      <c r="Q204" s="246">
        <v>3.7999999999999999E-2</v>
      </c>
      <c r="R204" s="246">
        <v>3.7999999999999999E-2</v>
      </c>
      <c r="S204" s="246">
        <v>3.4000000000000002E-2</v>
      </c>
      <c r="T204" s="246">
        <v>3.5999999999999997E-2</v>
      </c>
      <c r="U204" s="246">
        <v>3.5000000000000003E-2</v>
      </c>
      <c r="V204" s="247">
        <v>3.2000000000000001E-2</v>
      </c>
      <c r="W204" s="233" t="s">
        <v>37</v>
      </c>
      <c r="X204" s="247">
        <v>6.0000000000000001E-3</v>
      </c>
      <c r="Y204" s="247"/>
    </row>
    <row r="205" spans="1:32">
      <c r="A205" s="245" t="s">
        <v>199</v>
      </c>
      <c r="L205" s="223">
        <f t="shared" ref="L205" si="22">L$37*L204</f>
        <v>72537.75</v>
      </c>
      <c r="M205" s="223">
        <f t="shared" ref="M205" si="23">M$37*M204</f>
        <v>87241.543999999994</v>
      </c>
      <c r="N205" s="223">
        <f t="shared" ref="N205:O205" si="24">N$37*N204</f>
        <v>105898.69499999999</v>
      </c>
      <c r="O205" s="223">
        <f t="shared" si="24"/>
        <v>98392.274999999994</v>
      </c>
      <c r="P205" s="223">
        <f t="shared" ref="P205" si="25">P$37*P204</f>
        <v>95484.900000000009</v>
      </c>
      <c r="Q205" s="223">
        <f t="shared" ref="Q205" si="26">Q$37*Q204</f>
        <v>92424.436000000002</v>
      </c>
      <c r="R205" s="223">
        <f t="shared" ref="R205" si="27">R$37*R204</f>
        <v>94503.72</v>
      </c>
      <c r="S205" s="223">
        <f t="shared" ref="S205" si="28">S$37*S204</f>
        <v>89328.744000000006</v>
      </c>
      <c r="T205" s="223">
        <f t="shared" ref="T205:W205" si="29">T$37*T204</f>
        <v>104896.98</v>
      </c>
      <c r="U205" s="223">
        <f t="shared" si="29"/>
        <v>118458.97000000002</v>
      </c>
      <c r="V205" s="223">
        <f t="shared" si="29"/>
        <v>117160.03200000001</v>
      </c>
      <c r="W205" s="223" t="e">
        <f t="shared" si="29"/>
        <v>#VALUE!</v>
      </c>
      <c r="X205" s="223">
        <f>X$37*X204</f>
        <v>21887.766</v>
      </c>
      <c r="Y205" s="223"/>
    </row>
    <row r="206" spans="1:32">
      <c r="A206" s="233" t="s">
        <v>211</v>
      </c>
      <c r="M206" s="233">
        <v>71</v>
      </c>
      <c r="N206" s="262">
        <v>71</v>
      </c>
      <c r="O206" s="233">
        <v>69</v>
      </c>
      <c r="P206" s="233">
        <v>67</v>
      </c>
      <c r="Q206" s="233">
        <v>70</v>
      </c>
      <c r="R206" s="233">
        <v>67</v>
      </c>
      <c r="S206" s="233">
        <v>66</v>
      </c>
      <c r="T206" s="248">
        <v>69</v>
      </c>
      <c r="U206" s="248">
        <v>68</v>
      </c>
      <c r="V206" s="233">
        <v>62</v>
      </c>
      <c r="X206" s="233">
        <v>4</v>
      </c>
    </row>
    <row r="207" spans="1:32">
      <c r="A207" s="233" t="s">
        <v>225</v>
      </c>
      <c r="M207" s="233">
        <v>18.7</v>
      </c>
      <c r="N207" s="233">
        <v>19.399999999999999</v>
      </c>
      <c r="O207" s="233">
        <v>19.100000000000001</v>
      </c>
      <c r="P207" s="233">
        <v>18.600000000000001</v>
      </c>
      <c r="Q207" s="262">
        <v>20.8</v>
      </c>
      <c r="R207" s="233">
        <v>20.2</v>
      </c>
      <c r="S207" s="248">
        <v>20.2</v>
      </c>
      <c r="T207" s="248">
        <v>21</v>
      </c>
      <c r="U207" s="248">
        <v>21</v>
      </c>
      <c r="V207" s="233">
        <v>19.600000000000001</v>
      </c>
      <c r="X207" s="233">
        <v>1.95</v>
      </c>
    </row>
    <row r="208" spans="1:32">
      <c r="A208" s="233" t="s">
        <v>202</v>
      </c>
      <c r="M208" s="247">
        <v>0.91900000000000004</v>
      </c>
      <c r="N208" s="247">
        <v>0.91600000000000004</v>
      </c>
      <c r="O208" s="247">
        <v>0.93200000000000005</v>
      </c>
      <c r="P208" s="247">
        <v>0.94099999999999995</v>
      </c>
      <c r="Q208" s="247">
        <v>0.90700000000000003</v>
      </c>
      <c r="R208" s="247">
        <v>0.90700000000000003</v>
      </c>
      <c r="S208" s="246">
        <v>0.91600000000000004</v>
      </c>
      <c r="T208" s="250">
        <v>0.93500000000000005</v>
      </c>
      <c r="U208" s="250">
        <v>0.94699999999999995</v>
      </c>
      <c r="V208" s="260">
        <v>0.95</v>
      </c>
    </row>
    <row r="209" spans="1:25">
      <c r="A209" s="233" t="s">
        <v>213</v>
      </c>
      <c r="M209" s="252">
        <v>10.91</v>
      </c>
      <c r="N209" s="252">
        <v>11.41</v>
      </c>
      <c r="O209" s="252">
        <v>11.82</v>
      </c>
      <c r="P209" s="233">
        <v>12.43</v>
      </c>
      <c r="Q209" s="267">
        <v>13.25</v>
      </c>
      <c r="R209" s="252">
        <v>13.45</v>
      </c>
      <c r="S209" s="253">
        <v>13.38</v>
      </c>
      <c r="T209" s="254">
        <v>13.71</v>
      </c>
      <c r="U209" s="254">
        <v>14.04</v>
      </c>
      <c r="V209" s="233">
        <v>14.59</v>
      </c>
    </row>
    <row r="210" spans="1:25">
      <c r="A210" s="245" t="s">
        <v>204</v>
      </c>
      <c r="M210" s="256">
        <v>215</v>
      </c>
      <c r="N210" s="268">
        <v>220</v>
      </c>
      <c r="O210" s="256">
        <v>222</v>
      </c>
    </row>
    <row r="211" spans="1:25">
      <c r="A211" s="233" t="s">
        <v>226</v>
      </c>
    </row>
    <row r="212" spans="1:25">
      <c r="A212" s="233" t="s">
        <v>227</v>
      </c>
      <c r="M212" s="247">
        <v>1.7999999999999999E-2</v>
      </c>
      <c r="N212" s="246">
        <v>1.0999999999999999E-2</v>
      </c>
      <c r="O212" s="247">
        <v>2E-3</v>
      </c>
      <c r="P212" s="247">
        <v>2E-3</v>
      </c>
      <c r="Q212" s="247">
        <v>2E-3</v>
      </c>
      <c r="R212" s="247">
        <v>2E-3</v>
      </c>
      <c r="S212" s="247">
        <v>2E-3</v>
      </c>
      <c r="T212" s="247">
        <v>2E-3</v>
      </c>
      <c r="U212" s="246">
        <v>8.9999999999999993E-3</v>
      </c>
      <c r="V212" s="247">
        <v>7.0000000000000001E-3</v>
      </c>
      <c r="Y212" s="247">
        <v>6.0000000000000001E-3</v>
      </c>
    </row>
    <row r="228" spans="1:29" ht="15" customHeight="1">
      <c r="A228" s="531" t="s">
        <v>228</v>
      </c>
      <c r="B228" s="531"/>
      <c r="C228" s="531"/>
      <c r="D228" s="531"/>
      <c r="E228" s="531"/>
      <c r="F228" s="531"/>
      <c r="G228" s="239"/>
      <c r="H228" s="239"/>
      <c r="I228" s="239"/>
      <c r="J228" s="239"/>
      <c r="K228" s="239"/>
      <c r="L228" s="239"/>
      <c r="M228" s="239"/>
      <c r="N228" s="239"/>
      <c r="O228" s="239"/>
      <c r="P228" s="239"/>
      <c r="Q228" s="239"/>
      <c r="R228" s="239"/>
      <c r="S228" s="239"/>
      <c r="T228" s="239"/>
      <c r="U228" s="239"/>
      <c r="V228" s="239"/>
      <c r="W228" s="239"/>
      <c r="X228" s="239"/>
      <c r="Y228" s="239"/>
      <c r="Z228" s="239"/>
      <c r="AA228" s="239"/>
      <c r="AB228" s="239"/>
      <c r="AC228" s="239"/>
    </row>
    <row r="229" spans="1:29" ht="15" customHeight="1">
      <c r="A229" s="531"/>
      <c r="B229" s="531"/>
      <c r="C229" s="531"/>
      <c r="D229" s="531"/>
      <c r="E229" s="531"/>
      <c r="F229" s="531"/>
      <c r="G229" s="239"/>
      <c r="H229" s="239"/>
      <c r="I229" s="239"/>
      <c r="J229" s="239"/>
      <c r="K229" s="239"/>
      <c r="L229" s="239"/>
      <c r="M229" s="239"/>
      <c r="N229" s="239"/>
      <c r="O229" s="239"/>
      <c r="P229" s="239"/>
      <c r="Q229" s="239"/>
      <c r="R229" s="239"/>
      <c r="S229" s="239"/>
      <c r="T229" s="239"/>
      <c r="U229" s="239"/>
      <c r="V229" s="239"/>
      <c r="W229" s="239"/>
      <c r="X229" s="239"/>
      <c r="Y229" s="239"/>
      <c r="Z229" s="239"/>
      <c r="AA229" s="239"/>
      <c r="AB229" s="239"/>
      <c r="AC229" s="239"/>
    </row>
    <row r="230" spans="1:29" ht="15" customHeight="1">
      <c r="A230" s="531"/>
      <c r="B230" s="531"/>
      <c r="C230" s="531"/>
      <c r="D230" s="531"/>
      <c r="E230" s="531"/>
      <c r="F230" s="531"/>
      <c r="G230" s="239"/>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row>
    <row r="231" spans="1:29" ht="15" customHeight="1">
      <c r="A231" s="531"/>
      <c r="B231" s="531"/>
      <c r="C231" s="531"/>
      <c r="D231" s="531"/>
      <c r="E231" s="531"/>
      <c r="F231" s="531"/>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row>
    <row r="232" spans="1:29" ht="15.5">
      <c r="A232" s="529"/>
      <c r="B232" s="529"/>
      <c r="C232" s="529"/>
      <c r="D232" s="529"/>
      <c r="E232" s="239"/>
      <c r="F232" s="239"/>
      <c r="G232" s="239"/>
      <c r="H232" s="239"/>
      <c r="I232" s="239"/>
      <c r="J232" s="239"/>
      <c r="K232" s="239"/>
      <c r="L232" s="239"/>
      <c r="M232" s="239"/>
      <c r="N232" s="239"/>
      <c r="O232" s="239"/>
      <c r="P232" s="239"/>
      <c r="Q232" s="239"/>
      <c r="R232" s="239"/>
      <c r="S232" s="239"/>
      <c r="T232" s="239"/>
      <c r="U232" s="239"/>
      <c r="V232" s="239"/>
      <c r="W232" s="239"/>
      <c r="X232" s="239"/>
      <c r="Y232" s="239"/>
      <c r="Z232" s="239"/>
      <c r="AA232" s="239"/>
      <c r="AB232" s="239"/>
      <c r="AC232" s="239"/>
    </row>
    <row r="233" spans="1:29">
      <c r="A233" s="530" t="s">
        <v>229</v>
      </c>
      <c r="B233" s="530"/>
      <c r="C233" s="530"/>
      <c r="D233" s="530"/>
      <c r="E233" s="530"/>
      <c r="F233" s="530"/>
      <c r="G233" s="530"/>
      <c r="H233" s="530"/>
      <c r="I233" s="530"/>
      <c r="J233" s="530"/>
      <c r="K233" s="530"/>
      <c r="L233" s="530"/>
      <c r="M233" s="530"/>
      <c r="N233" s="530"/>
      <c r="O233" s="530"/>
      <c r="P233" s="530"/>
      <c r="Q233" s="530"/>
      <c r="R233" s="530"/>
      <c r="S233" s="530"/>
      <c r="T233" s="530"/>
      <c r="U233" s="530"/>
      <c r="V233" s="530"/>
      <c r="W233" s="530"/>
      <c r="X233" s="530"/>
      <c r="Y233" s="530"/>
      <c r="Z233" s="530"/>
      <c r="AA233" s="530"/>
      <c r="AB233" s="530"/>
      <c r="AC233" s="530"/>
    </row>
    <row r="234" spans="1:29">
      <c r="A234" s="219" t="s">
        <v>230</v>
      </c>
      <c r="B234" s="219"/>
      <c r="C234" s="239"/>
      <c r="D234" s="239"/>
      <c r="E234" s="239"/>
      <c r="F234" s="239"/>
      <c r="G234" s="239"/>
      <c r="H234" s="239"/>
      <c r="I234" s="239"/>
      <c r="J234" s="239"/>
      <c r="K234" s="239"/>
      <c r="L234" s="239"/>
      <c r="M234" s="239"/>
      <c r="N234" s="239"/>
      <c r="O234" s="239"/>
      <c r="P234" s="239"/>
      <c r="Q234" s="239"/>
      <c r="R234" s="239"/>
      <c r="S234" s="239"/>
      <c r="T234" s="239"/>
      <c r="U234" s="239"/>
      <c r="V234" s="239"/>
      <c r="W234" s="239"/>
      <c r="X234" s="239"/>
      <c r="Y234" s="239"/>
      <c r="Z234" s="239"/>
      <c r="AA234" s="239"/>
      <c r="AB234" s="239"/>
      <c r="AC234" s="239"/>
    </row>
    <row r="235" spans="1:29">
      <c r="A235" s="239"/>
      <c r="B235" s="239"/>
      <c r="C235" s="239"/>
      <c r="D235" s="239"/>
      <c r="E235" s="239"/>
      <c r="F235" s="239"/>
      <c r="G235" s="239"/>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row>
    <row r="236" spans="1:29">
      <c r="A236" s="219" t="s">
        <v>231</v>
      </c>
      <c r="B236" s="328"/>
      <c r="C236" s="239"/>
      <c r="D236" s="239"/>
      <c r="E236" s="239"/>
      <c r="F236" s="239"/>
      <c r="G236" s="239"/>
      <c r="H236" s="239"/>
      <c r="I236" s="239"/>
      <c r="J236" s="239"/>
      <c r="K236" s="239"/>
      <c r="L236" s="239"/>
      <c r="M236" s="239"/>
      <c r="N236" s="239"/>
      <c r="O236" s="239"/>
      <c r="P236" s="239"/>
      <c r="Q236" s="239"/>
      <c r="R236" s="239"/>
      <c r="S236" s="239"/>
      <c r="T236" s="239"/>
      <c r="U236" s="239"/>
      <c r="V236" s="239"/>
      <c r="W236" s="239"/>
      <c r="X236" s="239"/>
      <c r="Y236" s="239"/>
      <c r="Z236" s="239"/>
      <c r="AA236" s="239"/>
      <c r="AB236" s="239"/>
      <c r="AC236" s="239"/>
    </row>
    <row r="237" spans="1:29">
      <c r="A237" s="219" t="s">
        <v>232</v>
      </c>
      <c r="B237" s="328"/>
      <c r="C237" s="239"/>
      <c r="D237" s="239"/>
      <c r="E237" s="239"/>
      <c r="F237" s="239"/>
      <c r="G237" s="239"/>
      <c r="H237" s="239"/>
      <c r="I237" s="239"/>
      <c r="J237" s="239"/>
      <c r="K237" s="239"/>
      <c r="L237" s="239"/>
      <c r="M237" s="239"/>
      <c r="N237" s="239"/>
      <c r="O237" s="239"/>
      <c r="P237" s="239"/>
      <c r="Q237" s="239"/>
      <c r="R237" s="239"/>
      <c r="S237" s="239"/>
      <c r="T237" s="239"/>
      <c r="U237" s="239"/>
      <c r="V237" s="239"/>
      <c r="W237" s="239"/>
      <c r="X237" s="239"/>
      <c r="Y237" s="239"/>
      <c r="Z237" s="239"/>
      <c r="AA237" s="239"/>
      <c r="AB237" s="239"/>
      <c r="AC237" s="239"/>
    </row>
    <row r="238" spans="1:29">
      <c r="A238" s="219" t="s">
        <v>233</v>
      </c>
      <c r="B238" s="328"/>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39"/>
      <c r="AC238" s="239"/>
    </row>
    <row r="239" spans="1:29">
      <c r="A239" s="219" t="s">
        <v>234</v>
      </c>
      <c r="B239" s="328"/>
      <c r="C239" s="239"/>
      <c r="D239" s="239"/>
      <c r="E239" s="239"/>
      <c r="F239" s="239"/>
      <c r="G239" s="239"/>
      <c r="H239" s="239"/>
      <c r="I239" s="239"/>
      <c r="J239" s="239"/>
      <c r="K239" s="239"/>
      <c r="L239" s="239"/>
      <c r="M239" s="239"/>
      <c r="N239" s="239"/>
      <c r="O239" s="239"/>
      <c r="P239" s="239"/>
      <c r="Q239" s="239"/>
      <c r="R239" s="239"/>
      <c r="S239" s="239"/>
      <c r="T239" s="239"/>
      <c r="U239" s="239"/>
      <c r="V239" s="239"/>
      <c r="W239" s="239"/>
      <c r="X239" s="239"/>
      <c r="Y239" s="239"/>
      <c r="Z239" s="239"/>
      <c r="AA239" s="239"/>
      <c r="AB239" s="239"/>
      <c r="AC239" s="239"/>
    </row>
    <row r="240" spans="1:29">
      <c r="A240" s="219" t="s">
        <v>235</v>
      </c>
      <c r="B240" s="328"/>
      <c r="C240" s="239"/>
      <c r="D240" s="239"/>
      <c r="E240" s="239"/>
      <c r="F240" s="239"/>
      <c r="G240" s="239"/>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row>
  </sheetData>
  <mergeCells count="3">
    <mergeCell ref="A232:D232"/>
    <mergeCell ref="A233:AC233"/>
    <mergeCell ref="A228:F231"/>
  </mergeCells>
  <phoneticPr fontId="45"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33E1-62F3-4B57-BB2E-76FA785448D1}">
  <sheetPr>
    <tabColor rgb="FF4472C4"/>
  </sheetPr>
  <dimension ref="A1:M41"/>
  <sheetViews>
    <sheetView workbookViewId="0">
      <pane ySplit="1" topLeftCell="A2" activePane="bottomLeft" state="frozen"/>
      <selection pane="bottomLeft" activeCell="A17" sqref="A17"/>
    </sheetView>
  </sheetViews>
  <sheetFormatPr defaultColWidth="8.83203125" defaultRowHeight="14.25" customHeight="1"/>
  <cols>
    <col min="1" max="1" width="31.83203125" style="279" customWidth="1"/>
    <col min="2" max="2" width="10.58203125" style="347" customWidth="1"/>
    <col min="3" max="3" width="11.33203125" style="347" customWidth="1"/>
    <col min="4" max="4" width="10.58203125" style="347" customWidth="1"/>
    <col min="5" max="5" width="11.08203125" style="347" customWidth="1"/>
    <col min="6" max="6" width="10.83203125" style="347" customWidth="1"/>
    <col min="7" max="7" width="10.33203125" style="347" customWidth="1"/>
    <col min="8" max="8" width="10.58203125" style="347" bestFit="1" customWidth="1"/>
    <col min="9" max="10" width="10.58203125" style="13" bestFit="1" customWidth="1"/>
    <col min="11" max="11" width="10.58203125" style="13" customWidth="1"/>
    <col min="12" max="12" width="9" style="13"/>
  </cols>
  <sheetData>
    <row r="1" spans="1:13" ht="14">
      <c r="B1" s="346" t="s">
        <v>236</v>
      </c>
      <c r="C1" s="346" t="s">
        <v>237</v>
      </c>
      <c r="D1" s="346" t="s">
        <v>238</v>
      </c>
      <c r="E1" s="346" t="s">
        <v>239</v>
      </c>
      <c r="F1" s="346" t="s">
        <v>240</v>
      </c>
      <c r="G1" s="346" t="s">
        <v>241</v>
      </c>
      <c r="H1" s="346" t="s">
        <v>242</v>
      </c>
      <c r="I1" s="353" t="s">
        <v>243</v>
      </c>
      <c r="J1" s="353" t="s">
        <v>244</v>
      </c>
      <c r="K1" s="353" t="s">
        <v>245</v>
      </c>
    </row>
    <row r="2" spans="1:13" ht="14">
      <c r="A2" s="356" t="s">
        <v>196</v>
      </c>
    </row>
    <row r="3" spans="1:13" ht="14">
      <c r="A3" s="357" t="s">
        <v>246</v>
      </c>
    </row>
    <row r="4" spans="1:13" ht="14">
      <c r="A4" s="358" t="s">
        <v>210</v>
      </c>
      <c r="B4" s="348">
        <v>0.80400000000000005</v>
      </c>
      <c r="C4" s="348">
        <v>0.79900000000000004</v>
      </c>
      <c r="D4" s="348">
        <v>0.79</v>
      </c>
      <c r="E4" s="348">
        <v>0.79</v>
      </c>
      <c r="F4" s="348">
        <v>0.79400000000000004</v>
      </c>
    </row>
    <row r="5" spans="1:13" ht="14">
      <c r="A5" s="358" t="s">
        <v>199</v>
      </c>
      <c r="B5" s="349">
        <v>3104811.6240000003</v>
      </c>
      <c r="C5" s="349">
        <v>3146395.6830000002</v>
      </c>
      <c r="D5" s="349">
        <v>3125660.2800000003</v>
      </c>
      <c r="E5" s="349">
        <v>3182344.3600000003</v>
      </c>
      <c r="F5" s="349">
        <v>2601392.5220000003</v>
      </c>
    </row>
    <row r="6" spans="1:13" ht="14">
      <c r="A6" s="279" t="s">
        <v>211</v>
      </c>
      <c r="B6" s="349">
        <v>175</v>
      </c>
      <c r="C6" s="349">
        <v>175</v>
      </c>
      <c r="D6" s="349">
        <v>176</v>
      </c>
      <c r="E6" s="349">
        <v>175</v>
      </c>
      <c r="F6" s="349">
        <v>168</v>
      </c>
    </row>
    <row r="7" spans="1:13" ht="15.5">
      <c r="A7" s="358" t="s">
        <v>201</v>
      </c>
      <c r="B7" s="350">
        <v>152</v>
      </c>
      <c r="C7" s="350">
        <v>151.1</v>
      </c>
      <c r="D7" s="350">
        <v>151.19999999999999</v>
      </c>
      <c r="E7" s="350">
        <v>150.30000000000001</v>
      </c>
      <c r="F7" s="350">
        <v>142.30000000000001</v>
      </c>
      <c r="G7" s="350">
        <v>138.5</v>
      </c>
      <c r="H7" s="350">
        <v>137.6</v>
      </c>
      <c r="I7" s="354">
        <f>H7</f>
        <v>137.6</v>
      </c>
      <c r="J7" s="354">
        <f>I7</f>
        <v>137.6</v>
      </c>
      <c r="K7" s="354">
        <f>J7</f>
        <v>137.6</v>
      </c>
      <c r="L7" s="13">
        <f>I7</f>
        <v>137.6</v>
      </c>
      <c r="M7" s="202" t="s">
        <v>247</v>
      </c>
    </row>
    <row r="8" spans="1:13" ht="15.5">
      <c r="A8" s="279" t="s">
        <v>248</v>
      </c>
      <c r="B8" s="348">
        <v>0.96799999999999997</v>
      </c>
      <c r="C8" s="348">
        <v>0.95599999999999996</v>
      </c>
      <c r="D8" s="348">
        <v>0.95899999999999996</v>
      </c>
      <c r="E8" s="348">
        <v>0.95099999999999996</v>
      </c>
      <c r="F8" s="348">
        <v>0.91300000000000003</v>
      </c>
      <c r="G8" s="348">
        <v>0.93400000000000005</v>
      </c>
      <c r="H8" s="348">
        <v>0.94899999999999995</v>
      </c>
      <c r="I8" s="450">
        <f>H8+$L8</f>
        <v>0.95899999999999996</v>
      </c>
      <c r="J8" s="450">
        <f>I8+$L8</f>
        <v>0.96899999999999997</v>
      </c>
      <c r="K8" s="450">
        <f>J8+$L8</f>
        <v>0.97899999999999998</v>
      </c>
      <c r="L8" s="449">
        <v>0.01</v>
      </c>
      <c r="M8" s="202" t="s">
        <v>249</v>
      </c>
    </row>
    <row r="9" spans="1:13" ht="14">
      <c r="A9" s="359" t="s">
        <v>250</v>
      </c>
      <c r="B9" s="351">
        <v>51.59</v>
      </c>
      <c r="C9" s="351">
        <v>53.11</v>
      </c>
      <c r="D9" s="351">
        <v>54.18</v>
      </c>
      <c r="E9" s="351">
        <v>54.59</v>
      </c>
      <c r="F9" s="351">
        <v>55.8</v>
      </c>
      <c r="G9" s="351">
        <v>53.97</v>
      </c>
      <c r="H9" s="351">
        <v>55.13</v>
      </c>
    </row>
    <row r="10" spans="1:13" ht="14">
      <c r="A10" s="359" t="s">
        <v>251</v>
      </c>
      <c r="B10" s="350">
        <v>614</v>
      </c>
      <c r="C10" s="350">
        <v>628</v>
      </c>
      <c r="D10" s="350">
        <v>661</v>
      </c>
      <c r="E10" s="350">
        <v>693</v>
      </c>
      <c r="F10" s="350" t="s">
        <v>205</v>
      </c>
    </row>
    <row r="11" spans="1:13" ht="15.5">
      <c r="A11" s="358" t="s">
        <v>206</v>
      </c>
      <c r="B11" s="454">
        <f>Everything!Y176</f>
        <v>27.402588353632019</v>
      </c>
      <c r="C11" s="454">
        <f>Everything!Z176</f>
        <v>28.25977767639819</v>
      </c>
      <c r="D11" s="454">
        <f>Everything!AA176</f>
        <v>28.104340113985582</v>
      </c>
      <c r="E11" s="454">
        <f>Everything!AB176</f>
        <v>28.982197469764294</v>
      </c>
      <c r="F11" s="454">
        <f>Everything!AC176</f>
        <v>26.293734816606229</v>
      </c>
      <c r="G11" s="454">
        <f>Everything!AD176</f>
        <v>26.400748297373973</v>
      </c>
      <c r="H11" s="454">
        <f>Everything!AE176</f>
        <v>26.783010382716203</v>
      </c>
      <c r="I11" s="355">
        <f>H11*(1+$L11)</f>
        <v>28.122160901852013</v>
      </c>
      <c r="J11" s="355">
        <f>I11*(1+$L11)</f>
        <v>29.528268946944614</v>
      </c>
      <c r="K11" s="355">
        <f>J11*(1+$L11)</f>
        <v>31.004682394291844</v>
      </c>
      <c r="L11" s="449">
        <v>0.05</v>
      </c>
      <c r="M11" s="202" t="s">
        <v>252</v>
      </c>
    </row>
    <row r="12" spans="1:13" ht="14">
      <c r="A12" s="360" t="s">
        <v>253</v>
      </c>
      <c r="B12" s="455">
        <f>Everything!Y177</f>
        <v>0.13100000000000001</v>
      </c>
      <c r="C12" s="455">
        <f>Everything!Z177</f>
        <v>0.13200000000000001</v>
      </c>
      <c r="D12" s="455">
        <f>Everything!AA177</f>
        <v>0.128</v>
      </c>
      <c r="E12" s="455">
        <f>Everything!AB177</f>
        <v>0.125</v>
      </c>
      <c r="F12" s="455" t="str">
        <f>Everything!AC177</f>
        <v>ND</v>
      </c>
      <c r="G12" s="455" t="str">
        <f>Everything!AD177</f>
        <v>ND</v>
      </c>
    </row>
    <row r="13" spans="1:13" ht="14">
      <c r="A13" s="361" t="s">
        <v>254</v>
      </c>
      <c r="B13" s="348">
        <v>0.33935217415461916</v>
      </c>
      <c r="C13" s="348">
        <v>0.33404380978958148</v>
      </c>
      <c r="D13" s="348">
        <v>0.34339029035924362</v>
      </c>
      <c r="E13" s="348">
        <v>0.32796618591144822</v>
      </c>
      <c r="F13" s="348">
        <v>0.40653163022385119</v>
      </c>
    </row>
    <row r="14" spans="1:13" ht="14">
      <c r="A14" s="357" t="s">
        <v>209</v>
      </c>
      <c r="B14" s="350"/>
      <c r="C14" s="350"/>
      <c r="D14" s="350"/>
      <c r="E14" s="350"/>
      <c r="F14" s="350"/>
    </row>
    <row r="15" spans="1:13" ht="14">
      <c r="A15" s="358" t="s">
        <v>210</v>
      </c>
      <c r="B15" s="348">
        <v>0.106</v>
      </c>
      <c r="C15" s="348">
        <v>0.111</v>
      </c>
      <c r="D15" s="348">
        <v>0.111</v>
      </c>
      <c r="E15" s="348">
        <v>0.11700000000000001</v>
      </c>
      <c r="F15" s="348">
        <v>0.113</v>
      </c>
    </row>
    <row r="16" spans="1:13" ht="14">
      <c r="A16" s="358" t="s">
        <v>199</v>
      </c>
      <c r="B16" s="350"/>
      <c r="C16" s="350">
        <v>5.8952099999999996</v>
      </c>
      <c r="D16" s="350"/>
      <c r="E16" s="350">
        <v>6.3870300000000011</v>
      </c>
      <c r="F16" s="350"/>
    </row>
    <row r="17" spans="1:13" ht="14">
      <c r="A17" s="279" t="s">
        <v>216</v>
      </c>
      <c r="B17" s="349">
        <v>14</v>
      </c>
      <c r="C17" s="349">
        <v>14</v>
      </c>
      <c r="D17" s="349">
        <v>14</v>
      </c>
      <c r="E17" s="349">
        <v>14</v>
      </c>
      <c r="F17" s="349">
        <v>14</v>
      </c>
      <c r="L17"/>
    </row>
    <row r="18" spans="1:13" ht="14.5">
      <c r="A18" s="359" t="s">
        <v>255</v>
      </c>
      <c r="B18" s="456">
        <f>Everything!Y183</f>
        <v>21.1</v>
      </c>
      <c r="C18" s="456">
        <f>Everything!Z183</f>
        <v>21.1</v>
      </c>
      <c r="D18" s="456">
        <f>Everything!AA183</f>
        <v>21.4</v>
      </c>
      <c r="E18" s="456">
        <f>Everything!AB183</f>
        <v>21.5</v>
      </c>
      <c r="F18" s="456">
        <f>Everything!AC183</f>
        <v>21.3</v>
      </c>
      <c r="G18" s="456">
        <f>Everything!AD183</f>
        <v>21.3</v>
      </c>
      <c r="H18" s="456">
        <f>Everything!AE183</f>
        <v>21.3</v>
      </c>
      <c r="I18" s="523">
        <f t="shared" ref="I18:K18" si="0">H18</f>
        <v>21.3</v>
      </c>
      <c r="J18" s="523">
        <f t="shared" si="0"/>
        <v>21.3</v>
      </c>
      <c r="K18" s="523">
        <f t="shared" si="0"/>
        <v>21.3</v>
      </c>
      <c r="L18"/>
      <c r="M18" s="202" t="s">
        <v>256</v>
      </c>
    </row>
    <row r="19" spans="1:13" ht="14.5">
      <c r="A19" s="362" t="s">
        <v>257</v>
      </c>
      <c r="B19" s="455">
        <f>Everything!Y184</f>
        <v>0.98399999999999999</v>
      </c>
      <c r="C19" s="455">
        <f>Everything!Z184</f>
        <v>0.98399999999999999</v>
      </c>
      <c r="D19" s="455">
        <f>Everything!AA184</f>
        <v>0.97599999999999998</v>
      </c>
      <c r="E19" s="455">
        <f>Everything!AB184</f>
        <v>0.97</v>
      </c>
      <c r="F19" s="455">
        <f>Everything!AC184</f>
        <v>0.95299999999999996</v>
      </c>
      <c r="G19" s="455">
        <f>Everything!AD184</f>
        <v>0.97599999999999998</v>
      </c>
      <c r="H19" s="455">
        <f>Everything!AE184</f>
        <v>0.98199999999999998</v>
      </c>
      <c r="I19" s="524">
        <f>H19+$L19</f>
        <v>0.98699999999999999</v>
      </c>
      <c r="J19" s="524">
        <f t="shared" ref="J19:K19" si="1">I19+$L19</f>
        <v>0.99199999999999999</v>
      </c>
      <c r="K19" s="524">
        <f t="shared" si="1"/>
        <v>0.997</v>
      </c>
      <c r="L19" s="449">
        <v>5.0000000000000001E-3</v>
      </c>
      <c r="M19" s="202" t="s">
        <v>258</v>
      </c>
    </row>
    <row r="20" spans="1:13" ht="14">
      <c r="A20" s="279" t="s">
        <v>213</v>
      </c>
      <c r="B20" s="351">
        <v>29.07</v>
      </c>
      <c r="C20" s="351">
        <v>30.98</v>
      </c>
      <c r="D20" s="351">
        <v>32.630000000000003</v>
      </c>
      <c r="E20" s="351">
        <v>33.090000000000003</v>
      </c>
      <c r="F20" s="351">
        <v>33.770000000000003</v>
      </c>
      <c r="L20" s="449"/>
    </row>
    <row r="21" spans="1:13" ht="14">
      <c r="A21" s="358" t="s">
        <v>204</v>
      </c>
      <c r="B21" s="351">
        <v>614</v>
      </c>
      <c r="C21" s="351">
        <v>628</v>
      </c>
      <c r="D21" s="351">
        <v>614</v>
      </c>
      <c r="E21" s="351">
        <v>620</v>
      </c>
      <c r="F21" s="351" t="s">
        <v>205</v>
      </c>
      <c r="L21" s="449"/>
    </row>
    <row r="22" spans="1:13" ht="14.5">
      <c r="A22" s="358" t="s">
        <v>206</v>
      </c>
      <c r="B22" s="454">
        <f>Everything!Y187</f>
        <v>25.602524756290215</v>
      </c>
      <c r="C22" s="454">
        <f>Everything!Z187</f>
        <v>27.314279129580395</v>
      </c>
      <c r="D22" s="454">
        <f>Everything!AA187</f>
        <v>27.414232227669679</v>
      </c>
      <c r="E22" s="454">
        <f>Everything!AB187</f>
        <v>29.418422776312635</v>
      </c>
      <c r="F22" s="454">
        <f>Everything!AC187</f>
        <v>23.950434309248287</v>
      </c>
      <c r="G22" s="454">
        <f>Everything!AD187</f>
        <v>25.291301518125142</v>
      </c>
      <c r="H22" s="454">
        <f>Everything!AE187</f>
        <v>26.499754979298739</v>
      </c>
      <c r="I22" s="525">
        <f>H22*(1+$L22)</f>
        <v>27.824742728263676</v>
      </c>
      <c r="J22" s="525">
        <f>I22*(1+$L22)</f>
        <v>29.215979864676861</v>
      </c>
      <c r="K22" s="525">
        <f>J22*(1+$L22)</f>
        <v>30.676778857910705</v>
      </c>
      <c r="L22" s="449">
        <v>0.05</v>
      </c>
      <c r="M22" s="202" t="s">
        <v>249</v>
      </c>
    </row>
    <row r="23" spans="1:13" ht="14">
      <c r="A23" s="357" t="s">
        <v>214</v>
      </c>
      <c r="B23" s="350"/>
      <c r="C23" s="350"/>
      <c r="D23" s="350"/>
      <c r="E23" s="350"/>
      <c r="F23" s="350"/>
      <c r="L23"/>
    </row>
    <row r="24" spans="1:13" ht="14">
      <c r="A24" s="358" t="s">
        <v>210</v>
      </c>
      <c r="B24" s="348">
        <v>8.9999999999999955E-2</v>
      </c>
      <c r="C24" s="348">
        <v>8.9999999999999955E-2</v>
      </c>
      <c r="D24" s="348">
        <v>9.8999999999999963E-2</v>
      </c>
      <c r="E24" s="348">
        <v>9.2999999999999958E-2</v>
      </c>
      <c r="F24" s="348">
        <v>9.2999999999999958E-2</v>
      </c>
      <c r="L24"/>
    </row>
    <row r="25" spans="1:13" ht="14">
      <c r="A25" s="358" t="s">
        <v>199</v>
      </c>
      <c r="B25" s="350"/>
      <c r="C25" s="350">
        <v>4.7798999999999978</v>
      </c>
      <c r="D25" s="350"/>
      <c r="E25" s="350">
        <v>5.0768699999999978</v>
      </c>
      <c r="F25" s="350"/>
      <c r="L25"/>
    </row>
    <row r="26" spans="1:13" ht="14">
      <c r="A26" s="279" t="s">
        <v>211</v>
      </c>
      <c r="B26" s="349">
        <v>23</v>
      </c>
      <c r="C26" s="349">
        <v>27</v>
      </c>
      <c r="D26" s="349">
        <v>28</v>
      </c>
      <c r="E26" s="349">
        <v>29</v>
      </c>
      <c r="F26" s="349">
        <v>31</v>
      </c>
      <c r="H26" s="347">
        <v>33</v>
      </c>
      <c r="L26"/>
    </row>
    <row r="27" spans="1:13" ht="14.5">
      <c r="A27" s="279" t="s">
        <v>259</v>
      </c>
      <c r="B27" s="456">
        <f>Everything!Y192</f>
        <v>7.4</v>
      </c>
      <c r="C27" s="456">
        <f>Everything!Z192</f>
        <v>8.8000000000000007</v>
      </c>
      <c r="D27" s="456">
        <f>Everything!AA192</f>
        <v>9.5</v>
      </c>
      <c r="E27" s="456">
        <f>Everything!AB192</f>
        <v>10.9</v>
      </c>
      <c r="F27" s="456">
        <f>Everything!AC192</f>
        <v>10.1</v>
      </c>
      <c r="G27" s="456">
        <f>Everything!AD192</f>
        <v>11.2</v>
      </c>
      <c r="H27" s="456">
        <f>Everything!AE192</f>
        <v>11.5</v>
      </c>
      <c r="I27" s="526">
        <f>H27+$L27</f>
        <v>12</v>
      </c>
      <c r="J27" s="526">
        <f>I27+$L27</f>
        <v>12.5</v>
      </c>
      <c r="K27" s="526">
        <f>J27+$L27</f>
        <v>13</v>
      </c>
      <c r="L27" s="457">
        <v>0.5</v>
      </c>
      <c r="M27" s="202" t="s">
        <v>260</v>
      </c>
    </row>
    <row r="28" spans="1:13" ht="14.5">
      <c r="A28" s="279" t="s">
        <v>202</v>
      </c>
      <c r="B28" s="455">
        <f>Everything!Y193</f>
        <v>0.995</v>
      </c>
      <c r="C28" s="455">
        <f>Everything!Z193</f>
        <v>0.999</v>
      </c>
      <c r="D28" s="455">
        <f>Everything!AA193</f>
        <v>0.997</v>
      </c>
      <c r="E28" s="455">
        <f>Everything!AB193</f>
        <v>0.995</v>
      </c>
      <c r="F28" s="455">
        <f>Everything!AC193</f>
        <v>0.995</v>
      </c>
      <c r="G28" s="455">
        <f>Everything!AD193</f>
        <v>0.998</v>
      </c>
      <c r="H28" s="455">
        <f>Everything!AE193</f>
        <v>0.998</v>
      </c>
      <c r="I28" s="527">
        <f>H28</f>
        <v>0.998</v>
      </c>
      <c r="J28" s="527">
        <f>I28</f>
        <v>0.998</v>
      </c>
      <c r="K28" s="527">
        <f>J28</f>
        <v>0.998</v>
      </c>
      <c r="L28"/>
      <c r="M28" s="202" t="s">
        <v>261</v>
      </c>
    </row>
    <row r="29" spans="1:13" ht="14">
      <c r="A29" s="279" t="s">
        <v>217</v>
      </c>
      <c r="B29" s="352"/>
      <c r="C29" s="352"/>
      <c r="D29" s="352">
        <v>5156</v>
      </c>
      <c r="E29" s="352">
        <v>5447</v>
      </c>
      <c r="F29" s="352">
        <v>5269</v>
      </c>
      <c r="G29" s="352"/>
      <c r="L29"/>
    </row>
    <row r="30" spans="1:13" ht="14">
      <c r="A30" s="358" t="s">
        <v>204</v>
      </c>
      <c r="B30" s="352"/>
      <c r="C30" s="352"/>
      <c r="D30" s="352">
        <v>107265</v>
      </c>
      <c r="E30" s="352">
        <v>107866</v>
      </c>
      <c r="F30" s="352"/>
      <c r="G30" s="352"/>
      <c r="L30"/>
    </row>
    <row r="31" spans="1:13" ht="14.5">
      <c r="A31" s="359" t="s">
        <v>206</v>
      </c>
      <c r="B31" s="454">
        <f>Everything!Y196</f>
        <v>57.210924894743997</v>
      </c>
      <c r="C31" s="454">
        <f>Everything!Z196</f>
        <v>52.304453316953314</v>
      </c>
      <c r="D31" s="454">
        <f>Everything!AA196</f>
        <v>54.462545531330839</v>
      </c>
      <c r="E31" s="454">
        <f>Everything!AB196</f>
        <v>44.965257756673275</v>
      </c>
      <c r="F31" s="454">
        <f>Everything!AC196</f>
        <v>39.814929200457733</v>
      </c>
      <c r="G31" s="454">
        <f>Everything!AD196</f>
        <v>36.020354548382485</v>
      </c>
      <c r="H31" s="454">
        <f>Everything!AE196</f>
        <v>40.174823560163809</v>
      </c>
      <c r="I31" s="525">
        <f>H31*(1+$L31)</f>
        <v>41.380068266968721</v>
      </c>
      <c r="J31" s="525">
        <f>I31*(1+$L31)</f>
        <v>42.621470314977785</v>
      </c>
      <c r="K31" s="525">
        <f>J31*(1+$L31)</f>
        <v>43.900114424427116</v>
      </c>
      <c r="L31" s="449">
        <v>0.03</v>
      </c>
      <c r="M31" s="202" t="s">
        <v>249</v>
      </c>
    </row>
    <row r="32" spans="1:13" ht="14.5">
      <c r="A32" s="356" t="s">
        <v>262</v>
      </c>
      <c r="B32" s="512">
        <f>Everything!Y33</f>
        <v>5014810</v>
      </c>
      <c r="C32" s="512">
        <f>Everything!Z33</f>
        <v>5109099</v>
      </c>
      <c r="D32" s="512">
        <f>Everything!AA33</f>
        <v>5158420</v>
      </c>
      <c r="E32" s="512">
        <f>Everything!AB33</f>
        <v>5243771</v>
      </c>
      <c r="F32" s="512">
        <f>Everything!AC33</f>
        <v>4302367</v>
      </c>
      <c r="G32" s="512">
        <f>Everything!AD33</f>
        <v>4736719</v>
      </c>
      <c r="H32" s="512">
        <f>Everything!AE33</f>
        <v>4905175</v>
      </c>
      <c r="I32" s="453">
        <f t="shared" ref="I32:J32" si="2">I33+I34</f>
        <v>5183899.4035667265</v>
      </c>
      <c r="J32" s="453">
        <f t="shared" si="2"/>
        <v>5478572.8334075157</v>
      </c>
      <c r="K32" s="453">
        <f t="shared" ref="K32" si="3">K33+K34</f>
        <v>5790082.3952550068</v>
      </c>
      <c r="L32" s="449"/>
      <c r="M32" s="202" t="s">
        <v>263</v>
      </c>
    </row>
    <row r="33" spans="1:13" ht="14.5">
      <c r="A33" s="359" t="s">
        <v>264</v>
      </c>
      <c r="B33" s="511">
        <f>B32-B34</f>
        <v>30088.859999999404</v>
      </c>
      <c r="C33" s="511">
        <f t="shared" ref="C33:E33" si="4">C32-C34</f>
        <v>0</v>
      </c>
      <c r="D33" s="511">
        <f t="shared" si="4"/>
        <v>-5158.4199999999255</v>
      </c>
      <c r="E33" s="511">
        <f t="shared" si="4"/>
        <v>0</v>
      </c>
      <c r="F33" s="511">
        <f t="shared" ref="F33" si="5">F32-F34</f>
        <v>0</v>
      </c>
      <c r="G33" s="511">
        <f t="shared" ref="G33:H33" si="6">G32-G34</f>
        <v>393147.67700000014</v>
      </c>
      <c r="H33" s="511">
        <f t="shared" si="6"/>
        <v>392414</v>
      </c>
      <c r="I33" s="528">
        <f t="shared" ref="I33:K33" si="7">H33</f>
        <v>392414</v>
      </c>
      <c r="J33" s="528">
        <f t="shared" si="7"/>
        <v>392414</v>
      </c>
      <c r="K33" s="528">
        <f t="shared" si="7"/>
        <v>392414</v>
      </c>
      <c r="L33" s="449"/>
      <c r="M33" s="202" t="s">
        <v>265</v>
      </c>
    </row>
    <row r="34" spans="1:13" ht="14">
      <c r="A34" s="356" t="s">
        <v>266</v>
      </c>
      <c r="B34" s="453">
        <f t="shared" ref="B34:E34" si="8">B7*1000*B8*B11+B18*1000*B19*B22+B27*1000*B28*B31</f>
        <v>4984721.1400000006</v>
      </c>
      <c r="C34" s="453">
        <f t="shared" si="8"/>
        <v>5109099.0000000019</v>
      </c>
      <c r="D34" s="453">
        <f t="shared" si="8"/>
        <v>5163578.42</v>
      </c>
      <c r="E34" s="453">
        <f t="shared" si="8"/>
        <v>5243771</v>
      </c>
      <c r="F34" s="453">
        <f>F7*1000*F8*F11+F18*1000*F19*F22+F27*1000*F28*F31</f>
        <v>4302366.9999999991</v>
      </c>
      <c r="G34" s="453">
        <f>G7*1000*G8*G11+G18*1000*G19*G22+G27*1000*G28*G31</f>
        <v>4343571.3229999999</v>
      </c>
      <c r="H34" s="453">
        <f t="shared" ref="H34:J34" si="9">H7*1000*H8*H11+H18*1000*H19*H22+H27*1000*H28*H31</f>
        <v>4512761</v>
      </c>
      <c r="I34" s="453">
        <f t="shared" si="9"/>
        <v>4791485.4035667265</v>
      </c>
      <c r="J34" s="453">
        <f t="shared" si="9"/>
        <v>5086158.8334075157</v>
      </c>
      <c r="K34" s="453">
        <f t="shared" ref="K34" si="10">K7*1000*K8*K11+K18*1000*K19*K22+K27*1000*K28*K31</f>
        <v>5397668.3952550068</v>
      </c>
      <c r="M34" t="s">
        <v>267</v>
      </c>
    </row>
    <row r="35" spans="1:13" ht="14">
      <c r="A35" s="358" t="s">
        <v>268</v>
      </c>
      <c r="C35" s="458">
        <f>C32/B32-1</f>
        <v>1.8802108155643094E-2</v>
      </c>
      <c r="D35" s="458">
        <f t="shared" ref="D35:K35" si="11">D32/C32-1</f>
        <v>9.6535612247874436E-3</v>
      </c>
      <c r="E35" s="458">
        <f t="shared" si="11"/>
        <v>1.6545957870820915E-2</v>
      </c>
      <c r="F35" s="458">
        <f t="shared" si="11"/>
        <v>-0.17952805337990541</v>
      </c>
      <c r="G35" s="458">
        <f t="shared" si="11"/>
        <v>0.1009565199807454</v>
      </c>
      <c r="H35" s="458">
        <f t="shared" si="11"/>
        <v>3.5563857598476911E-2</v>
      </c>
      <c r="I35" s="458">
        <f t="shared" si="11"/>
        <v>5.6822519801378535E-2</v>
      </c>
      <c r="J35" s="458">
        <f t="shared" si="11"/>
        <v>5.6843971477926969E-2</v>
      </c>
      <c r="K35" s="458">
        <f t="shared" si="11"/>
        <v>5.6859618612342455E-2</v>
      </c>
      <c r="L35"/>
    </row>
    <row r="36" spans="1:13" ht="14">
      <c r="L36"/>
    </row>
    <row r="37" spans="1:13" ht="14">
      <c r="G37" s="350"/>
      <c r="L37"/>
    </row>
    <row r="38" spans="1:13" ht="14">
      <c r="G38" s="350"/>
      <c r="L38"/>
    </row>
    <row r="39" spans="1:13" ht="14">
      <c r="G39" s="350"/>
      <c r="L39"/>
    </row>
    <row r="40" spans="1:13" ht="14">
      <c r="L40"/>
    </row>
    <row r="41" spans="1:13" ht="14"/>
  </sheetData>
  <phoneticPr fontId="4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3C60-1E8C-DB47-B687-1457AFD2EBA9}">
  <sheetPr>
    <tabColor theme="8" tint="-0.249977111117893"/>
  </sheetPr>
  <dimension ref="B1:Z137"/>
  <sheetViews>
    <sheetView zoomScale="130" zoomScaleNormal="130" workbookViewId="0">
      <pane xSplit="6" ySplit="5" topLeftCell="H18" activePane="bottomRight" state="frozen"/>
      <selection pane="topRight" activeCell="G1" sqref="G1"/>
      <selection pane="bottomLeft" activeCell="A6" sqref="A6"/>
      <selection pane="bottomRight" activeCell="J9" sqref="J9"/>
    </sheetView>
  </sheetViews>
  <sheetFormatPr defaultColWidth="9.08203125" defaultRowHeight="14" outlineLevelRow="1" outlineLevelCol="1"/>
  <cols>
    <col min="1" max="1" width="1.58203125" style="61" customWidth="1"/>
    <col min="2" max="2" width="35.5" style="61" customWidth="1"/>
    <col min="3" max="3" width="11.08203125" style="392" hidden="1" customWidth="1" outlineLevel="1"/>
    <col min="4" max="4" width="10.33203125" style="392" hidden="1" customWidth="1" outlineLevel="1"/>
    <col min="5" max="5" width="11.33203125" style="392" hidden="1" customWidth="1" outlineLevel="1"/>
    <col min="6" max="6" width="9.5" style="392" hidden="1" customWidth="1" outlineLevel="1"/>
    <col min="7" max="7" width="13.58203125" style="62" customWidth="1" collapsed="1"/>
    <col min="8" max="8" width="13.5" style="63" customWidth="1"/>
    <col min="9" max="9" width="12.58203125" style="63" customWidth="1"/>
    <col min="10" max="12" width="12.58203125" style="419" customWidth="1"/>
    <col min="13" max="13" width="13" style="419" customWidth="1"/>
    <col min="14" max="14" width="11.33203125" style="419" customWidth="1"/>
    <col min="15" max="15" width="5.58203125" style="61" customWidth="1"/>
    <col min="16" max="16" width="26.5" style="61" customWidth="1" outlineLevel="1"/>
    <col min="17" max="19" width="9.08203125" style="61" customWidth="1" outlineLevel="1"/>
    <col min="20" max="22" width="11.58203125" style="61" customWidth="1" outlineLevel="1"/>
    <col min="23" max="23" width="10.83203125" style="61" customWidth="1" outlineLevel="1"/>
    <col min="24" max="24" width="9.08203125" style="61" customWidth="1" outlineLevel="1"/>
    <col min="25" max="25" width="3.08203125" style="61" customWidth="1"/>
    <col min="26" max="16384" width="9.08203125" style="61"/>
  </cols>
  <sheetData>
    <row r="1" spans="2:26" ht="7.5" customHeight="1"/>
    <row r="2" spans="2:26" s="64" customFormat="1" ht="17.5">
      <c r="B2" s="64" t="s">
        <v>269</v>
      </c>
      <c r="C2" s="440"/>
      <c r="D2" s="440"/>
      <c r="E2" s="440"/>
      <c r="F2" s="440"/>
      <c r="G2" s="65"/>
      <c r="H2" s="66"/>
      <c r="I2" s="66"/>
      <c r="J2" s="420"/>
      <c r="K2" s="420"/>
      <c r="L2" s="420"/>
      <c r="M2" s="420"/>
      <c r="N2" s="421"/>
    </row>
    <row r="3" spans="2:26">
      <c r="B3" s="68" t="s">
        <v>270</v>
      </c>
      <c r="C3" s="392">
        <v>2014</v>
      </c>
      <c r="D3" s="392">
        <v>2015</v>
      </c>
      <c r="E3" s="392">
        <v>2016</v>
      </c>
      <c r="F3" s="392">
        <v>2017</v>
      </c>
      <c r="G3" s="69">
        <v>2018</v>
      </c>
      <c r="H3" s="69">
        <v>2019</v>
      </c>
      <c r="I3" s="69">
        <v>2020</v>
      </c>
      <c r="J3" s="69">
        <v>2021</v>
      </c>
      <c r="K3" s="436">
        <v>2022</v>
      </c>
      <c r="L3" s="436">
        <v>2023</v>
      </c>
      <c r="M3" s="436">
        <v>2024</v>
      </c>
      <c r="N3" s="436" t="s">
        <v>271</v>
      </c>
      <c r="P3" s="71"/>
      <c r="Q3" s="69">
        <f t="shared" ref="Q3:S4" si="0">G3</f>
        <v>2018</v>
      </c>
      <c r="R3" s="69">
        <f t="shared" si="0"/>
        <v>2019</v>
      </c>
      <c r="S3" s="69">
        <f t="shared" si="0"/>
        <v>2020</v>
      </c>
      <c r="T3" s="69">
        <f t="shared" ref="T3:X4" si="1">J3</f>
        <v>2021</v>
      </c>
      <c r="U3" s="70">
        <f t="shared" si="1"/>
        <v>2022</v>
      </c>
      <c r="V3" s="70">
        <f t="shared" si="1"/>
        <v>2023</v>
      </c>
      <c r="W3" s="70">
        <f t="shared" si="1"/>
        <v>2024</v>
      </c>
      <c r="X3" s="70" t="str">
        <f t="shared" si="1"/>
        <v>CQ + 4</v>
      </c>
    </row>
    <row r="4" spans="2:26">
      <c r="B4" s="72" t="s">
        <v>272</v>
      </c>
      <c r="C4" s="392" t="s">
        <v>273</v>
      </c>
      <c r="D4" s="392" t="s">
        <v>273</v>
      </c>
      <c r="E4" s="392" t="s">
        <v>273</v>
      </c>
      <c r="F4" s="392" t="s">
        <v>273</v>
      </c>
      <c r="G4" s="69" t="s">
        <v>273</v>
      </c>
      <c r="H4" s="69" t="s">
        <v>273</v>
      </c>
      <c r="I4" s="69" t="s">
        <v>273</v>
      </c>
      <c r="J4" s="69" t="s">
        <v>273</v>
      </c>
      <c r="K4" s="436" t="s">
        <v>274</v>
      </c>
      <c r="L4" s="436" t="s">
        <v>274</v>
      </c>
      <c r="M4" s="436" t="s">
        <v>274</v>
      </c>
      <c r="N4" s="436" t="s">
        <v>274</v>
      </c>
      <c r="P4" s="73"/>
      <c r="Q4" s="69" t="str">
        <f t="shared" si="0"/>
        <v>Actual</v>
      </c>
      <c r="R4" s="69" t="str">
        <f t="shared" si="0"/>
        <v>Actual</v>
      </c>
      <c r="S4" s="69" t="str">
        <f t="shared" si="0"/>
        <v>Actual</v>
      </c>
      <c r="T4" s="69" t="str">
        <f t="shared" si="1"/>
        <v>Actual</v>
      </c>
      <c r="U4" s="70" t="str">
        <f t="shared" si="1"/>
        <v>Forecast</v>
      </c>
      <c r="V4" s="70" t="str">
        <f t="shared" si="1"/>
        <v>Forecast</v>
      </c>
      <c r="W4" s="70" t="str">
        <f t="shared" si="1"/>
        <v>Forecast</v>
      </c>
      <c r="X4" s="70" t="str">
        <f t="shared" si="1"/>
        <v>Forecast</v>
      </c>
      <c r="Y4" s="74"/>
    </row>
    <row r="5" spans="2:26" ht="7.5" customHeight="1">
      <c r="B5" s="75"/>
      <c r="C5" s="441"/>
      <c r="D5" s="441"/>
      <c r="E5" s="441"/>
      <c r="F5" s="441"/>
      <c r="G5" s="75"/>
      <c r="H5" s="75"/>
      <c r="I5" s="75"/>
      <c r="J5" s="422"/>
      <c r="K5" s="422"/>
      <c r="L5" s="422"/>
      <c r="M5" s="422"/>
      <c r="N5" s="422"/>
      <c r="O5" s="75"/>
    </row>
    <row r="6" spans="2:26" s="79" customFormat="1" ht="20">
      <c r="B6" s="76" t="s">
        <v>275</v>
      </c>
      <c r="C6" s="400"/>
      <c r="D6" s="400"/>
      <c r="E6" s="400"/>
      <c r="F6" s="400"/>
      <c r="G6" s="77"/>
      <c r="H6" s="77"/>
      <c r="I6" s="78"/>
      <c r="J6" s="423"/>
      <c r="K6" s="423"/>
      <c r="L6" s="424"/>
      <c r="M6" s="424"/>
      <c r="N6" s="424"/>
      <c r="P6" s="73" t="s">
        <v>276</v>
      </c>
    </row>
    <row r="7" spans="2:26">
      <c r="B7" s="74" t="s">
        <v>277</v>
      </c>
      <c r="C7" s="405">
        <f t="shared" ref="C7:M7" si="2">SUM(C8,C9:C12)</f>
        <v>4870818</v>
      </c>
      <c r="D7" s="405">
        <f t="shared" si="2"/>
        <v>5266103</v>
      </c>
      <c r="E7" s="405">
        <f t="shared" si="2"/>
        <v>5435229</v>
      </c>
      <c r="F7" s="405">
        <f t="shared" si="2"/>
        <v>5527336</v>
      </c>
      <c r="G7" s="405">
        <f>SUM(G8,G9:G12)</f>
        <v>5645288</v>
      </c>
      <c r="H7" s="405">
        <f t="shared" si="2"/>
        <v>5755189</v>
      </c>
      <c r="I7" s="405">
        <f t="shared" si="2"/>
        <v>4607503</v>
      </c>
      <c r="J7" s="405">
        <f t="shared" ref="J7" si="3">SUM(J8,J9:J12)</f>
        <v>5116789</v>
      </c>
      <c r="K7" s="406">
        <f t="shared" si="2"/>
        <v>5298761.7553574536</v>
      </c>
      <c r="L7" s="406">
        <f t="shared" si="2"/>
        <v>5599850.7501240391</v>
      </c>
      <c r="M7" s="406">
        <f t="shared" si="2"/>
        <v>5918168.5064447392</v>
      </c>
      <c r="N7" s="406">
        <f>SUM(N8,N9:N12)</f>
        <v>5918168.5064447392</v>
      </c>
      <c r="P7" s="74" t="s">
        <v>278</v>
      </c>
      <c r="Q7" s="461">
        <f>IFERROR(G7/F7-1,"")</f>
        <v>2.1339755715954256E-2</v>
      </c>
      <c r="R7" s="461">
        <f t="shared" ref="R7:T9" si="4">IFERROR(H7/G7-1,"")</f>
        <v>1.946774017552344E-2</v>
      </c>
      <c r="S7" s="461">
        <f t="shared" si="4"/>
        <v>-0.19941760383542573</v>
      </c>
      <c r="T7" s="461">
        <f t="shared" si="4"/>
        <v>0.11053405716719023</v>
      </c>
      <c r="U7" s="81">
        <f>IFERROR(K7/J7-1,"")</f>
        <v>3.5563857598476911E-2</v>
      </c>
      <c r="V7" s="81">
        <f>IFERROR(L7/K7-1,"")</f>
        <v>5.6822519801378313E-2</v>
      </c>
      <c r="W7" s="81">
        <f t="shared" ref="W7:X7" si="5">IFERROR(M7/L7-1,"")</f>
        <v>5.6843971477927191E-2</v>
      </c>
      <c r="X7" s="81">
        <f t="shared" si="5"/>
        <v>0</v>
      </c>
      <c r="Y7" s="82"/>
    </row>
    <row r="8" spans="2:26" s="75" customFormat="1">
      <c r="B8" s="83" t="s">
        <v>279</v>
      </c>
      <c r="C8" s="388">
        <v>4531811</v>
      </c>
      <c r="D8" s="388">
        <v>4782040</v>
      </c>
      <c r="E8" s="388">
        <v>5014810</v>
      </c>
      <c r="F8" s="395">
        <v>5109099</v>
      </c>
      <c r="G8" s="459">
        <f>'Growth model'!D32</f>
        <v>5158420</v>
      </c>
      <c r="H8" s="459">
        <f>'Growth model'!E32</f>
        <v>5243771</v>
      </c>
      <c r="I8" s="459">
        <f>'Growth model'!F32</f>
        <v>4302367</v>
      </c>
      <c r="J8" s="459">
        <f>'Growth model'!G32</f>
        <v>4736719</v>
      </c>
      <c r="K8" s="407">
        <f t="shared" ref="K8:N11" si="6">J8*(1+U8)</f>
        <v>4905175</v>
      </c>
      <c r="L8" s="407">
        <f t="shared" si="6"/>
        <v>5183899.4035667274</v>
      </c>
      <c r="M8" s="407">
        <f t="shared" si="6"/>
        <v>5478572.8334075175</v>
      </c>
      <c r="N8" s="407">
        <f t="shared" si="6"/>
        <v>5478572.8334075175</v>
      </c>
      <c r="P8" s="75" t="str">
        <f t="shared" ref="P8:P12" si="7">B8</f>
        <v>Lease income</v>
      </c>
      <c r="Q8" s="462">
        <f>IFERROR(G8/F8-1,"")</f>
        <v>9.6535612247874436E-3</v>
      </c>
      <c r="R8" s="462">
        <f t="shared" si="4"/>
        <v>1.6545957870820915E-2</v>
      </c>
      <c r="S8" s="462">
        <f t="shared" si="4"/>
        <v>-0.17952805337990541</v>
      </c>
      <c r="T8" s="462">
        <f t="shared" si="4"/>
        <v>0.1009565199807454</v>
      </c>
      <c r="U8" s="475">
        <f>'Growth model'!H35</f>
        <v>3.5563857598476911E-2</v>
      </c>
      <c r="V8" s="475">
        <f>'Growth model'!I35</f>
        <v>5.6822519801378535E-2</v>
      </c>
      <c r="W8" s="475">
        <f>'Growth model'!J35</f>
        <v>5.6843971477926969E-2</v>
      </c>
      <c r="X8" s="475">
        <f>'Growth model'!L35</f>
        <v>0</v>
      </c>
      <c r="Y8" s="89"/>
      <c r="Z8" s="75" t="s">
        <v>280</v>
      </c>
    </row>
    <row r="9" spans="2:26" s="75" customFormat="1">
      <c r="B9" s="83" t="s">
        <v>281</v>
      </c>
      <c r="C9" s="388">
        <f>'IS as rep.'!K12</f>
        <v>138226</v>
      </c>
      <c r="D9" s="388">
        <f>'IS as rep.'!L12</f>
        <v>158466</v>
      </c>
      <c r="E9" s="388">
        <f>'IS as rep.'!M12</f>
        <v>143875</v>
      </c>
      <c r="F9" s="388">
        <f>'IS as rep.'!N12</f>
        <v>121259</v>
      </c>
      <c r="G9" s="459">
        <f>'IS as rep.'!O12</f>
        <v>116286</v>
      </c>
      <c r="H9" s="459">
        <f>'IS as rep.'!P12</f>
        <v>112942</v>
      </c>
      <c r="I9" s="459">
        <f>'IS as rep.'!Q12</f>
        <v>96882</v>
      </c>
      <c r="J9" s="459">
        <f>'IS as rep.'!R12</f>
        <v>106483</v>
      </c>
      <c r="K9" s="407">
        <f t="shared" si="6"/>
        <v>110269.94624865861</v>
      </c>
      <c r="L9" s="407">
        <f t="shared" si="6"/>
        <v>116535.76245286997</v>
      </c>
      <c r="M9" s="407">
        <f t="shared" si="6"/>
        <v>123160.11800989938</v>
      </c>
      <c r="N9" s="407">
        <f t="shared" si="6"/>
        <v>123160.11800989938</v>
      </c>
      <c r="O9" s="90"/>
      <c r="P9" s="75" t="str">
        <f t="shared" si="7"/>
        <v>Management fee &amp;etc</v>
      </c>
      <c r="Q9" s="462">
        <f>IFERROR(G9/F9-1,"")</f>
        <v>-4.1011388845364039E-2</v>
      </c>
      <c r="R9" s="462">
        <f t="shared" si="4"/>
        <v>-2.8756686101508389E-2</v>
      </c>
      <c r="S9" s="462">
        <f t="shared" si="4"/>
        <v>-0.14219687981441798</v>
      </c>
      <c r="T9" s="462">
        <f t="shared" si="4"/>
        <v>9.9099936004624078E-2</v>
      </c>
      <c r="U9" s="88">
        <f>U8</f>
        <v>3.5563857598476911E-2</v>
      </c>
      <c r="V9" s="88">
        <f>V8</f>
        <v>5.6822519801378535E-2</v>
      </c>
      <c r="W9" s="88">
        <f t="shared" ref="W9:X9" si="8">W8</f>
        <v>5.6843971477926969E-2</v>
      </c>
      <c r="X9" s="88">
        <f t="shared" si="8"/>
        <v>0</v>
      </c>
    </row>
    <row r="10" spans="2:26" s="75" customFormat="1">
      <c r="B10" s="83" t="s">
        <v>282</v>
      </c>
      <c r="C10" s="389">
        <v>0</v>
      </c>
      <c r="D10" s="389" t="s">
        <v>283</v>
      </c>
      <c r="E10" s="388">
        <v>0</v>
      </c>
      <c r="F10" s="389" t="s">
        <v>283</v>
      </c>
      <c r="G10" s="388">
        <v>0</v>
      </c>
      <c r="H10" s="388">
        <v>0</v>
      </c>
      <c r="I10" s="388">
        <v>0</v>
      </c>
      <c r="J10" s="388">
        <v>0</v>
      </c>
      <c r="K10" s="407">
        <f t="shared" si="6"/>
        <v>0</v>
      </c>
      <c r="L10" s="407">
        <f t="shared" si="6"/>
        <v>0</v>
      </c>
      <c r="M10" s="407">
        <f t="shared" si="6"/>
        <v>0</v>
      </c>
      <c r="N10" s="407">
        <f t="shared" si="6"/>
        <v>0</v>
      </c>
      <c r="P10" s="75" t="str">
        <f t="shared" si="7"/>
        <v>Other income</v>
      </c>
      <c r="Q10" s="462"/>
      <c r="R10" s="462"/>
      <c r="S10" s="462"/>
      <c r="T10" s="462"/>
      <c r="U10" s="88"/>
      <c r="V10" s="88"/>
      <c r="W10" s="88"/>
      <c r="X10" s="88"/>
    </row>
    <row r="11" spans="2:26" s="75" customFormat="1">
      <c r="B11" s="83" t="s">
        <v>284</v>
      </c>
      <c r="C11" s="388">
        <f>'IS as rep.'!K13</f>
        <v>200781</v>
      </c>
      <c r="D11" s="388">
        <f>'IS as rep.'!L13</f>
        <v>325597</v>
      </c>
      <c r="E11" s="388">
        <f>'IS as rep.'!M13</f>
        <v>276544</v>
      </c>
      <c r="F11" s="388">
        <f>'IS as rep.'!N13</f>
        <v>296978</v>
      </c>
      <c r="G11" s="460">
        <f>'IS as rep.'!O13</f>
        <v>370582</v>
      </c>
      <c r="H11" s="460">
        <f>'IS as rep.'!P13</f>
        <v>398476</v>
      </c>
      <c r="I11" s="460">
        <f>'IS as rep.'!Q13</f>
        <v>208254</v>
      </c>
      <c r="J11" s="460">
        <f>'IS as rep.'!R13</f>
        <v>273587</v>
      </c>
      <c r="K11" s="407">
        <f t="shared" si="6"/>
        <v>283316.80910879449</v>
      </c>
      <c r="L11" s="407">
        <f t="shared" si="6"/>
        <v>299415.58410444233</v>
      </c>
      <c r="M11" s="407">
        <f t="shared" si="6"/>
        <v>316435.55502732209</v>
      </c>
      <c r="N11" s="407">
        <f t="shared" si="6"/>
        <v>316435.55502732209</v>
      </c>
      <c r="O11" s="90"/>
      <c r="P11" s="75" t="str">
        <f t="shared" si="7"/>
        <v>Other Revenue</v>
      </c>
      <c r="Q11" s="462">
        <f>IFERROR(G11/F11-1,"")</f>
        <v>0.2478432745859962</v>
      </c>
      <c r="R11" s="462">
        <f t="shared" ref="R11:T11" si="9">IFERROR(H11/G11-1,"")</f>
        <v>7.527079027043948E-2</v>
      </c>
      <c r="S11" s="462">
        <f t="shared" si="9"/>
        <v>-0.47737379415573333</v>
      </c>
      <c r="T11" s="462">
        <f t="shared" si="9"/>
        <v>0.31371786376252087</v>
      </c>
      <c r="U11" s="88">
        <f>U9</f>
        <v>3.5563857598476911E-2</v>
      </c>
      <c r="V11" s="88">
        <f t="shared" ref="V11:W11" si="10">V9</f>
        <v>5.6822519801378535E-2</v>
      </c>
      <c r="W11" s="88">
        <f t="shared" si="10"/>
        <v>5.6843971477926969E-2</v>
      </c>
      <c r="X11" s="88">
        <f>X9</f>
        <v>0</v>
      </c>
    </row>
    <row r="12" spans="2:26" s="75" customFormat="1">
      <c r="B12" s="83" t="s">
        <v>285</v>
      </c>
      <c r="C12" s="389">
        <v>0</v>
      </c>
      <c r="D12" s="389">
        <v>0</v>
      </c>
      <c r="E12" s="389">
        <v>0</v>
      </c>
      <c r="F12" s="389"/>
      <c r="G12" s="391">
        <v>0</v>
      </c>
      <c r="H12" s="391">
        <v>0</v>
      </c>
      <c r="I12" s="391">
        <v>0</v>
      </c>
      <c r="J12" s="391">
        <v>0</v>
      </c>
      <c r="K12" s="408" t="str">
        <f t="shared" ref="K12:N12" si="11">U12</f>
        <v>($)</v>
      </c>
      <c r="L12" s="408" t="str">
        <f t="shared" si="11"/>
        <v>($)</v>
      </c>
      <c r="M12" s="408" t="str">
        <f t="shared" si="11"/>
        <v>($)</v>
      </c>
      <c r="N12" s="408" t="str">
        <f t="shared" si="11"/>
        <v>($)</v>
      </c>
      <c r="P12" s="75" t="str">
        <f t="shared" si="7"/>
        <v>Other/Manual Adjustments</v>
      </c>
      <c r="Q12" s="462"/>
      <c r="R12" s="462"/>
      <c r="S12" s="463" t="s">
        <v>286</v>
      </c>
      <c r="T12" s="463" t="s">
        <v>286</v>
      </c>
      <c r="U12" s="93" t="str">
        <f>T12</f>
        <v>($)</v>
      </c>
      <c r="V12" s="93" t="str">
        <f>U12</f>
        <v>($)</v>
      </c>
      <c r="W12" s="93" t="str">
        <f>V12</f>
        <v>($)</v>
      </c>
      <c r="X12" s="93" t="str">
        <f>W12</f>
        <v>($)</v>
      </c>
    </row>
    <row r="13" spans="2:26" ht="14.5">
      <c r="B13" s="364" t="s">
        <v>283</v>
      </c>
      <c r="G13" s="392"/>
      <c r="H13" s="393"/>
      <c r="I13" s="394"/>
      <c r="J13" s="394"/>
      <c r="K13" s="425"/>
      <c r="L13" s="406"/>
      <c r="M13" s="426"/>
      <c r="N13" s="426"/>
      <c r="P13" s="96"/>
      <c r="Q13" s="464"/>
      <c r="R13" s="464"/>
      <c r="S13" s="464"/>
    </row>
    <row r="14" spans="2:26">
      <c r="B14" s="74" t="s">
        <v>287</v>
      </c>
      <c r="C14" s="405">
        <f t="shared" ref="C14:N14" si="12">SUM(C15,C16:C19)</f>
        <v>882803</v>
      </c>
      <c r="D14" s="405">
        <f t="shared" si="12"/>
        <v>960192</v>
      </c>
      <c r="E14" s="405">
        <f t="shared" si="12"/>
        <v>971147</v>
      </c>
      <c r="F14" s="405">
        <f t="shared" si="12"/>
        <v>980080</v>
      </c>
      <c r="G14" s="405">
        <f t="shared" si="12"/>
        <v>1007964</v>
      </c>
      <c r="H14" s="405">
        <f t="shared" si="12"/>
        <v>1021644</v>
      </c>
      <c r="I14" s="405">
        <f t="shared" si="12"/>
        <v>887154</v>
      </c>
      <c r="J14" s="405">
        <f t="shared" ref="J14" si="13">SUM(J15,J16:J19)</f>
        <v>971064</v>
      </c>
      <c r="K14" s="406">
        <f t="shared" si="12"/>
        <v>1005598.7818150074</v>
      </c>
      <c r="L14" s="406">
        <f t="shared" si="12"/>
        <v>1062739.4385069327</v>
      </c>
      <c r="M14" s="406">
        <f t="shared" si="12"/>
        <v>1123149.7688378892</v>
      </c>
      <c r="N14" s="406">
        <f t="shared" si="12"/>
        <v>1123149.7688378892</v>
      </c>
      <c r="P14" s="74" t="s">
        <v>288</v>
      </c>
      <c r="Q14" s="461">
        <f>IFERROR(G14/G$7,"")</f>
        <v>0.17854961518349463</v>
      </c>
      <c r="R14" s="461">
        <f t="shared" ref="R14:T18" si="14">IFERROR(H14/H$7,"")</f>
        <v>0.17751701985807938</v>
      </c>
      <c r="S14" s="461">
        <f t="shared" si="14"/>
        <v>0.19254550675278995</v>
      </c>
      <c r="T14" s="97">
        <f t="shared" ref="T14:V14" si="15">IFERROR(J14/J7,"")</f>
        <v>0.18977995770394285</v>
      </c>
      <c r="U14" s="97">
        <f t="shared" si="15"/>
        <v>0.18977995770394285</v>
      </c>
      <c r="V14" s="97">
        <f t="shared" si="15"/>
        <v>0.18977995770394285</v>
      </c>
      <c r="W14" s="97"/>
      <c r="X14" s="97"/>
    </row>
    <row r="15" spans="2:26">
      <c r="B15" s="83" t="s">
        <v>289</v>
      </c>
      <c r="C15" s="388">
        <f>'IS as rep.'!K16</f>
        <v>398598</v>
      </c>
      <c r="D15" s="388">
        <f>'IS as rep.'!L16</f>
        <v>425983</v>
      </c>
      <c r="E15" s="388">
        <f>'IS as rep.'!M16</f>
        <v>432394</v>
      </c>
      <c r="F15" s="390">
        <f>'IS as rep.'!N16</f>
        <v>443177</v>
      </c>
      <c r="G15" s="459">
        <f>'IS as rep.'!O16</f>
        <v>450636</v>
      </c>
      <c r="H15" s="459">
        <f>'IS as rep.'!P16</f>
        <v>453145</v>
      </c>
      <c r="I15" s="459">
        <f>'IS as rep.'!Q16</f>
        <v>349154</v>
      </c>
      <c r="J15" s="459">
        <f>'IS as rep.'!R16</f>
        <v>415720</v>
      </c>
      <c r="K15" s="407">
        <f t="shared" ref="K15:L15" si="16">K$7*(U15)</f>
        <v>430504.60688083887</v>
      </c>
      <c r="L15" s="407">
        <f t="shared" si="16"/>
        <v>454966.96342990996</v>
      </c>
      <c r="M15" s="407">
        <f t="shared" ref="M15:M18" si="17">M$7*(W15)</f>
        <v>480829.09252251894</v>
      </c>
      <c r="N15" s="407">
        <f t="shared" ref="N15:N18" si="18">N$7*(X15)</f>
        <v>480829.09252251894</v>
      </c>
      <c r="P15" s="98" t="str">
        <f t="shared" ref="P15:P19" si="19">B15</f>
        <v>Property operating</v>
      </c>
      <c r="Q15" s="462">
        <f t="shared" ref="Q15:Q18" si="20">IFERROR(G15/G$7,"")</f>
        <v>7.9825156838765357E-2</v>
      </c>
      <c r="R15" s="462">
        <f t="shared" si="14"/>
        <v>7.8736771285877846E-2</v>
      </c>
      <c r="S15" s="462">
        <f t="shared" si="14"/>
        <v>7.5779440621091293E-2</v>
      </c>
      <c r="T15" s="462">
        <f t="shared" si="14"/>
        <v>8.1246265968755019E-2</v>
      </c>
      <c r="U15" s="476">
        <f t="shared" ref="U15" si="21">T15</f>
        <v>8.1246265968755019E-2</v>
      </c>
      <c r="V15" s="476">
        <f t="shared" ref="V15:V18" si="22">U15</f>
        <v>8.1246265968755019E-2</v>
      </c>
      <c r="W15" s="476">
        <f t="shared" ref="W15:W19" si="23">V15</f>
        <v>8.1246265968755019E-2</v>
      </c>
      <c r="X15" s="476">
        <f t="shared" ref="X15:X19" si="24">W15</f>
        <v>8.1246265968755019E-2</v>
      </c>
      <c r="Z15" s="61" t="s">
        <v>290</v>
      </c>
    </row>
    <row r="16" spans="2:26">
      <c r="B16" s="83" t="s">
        <v>291</v>
      </c>
      <c r="C16" s="388">
        <f>'IS as rep.'!K18</f>
        <v>384189</v>
      </c>
      <c r="D16" s="388">
        <f>'IS as rep.'!L18</f>
        <v>432840</v>
      </c>
      <c r="E16" s="388">
        <f>'IS as rep.'!M18</f>
        <v>439030</v>
      </c>
      <c r="F16" s="388">
        <f>'IS as rep.'!N18</f>
        <v>440003</v>
      </c>
      <c r="G16" s="459">
        <f>'IS as rep.'!O18</f>
        <v>457740</v>
      </c>
      <c r="H16" s="459">
        <f>'IS as rep.'!P18</f>
        <v>468004</v>
      </c>
      <c r="I16" s="459">
        <f>'IS as rep.'!Q18</f>
        <v>457142</v>
      </c>
      <c r="J16" s="459">
        <f>'IS as rep.'!R18</f>
        <v>458953</v>
      </c>
      <c r="K16" s="407">
        <f t="shared" ref="K16" si="25">K$7*(U16)</f>
        <v>475275.13913639379</v>
      </c>
      <c r="L16" s="407">
        <f t="shared" ref="L16" si="26">L$7*(V16)</f>
        <v>502281.47014107445</v>
      </c>
      <c r="M16" s="407">
        <f t="shared" si="17"/>
        <v>530833.143703665</v>
      </c>
      <c r="N16" s="407">
        <f t="shared" si="18"/>
        <v>530833.143703665</v>
      </c>
      <c r="P16" s="75" t="str">
        <f t="shared" si="19"/>
        <v>Real estate tax</v>
      </c>
      <c r="Q16" s="462">
        <f t="shared" si="20"/>
        <v>8.1083551450342309E-2</v>
      </c>
      <c r="R16" s="462">
        <f t="shared" si="14"/>
        <v>8.1318615253122006E-2</v>
      </c>
      <c r="S16" s="462">
        <f t="shared" si="14"/>
        <v>9.921686431891634E-2</v>
      </c>
      <c r="T16" s="462">
        <f t="shared" si="14"/>
        <v>8.9695510211579954E-2</v>
      </c>
      <c r="U16" s="476">
        <f>T16</f>
        <v>8.9695510211579954E-2</v>
      </c>
      <c r="V16" s="476">
        <f t="shared" si="22"/>
        <v>8.9695510211579954E-2</v>
      </c>
      <c r="W16" s="476">
        <f t="shared" si="23"/>
        <v>8.9695510211579954E-2</v>
      </c>
      <c r="X16" s="476">
        <f t="shared" si="24"/>
        <v>8.9695510211579954E-2</v>
      </c>
      <c r="Z16" s="61" t="s">
        <v>292</v>
      </c>
    </row>
    <row r="17" spans="2:26">
      <c r="B17" s="83" t="s">
        <v>293</v>
      </c>
      <c r="C17" s="388">
        <f>'IS as rep.'!K19</f>
        <v>100016</v>
      </c>
      <c r="D17" s="388">
        <f>'IS as rep.'!L19</f>
        <v>101369</v>
      </c>
      <c r="E17" s="388">
        <f>'IS as rep.'!M19</f>
        <v>99723</v>
      </c>
      <c r="F17" s="388">
        <f>'IS as rep.'!N19</f>
        <v>96900</v>
      </c>
      <c r="G17" s="459">
        <f>'IS as rep.'!O19</f>
        <v>99588</v>
      </c>
      <c r="H17" s="459">
        <f>'IS as rep.'!P19</f>
        <v>100495</v>
      </c>
      <c r="I17" s="459">
        <f>'IS as rep.'!Q19</f>
        <v>80858</v>
      </c>
      <c r="J17" s="459">
        <f>'IS as rep.'!R19</f>
        <v>96391</v>
      </c>
      <c r="K17" s="407">
        <f t="shared" ref="K17" si="27">K$7*(U17)</f>
        <v>99819.035797774792</v>
      </c>
      <c r="L17" s="407">
        <f t="shared" ref="L17" si="28">L$7*(V17)</f>
        <v>105491.00493594835</v>
      </c>
      <c r="M17" s="407">
        <f t="shared" si="17"/>
        <v>111487.53261170528</v>
      </c>
      <c r="N17" s="407">
        <f t="shared" si="18"/>
        <v>111487.53261170528</v>
      </c>
      <c r="P17" s="75" t="str">
        <f t="shared" si="19"/>
        <v xml:space="preserve">Repairs and maintenance </v>
      </c>
      <c r="Q17" s="462">
        <f t="shared" si="20"/>
        <v>1.7640906894386965E-2</v>
      </c>
      <c r="R17" s="462">
        <f t="shared" si="14"/>
        <v>1.7461633319079531E-2</v>
      </c>
      <c r="S17" s="462">
        <f t="shared" si="14"/>
        <v>1.7549201812782324E-2</v>
      </c>
      <c r="T17" s="462">
        <f t="shared" si="14"/>
        <v>1.8838181523607871E-2</v>
      </c>
      <c r="U17" s="476">
        <f t="shared" ref="U17" si="29">T17</f>
        <v>1.8838181523607871E-2</v>
      </c>
      <c r="V17" s="476">
        <f t="shared" si="22"/>
        <v>1.8838181523607871E-2</v>
      </c>
      <c r="W17" s="476">
        <f t="shared" si="23"/>
        <v>1.8838181523607871E-2</v>
      </c>
      <c r="X17" s="476">
        <f t="shared" si="24"/>
        <v>1.8838181523607871E-2</v>
      </c>
      <c r="Z17" s="61" t="s">
        <v>290</v>
      </c>
    </row>
    <row r="18" spans="2:26">
      <c r="B18" s="83" t="s">
        <v>294</v>
      </c>
      <c r="C18" s="389">
        <v>0</v>
      </c>
      <c r="D18" s="389">
        <v>0</v>
      </c>
      <c r="E18" s="389">
        <v>0</v>
      </c>
      <c r="F18" s="389"/>
      <c r="G18" s="389">
        <v>0</v>
      </c>
      <c r="H18" s="389">
        <v>0</v>
      </c>
      <c r="I18" s="389">
        <v>0</v>
      </c>
      <c r="J18" s="389">
        <v>0</v>
      </c>
      <c r="K18" s="407">
        <f t="shared" ref="K18" si="30">K$7*(U18)</f>
        <v>0</v>
      </c>
      <c r="L18" s="407">
        <f t="shared" ref="L18" si="31">L$7*(V18)</f>
        <v>0</v>
      </c>
      <c r="M18" s="407">
        <f t="shared" si="17"/>
        <v>0</v>
      </c>
      <c r="N18" s="407">
        <f t="shared" si="18"/>
        <v>0</v>
      </c>
      <c r="P18" s="75" t="str">
        <f t="shared" si="19"/>
        <v>Implementation</v>
      </c>
      <c r="Q18" s="462">
        <f t="shared" si="20"/>
        <v>0</v>
      </c>
      <c r="R18" s="462">
        <f t="shared" si="14"/>
        <v>0</v>
      </c>
      <c r="S18" s="462">
        <f t="shared" si="14"/>
        <v>0</v>
      </c>
      <c r="T18" s="462">
        <f t="shared" si="14"/>
        <v>0</v>
      </c>
      <c r="U18" s="476">
        <f>T18</f>
        <v>0</v>
      </c>
      <c r="V18" s="476">
        <f t="shared" si="22"/>
        <v>0</v>
      </c>
      <c r="W18" s="476">
        <f t="shared" si="23"/>
        <v>0</v>
      </c>
      <c r="X18" s="476">
        <f t="shared" si="24"/>
        <v>0</v>
      </c>
      <c r="Y18" s="75"/>
    </row>
    <row r="19" spans="2:26">
      <c r="B19" s="83" t="s">
        <v>295</v>
      </c>
      <c r="C19" s="389">
        <v>0</v>
      </c>
      <c r="D19" s="389">
        <v>0</v>
      </c>
      <c r="E19" s="389">
        <v>0</v>
      </c>
      <c r="F19" s="389"/>
      <c r="G19" s="389">
        <v>0</v>
      </c>
      <c r="H19" s="389">
        <v>0</v>
      </c>
      <c r="I19" s="389">
        <v>0</v>
      </c>
      <c r="J19" s="389">
        <v>0</v>
      </c>
      <c r="K19" s="408">
        <f t="shared" ref="K19:N19" si="32">U19</f>
        <v>0</v>
      </c>
      <c r="L19" s="408">
        <f t="shared" si="32"/>
        <v>0</v>
      </c>
      <c r="M19" s="408">
        <f t="shared" si="32"/>
        <v>0</v>
      </c>
      <c r="N19" s="408">
        <f t="shared" si="32"/>
        <v>0</v>
      </c>
      <c r="P19" s="75" t="str">
        <f t="shared" si="19"/>
        <v>Fixed</v>
      </c>
      <c r="Q19" s="87"/>
      <c r="R19" s="87"/>
      <c r="S19" s="92">
        <v>0</v>
      </c>
      <c r="T19" s="92">
        <v>0</v>
      </c>
      <c r="U19" s="93">
        <v>0</v>
      </c>
      <c r="V19" s="93">
        <f>U19</f>
        <v>0</v>
      </c>
      <c r="W19" s="93">
        <f t="shared" si="23"/>
        <v>0</v>
      </c>
      <c r="X19" s="93">
        <f t="shared" si="24"/>
        <v>0</v>
      </c>
    </row>
    <row r="20" spans="2:26" ht="14.5">
      <c r="B20" s="322" t="s">
        <v>283</v>
      </c>
      <c r="C20" s="395"/>
      <c r="D20" s="395"/>
      <c r="E20" s="395"/>
      <c r="F20" s="395"/>
      <c r="G20" s="395"/>
      <c r="H20" s="396"/>
      <c r="I20" s="396"/>
      <c r="J20" s="396"/>
      <c r="K20" s="409"/>
      <c r="L20" s="409"/>
      <c r="M20" s="409"/>
      <c r="N20" s="409"/>
      <c r="Q20" s="100"/>
      <c r="R20" s="100"/>
      <c r="S20" s="100"/>
      <c r="X20" s="101"/>
    </row>
    <row r="21" spans="2:26">
      <c r="B21" s="74" t="s">
        <v>296</v>
      </c>
      <c r="C21" s="405">
        <f t="shared" ref="C21:N21" si="33">C7-C14</f>
        <v>3988015</v>
      </c>
      <c r="D21" s="405">
        <f t="shared" si="33"/>
        <v>4305911</v>
      </c>
      <c r="E21" s="405">
        <f t="shared" si="33"/>
        <v>4464082</v>
      </c>
      <c r="F21" s="405">
        <f t="shared" si="33"/>
        <v>4547256</v>
      </c>
      <c r="G21" s="405">
        <f t="shared" si="33"/>
        <v>4637324</v>
      </c>
      <c r="H21" s="405">
        <f t="shared" si="33"/>
        <v>4733545</v>
      </c>
      <c r="I21" s="405">
        <f t="shared" si="33"/>
        <v>3720349</v>
      </c>
      <c r="J21" s="405">
        <f t="shared" ref="J21" si="34">J7-J14</f>
        <v>4145725</v>
      </c>
      <c r="K21" s="406">
        <f t="shared" si="33"/>
        <v>4293162.9735424463</v>
      </c>
      <c r="L21" s="406">
        <f t="shared" si="33"/>
        <v>4537111.3116171062</v>
      </c>
      <c r="M21" s="406">
        <f t="shared" si="33"/>
        <v>4795018.7376068495</v>
      </c>
      <c r="N21" s="406">
        <f t="shared" si="33"/>
        <v>4795018.7376068495</v>
      </c>
      <c r="P21" s="74" t="s">
        <v>297</v>
      </c>
      <c r="Q21" s="461">
        <f>IFERROR(G21/G7,"")</f>
        <v>0.82145038481650534</v>
      </c>
      <c r="R21" s="461">
        <f>IFERROR(H21/H7,"")</f>
        <v>0.82248298014192067</v>
      </c>
      <c r="S21" s="461">
        <f>IFERROR(I21/I7,"")</f>
        <v>0.80745449324721008</v>
      </c>
      <c r="T21" s="461">
        <f t="shared" ref="T21:V21" si="35">IFERROR(J21/J7,"")</f>
        <v>0.81022004229605715</v>
      </c>
      <c r="U21" s="461">
        <f t="shared" si="35"/>
        <v>0.81022004229605715</v>
      </c>
      <c r="V21" s="461">
        <f t="shared" si="35"/>
        <v>0.81022004229605715</v>
      </c>
      <c r="W21" s="461">
        <f t="shared" ref="W21" si="36">IFERROR(M21/M7,"")</f>
        <v>0.81022004229605704</v>
      </c>
      <c r="X21" s="461">
        <f t="shared" ref="X21" si="37">IFERROR(N21/N7,"")</f>
        <v>0.81022004229605704</v>
      </c>
    </row>
    <row r="22" spans="2:26" ht="14.5">
      <c r="B22" s="322" t="s">
        <v>283</v>
      </c>
      <c r="C22" s="395"/>
      <c r="D22" s="395"/>
      <c r="E22" s="396"/>
      <c r="F22" s="396"/>
      <c r="G22" s="396"/>
      <c r="H22" s="396"/>
      <c r="I22" s="396"/>
      <c r="J22" s="396"/>
      <c r="K22" s="409"/>
      <c r="L22" s="409"/>
      <c r="M22" s="409"/>
      <c r="N22" s="409"/>
      <c r="U22" s="101"/>
    </row>
    <row r="23" spans="2:26">
      <c r="B23" s="74" t="s">
        <v>298</v>
      </c>
      <c r="C23" s="405">
        <f>SUM(,C24:C28)</f>
        <v>1602673</v>
      </c>
      <c r="D23" s="405">
        <f t="shared" ref="D23:N23" si="38">SUM(,D24:D28)</f>
        <v>1637038</v>
      </c>
      <c r="E23" s="405">
        <f t="shared" si="38"/>
        <v>1743254</v>
      </c>
      <c r="F23" s="405">
        <f t="shared" si="38"/>
        <v>1744916</v>
      </c>
      <c r="G23" s="405">
        <f>SUM(G24:G29)</f>
        <v>1711025</v>
      </c>
      <c r="H23" s="405">
        <f t="shared" ref="H23:I23" si="39">SUM(H24:H29)</f>
        <v>1825714</v>
      </c>
      <c r="I23" s="405">
        <f t="shared" si="39"/>
        <v>1748540</v>
      </c>
      <c r="J23" s="405">
        <f t="shared" ref="J23" si="40">SUM(J24:J29)</f>
        <v>1732535</v>
      </c>
      <c r="K23" s="406">
        <f t="shared" si="38"/>
        <v>1718368.6487502609</v>
      </c>
      <c r="L23" s="406">
        <f t="shared" si="38"/>
        <v>1760725.2219249515</v>
      </c>
      <c r="M23" s="406">
        <f t="shared" si="38"/>
        <v>1791483.5681554666</v>
      </c>
      <c r="N23" s="406">
        <f t="shared" si="38"/>
        <v>0</v>
      </c>
      <c r="P23" s="74" t="s">
        <v>299</v>
      </c>
      <c r="Q23" s="461">
        <f>IFERROR(G23/G$7,"")</f>
        <v>0.30308905409254583</v>
      </c>
      <c r="R23" s="461">
        <f t="shared" ref="R23:W23" si="41">IFERROR(H23/H$7,"")</f>
        <v>0.31722919959709406</v>
      </c>
      <c r="S23" s="461">
        <f t="shared" si="41"/>
        <v>0.37949839641992639</v>
      </c>
      <c r="T23" s="461">
        <f t="shared" si="41"/>
        <v>0.33859809345274938</v>
      </c>
      <c r="U23" s="461">
        <f t="shared" si="41"/>
        <v>0.3242962654459523</v>
      </c>
      <c r="V23" s="461">
        <f t="shared" si="41"/>
        <v>0.314423598144281</v>
      </c>
      <c r="W23" s="461">
        <f t="shared" si="41"/>
        <v>0.30270911789763766</v>
      </c>
      <c r="X23" s="97"/>
    </row>
    <row r="24" spans="2:26">
      <c r="B24" s="83" t="s">
        <v>300</v>
      </c>
      <c r="C24" s="388">
        <f>'IS as rep.'!K20+'IS as rep.'!K22+'IS as rep.'!K23</f>
        <v>355190</v>
      </c>
      <c r="D24" s="388">
        <f>'IS as rep.'!L20+'IS as rep.'!L22+'IS as rep.'!L23</f>
        <v>349999</v>
      </c>
      <c r="E24" s="388">
        <f>'IS as rep.'!M20+'IS as rep.'!M22+'IS as rep.'!M23</f>
        <v>366289</v>
      </c>
      <c r="F24" s="390">
        <f>'IS as rep.'!N20+'IS as rep.'!N22+'IS as rep.'!N23</f>
        <v>337987</v>
      </c>
      <c r="G24" s="459">
        <f>'IS as rep.'!O20+'IS as rep.'!O22+'IS as rep.'!O23</f>
        <v>334461</v>
      </c>
      <c r="H24" s="459">
        <f>'IS as rep.'!P20+'IS as rep.'!P22+'IS as rep.'!P23</f>
        <v>375313</v>
      </c>
      <c r="I24" s="459">
        <f>'IS as rep.'!Q20+'IS as rep.'!Q22+'IS as rep.'!Q23</f>
        <v>292853</v>
      </c>
      <c r="J24" s="459">
        <f>'IS as rep.'!R20+'IS as rep.'!R22+'IS as rep.'!R23</f>
        <v>144642</v>
      </c>
      <c r="K24" s="407">
        <f t="shared" ref="K24" si="42">K$7*(U24)</f>
        <v>277374.49053364684</v>
      </c>
      <c r="L24" s="407">
        <f t="shared" ref="L24" si="43">L$7*(V24)</f>
        <v>269119.83385368489</v>
      </c>
      <c r="M24" s="407">
        <f t="shared" ref="M24" si="44">M$7*(W24)</f>
        <v>253837.25512215917</v>
      </c>
      <c r="N24" s="407">
        <f t="shared" ref="N24" si="45">N$7*(X24)</f>
        <v>0</v>
      </c>
      <c r="P24" s="98" t="str">
        <f t="shared" ref="P24:P28" si="46">B24</f>
        <v>Selling General &amp; Admin Exp.</v>
      </c>
      <c r="Q24" s="462">
        <f t="shared" ref="Q24:Q27" si="47">IFERROR(G24/G$7,"")</f>
        <v>5.9246047323006375E-2</v>
      </c>
      <c r="R24" s="462">
        <f t="shared" ref="R24:T27" si="48">IFERROR(H24/H$7,"")</f>
        <v>6.5212975629471079E-2</v>
      </c>
      <c r="S24" s="462">
        <f t="shared" si="48"/>
        <v>6.3560023726517381E-2</v>
      </c>
      <c r="T24" s="462">
        <f t="shared" si="48"/>
        <v>2.826811893161903E-2</v>
      </c>
      <c r="U24" s="476">
        <f>AVERAGE(R24:T24)</f>
        <v>5.2347039429202498E-2</v>
      </c>
      <c r="V24" s="476">
        <f t="shared" ref="V24:W24" si="49">AVERAGE(S24:U24)</f>
        <v>4.8058394029112966E-2</v>
      </c>
      <c r="W24" s="476">
        <f t="shared" si="49"/>
        <v>4.2891184129978166E-2</v>
      </c>
      <c r="X24" s="476"/>
      <c r="Z24" s="61" t="s">
        <v>301</v>
      </c>
    </row>
    <row r="25" spans="2:26">
      <c r="B25" s="83" t="s">
        <v>85</v>
      </c>
      <c r="C25" s="388">
        <f>'IS as rep.'!K17</f>
        <v>1143827</v>
      </c>
      <c r="D25" s="388">
        <f>'IS as rep.'!L17</f>
        <v>1177568</v>
      </c>
      <c r="E25" s="388">
        <f>'IS as rep.'!M17</f>
        <v>1252673</v>
      </c>
      <c r="F25" s="388">
        <f>'IS as rep.'!N17</f>
        <v>1275452</v>
      </c>
      <c r="G25" s="459">
        <f>'IS as rep.'!O17</f>
        <v>1282454</v>
      </c>
      <c r="H25" s="459">
        <f>'IS as rep.'!P17</f>
        <v>1340503</v>
      </c>
      <c r="I25" s="459">
        <f>'IS as rep.'!Q17</f>
        <v>1318008</v>
      </c>
      <c r="J25" s="459">
        <f>'IS as rep.'!R17</f>
        <v>1262715</v>
      </c>
      <c r="K25" s="407">
        <f t="shared" ref="K25:K27" si="50">K$7*(U25)</f>
        <v>1242240.9156250877</v>
      </c>
      <c r="L25" s="407">
        <f t="shared" ref="L25:L27" si="51">L$7*(V25)</f>
        <v>1247186.7659187128</v>
      </c>
      <c r="M25" s="407">
        <f t="shared" ref="M25:M27" si="52">M$7*(W25)</f>
        <v>1252177.7241248321</v>
      </c>
      <c r="N25" s="407">
        <f t="shared" ref="N25:N27" si="53">N$7*(X25)</f>
        <v>0</v>
      </c>
      <c r="P25" s="75" t="str">
        <f t="shared" si="46"/>
        <v>Depreciation &amp; Amort.</v>
      </c>
      <c r="Q25" s="462">
        <f t="shared" si="47"/>
        <v>0.22717246666600535</v>
      </c>
      <c r="R25" s="462">
        <f t="shared" si="48"/>
        <v>0.23292076072566861</v>
      </c>
      <c r="S25" s="462">
        <f t="shared" si="48"/>
        <v>0.28605689459127864</v>
      </c>
      <c r="T25" s="462">
        <f t="shared" si="48"/>
        <v>0.24677879037028885</v>
      </c>
      <c r="U25" s="476">
        <f>T25*0.95</f>
        <v>0.23443985085177441</v>
      </c>
      <c r="V25" s="476">
        <f>U25*0.95</f>
        <v>0.22271785830918567</v>
      </c>
      <c r="W25" s="476">
        <f>V25*0.95</f>
        <v>0.21158196539372637</v>
      </c>
      <c r="X25" s="476"/>
      <c r="Z25" s="61" t="s">
        <v>302</v>
      </c>
    </row>
    <row r="26" spans="2:26">
      <c r="B26" s="83" t="s">
        <v>303</v>
      </c>
      <c r="C26" s="389">
        <v>0</v>
      </c>
      <c r="D26" s="389">
        <v>0</v>
      </c>
      <c r="E26" s="395">
        <v>0</v>
      </c>
      <c r="F26" s="389"/>
      <c r="G26" s="472"/>
      <c r="H26" s="472"/>
      <c r="I26" s="472"/>
      <c r="J26" s="472"/>
      <c r="K26" s="407">
        <f t="shared" si="50"/>
        <v>0</v>
      </c>
      <c r="L26" s="407">
        <f t="shared" si="51"/>
        <v>0</v>
      </c>
      <c r="M26" s="407">
        <f t="shared" si="52"/>
        <v>0</v>
      </c>
      <c r="N26" s="407">
        <f t="shared" si="53"/>
        <v>0</v>
      </c>
      <c r="P26" s="75" t="str">
        <f t="shared" si="46"/>
        <v>R&amp;D</v>
      </c>
      <c r="Q26" s="462">
        <f t="shared" si="47"/>
        <v>0</v>
      </c>
      <c r="R26" s="462">
        <f t="shared" si="48"/>
        <v>0</v>
      </c>
      <c r="S26" s="462">
        <f t="shared" si="48"/>
        <v>0</v>
      </c>
      <c r="T26" s="462">
        <f t="shared" si="48"/>
        <v>0</v>
      </c>
      <c r="U26" s="476">
        <f t="shared" ref="U26:W26" si="54">T26</f>
        <v>0</v>
      </c>
      <c r="V26" s="476">
        <f t="shared" si="54"/>
        <v>0</v>
      </c>
      <c r="W26" s="476">
        <f t="shared" si="54"/>
        <v>0</v>
      </c>
      <c r="X26" s="476"/>
    </row>
    <row r="27" spans="2:26">
      <c r="B27" s="83" t="s">
        <v>304</v>
      </c>
      <c r="C27" s="388">
        <f>SUM('IS as rep.'!K21,'IS as rep.'!K27)</f>
        <v>103656</v>
      </c>
      <c r="D27" s="388">
        <f>SUM('IS as rep.'!L21,'IS as rep.'!L27)</f>
        <v>109471</v>
      </c>
      <c r="E27" s="388">
        <f>SUM('IS as rep.'!M21,'IS as rep.'!M27)</f>
        <v>124292</v>
      </c>
      <c r="F27" s="388">
        <f>SUM('IS as rep.'!N21,'IS as rep.'!N27)</f>
        <v>131477</v>
      </c>
      <c r="G27" s="459">
        <f>SUM('IS as rep.'!O21,'IS as rep.'!O27)</f>
        <v>94110</v>
      </c>
      <c r="H27" s="459">
        <f>SUM('IS as rep.'!P21,'IS as rep.'!P27)</f>
        <v>109898</v>
      </c>
      <c r="I27" s="459">
        <f>SUM('IS as rep.'!Q21,'IS as rep.'!Q27)</f>
        <v>137679</v>
      </c>
      <c r="J27" s="459">
        <f>SUM('IS as rep.'!R21,'IS as rep.'!R27)</f>
        <v>325178</v>
      </c>
      <c r="K27" s="407">
        <f t="shared" si="50"/>
        <v>198753.24259152633</v>
      </c>
      <c r="L27" s="407">
        <f t="shared" si="51"/>
        <v>244418.62215255396</v>
      </c>
      <c r="M27" s="407">
        <f t="shared" si="52"/>
        <v>285468.5889084753</v>
      </c>
      <c r="N27" s="407">
        <f t="shared" si="53"/>
        <v>0</v>
      </c>
      <c r="P27" s="75" t="str">
        <f t="shared" si="46"/>
        <v>Other</v>
      </c>
      <c r="Q27" s="474">
        <f t="shared" si="47"/>
        <v>1.6670540103534134E-2</v>
      </c>
      <c r="R27" s="474">
        <f t="shared" si="48"/>
        <v>1.9095463241954349E-2</v>
      </c>
      <c r="S27" s="474">
        <f t="shared" si="48"/>
        <v>2.9881478102130373E-2</v>
      </c>
      <c r="T27" s="474">
        <f t="shared" si="48"/>
        <v>6.3551184150841475E-2</v>
      </c>
      <c r="U27" s="476">
        <f>AVERAGE(R27:T27)</f>
        <v>3.7509375164975399E-2</v>
      </c>
      <c r="V27" s="476">
        <f t="shared" ref="V27:W27" si="55">AVERAGE(S27:U27)</f>
        <v>4.3647345805982417E-2</v>
      </c>
      <c r="W27" s="476">
        <f t="shared" si="55"/>
        <v>4.8235968373933097E-2</v>
      </c>
      <c r="X27" s="476"/>
      <c r="Z27" s="61" t="s">
        <v>305</v>
      </c>
    </row>
    <row r="28" spans="2:26">
      <c r="B28" s="83" t="s">
        <v>306</v>
      </c>
      <c r="C28" s="389">
        <v>0</v>
      </c>
      <c r="D28" s="389">
        <v>0</v>
      </c>
      <c r="E28" s="389">
        <v>0</v>
      </c>
      <c r="F28" s="389">
        <v>0</v>
      </c>
      <c r="G28" s="472">
        <v>0</v>
      </c>
      <c r="H28" s="472">
        <v>0</v>
      </c>
      <c r="I28" s="472">
        <v>0</v>
      </c>
      <c r="J28" s="472">
        <v>0</v>
      </c>
      <c r="K28" s="408">
        <f t="shared" ref="K28:N28" si="56">U28</f>
        <v>0</v>
      </c>
      <c r="L28" s="408">
        <f t="shared" si="56"/>
        <v>0</v>
      </c>
      <c r="M28" s="408">
        <f t="shared" si="56"/>
        <v>0</v>
      </c>
      <c r="N28" s="408">
        <f t="shared" si="56"/>
        <v>0</v>
      </c>
      <c r="P28" s="75" t="str">
        <f t="shared" si="46"/>
        <v>Manual Adjustments</v>
      </c>
      <c r="Q28" s="462"/>
      <c r="R28" s="462"/>
      <c r="S28" s="463" t="s">
        <v>286</v>
      </c>
      <c r="T28" s="462"/>
      <c r="U28" s="477">
        <v>0</v>
      </c>
      <c r="V28" s="477">
        <v>0</v>
      </c>
      <c r="W28" s="477">
        <v>0</v>
      </c>
      <c r="X28" s="477">
        <v>0</v>
      </c>
    </row>
    <row r="29" spans="2:26" ht="14.5">
      <c r="B29" s="322" t="s">
        <v>283</v>
      </c>
      <c r="C29" s="395"/>
      <c r="D29" s="395"/>
      <c r="E29" s="395"/>
      <c r="F29" s="395"/>
      <c r="G29" s="473"/>
      <c r="H29" s="473"/>
      <c r="I29" s="473"/>
      <c r="J29" s="473"/>
      <c r="K29" s="409"/>
      <c r="L29" s="409"/>
      <c r="M29" s="409"/>
      <c r="N29" s="409"/>
      <c r="T29" s="101"/>
      <c r="U29" s="101"/>
      <c r="V29" s="101"/>
      <c r="W29" s="101"/>
      <c r="X29" s="101"/>
    </row>
    <row r="30" spans="2:26">
      <c r="B30" s="74" t="s">
        <v>307</v>
      </c>
      <c r="C30" s="405">
        <f t="shared" ref="C30:N30" si="57">C21-C23</f>
        <v>2385342</v>
      </c>
      <c r="D30" s="405">
        <f t="shared" si="57"/>
        <v>2668873</v>
      </c>
      <c r="E30" s="405">
        <f t="shared" si="57"/>
        <v>2720828</v>
      </c>
      <c r="F30" s="405">
        <f t="shared" si="57"/>
        <v>2802340</v>
      </c>
      <c r="G30" s="405">
        <f t="shared" si="57"/>
        <v>2926299</v>
      </c>
      <c r="H30" s="405">
        <f t="shared" si="57"/>
        <v>2907831</v>
      </c>
      <c r="I30" s="405">
        <f t="shared" si="57"/>
        <v>1971809</v>
      </c>
      <c r="J30" s="405">
        <f t="shared" ref="J30" si="58">J21-J23</f>
        <v>2413190</v>
      </c>
      <c r="K30" s="406">
        <f t="shared" si="57"/>
        <v>2574794.3247921853</v>
      </c>
      <c r="L30" s="406">
        <f t="shared" si="57"/>
        <v>2776386.0896921549</v>
      </c>
      <c r="M30" s="406">
        <f t="shared" si="57"/>
        <v>3003535.1694513829</v>
      </c>
      <c r="N30" s="406">
        <f t="shared" si="57"/>
        <v>4795018.7376068495</v>
      </c>
      <c r="O30" s="103"/>
      <c r="P30" s="74" t="s">
        <v>308</v>
      </c>
      <c r="Q30" s="461">
        <f>IFERROR(G30/G7,"")</f>
        <v>0.51836133072395951</v>
      </c>
      <c r="R30" s="461">
        <f t="shared" ref="R30:W30" si="59">IFERROR(H30/H7,"")</f>
        <v>0.50525378054482661</v>
      </c>
      <c r="S30" s="461">
        <f t="shared" si="59"/>
        <v>0.42795609682728369</v>
      </c>
      <c r="T30" s="461">
        <f t="shared" si="59"/>
        <v>0.47162194884330777</v>
      </c>
      <c r="U30" s="461">
        <f t="shared" si="59"/>
        <v>0.4859237768501049</v>
      </c>
      <c r="V30" s="461">
        <f t="shared" si="59"/>
        <v>0.49579644415177615</v>
      </c>
      <c r="W30" s="461">
        <f t="shared" si="59"/>
        <v>0.50751092439841949</v>
      </c>
      <c r="X30" s="97"/>
    </row>
    <row r="31" spans="2:26" ht="14.5">
      <c r="B31" s="322" t="s">
        <v>283</v>
      </c>
      <c r="C31" s="396"/>
      <c r="D31" s="396"/>
      <c r="E31" s="396"/>
      <c r="F31" s="396"/>
      <c r="G31" s="396"/>
      <c r="H31" s="396"/>
      <c r="I31" s="396"/>
      <c r="J31" s="396"/>
      <c r="K31" s="409"/>
      <c r="L31" s="409"/>
      <c r="M31" s="409"/>
      <c r="N31" s="409"/>
    </row>
    <row r="32" spans="2:26" ht="14.5">
      <c r="B32" s="61" t="s">
        <v>309</v>
      </c>
      <c r="C32" s="388">
        <f>SUM('IS as rep.'!K30:K31,'IS as rep.'!K34,'IS as rep.'!K36,'IS as rep.'!K37,'IS as rep.'!K42:K43)</f>
        <v>-705731</v>
      </c>
      <c r="D32" s="388">
        <f>SUM('IS as rep.'!L30:L31,'IS as rep.'!L34,'IS as rep.'!L36,'IS as rep.'!L37)</f>
        <v>-509328</v>
      </c>
      <c r="E32" s="388">
        <f>SUM('IS as rep.'!M30:M31,'IS as rep.'!M34,'IS as rep.'!M36,'IS as rep.'!M37)</f>
        <v>-556444</v>
      </c>
      <c r="F32" s="388">
        <f>SUM('IS as rep.'!N30:N31,'IS as rep.'!N34,'IS as rep.'!N36,'IS as rep.'!N37)</f>
        <v>-534094</v>
      </c>
      <c r="G32" s="459">
        <f>SUM('IS as rep.'!O30:O31,'IS as rep.'!O34,'IS as rep.'!O36,'IS as rep.'!O37)</f>
        <v>-67058</v>
      </c>
      <c r="H32" s="459">
        <f>SUM('IS as rep.'!P30:P31,'IS as rep.'!P34,'IS as rep.'!P36,'IS as rep.'!P37)</f>
        <v>-454589</v>
      </c>
      <c r="I32" s="459">
        <f>SUM('IS as rep.'!Q30:Q31,'IS as rep.'!Q34,'IS as rep.'!Q36,'IS as rep.'!Q37)</f>
        <v>-699122</v>
      </c>
      <c r="J32" s="459">
        <f>SUM('IS as rep.'!R30:R31,'IS as rep.'!R34,'IS as rep.'!R36,'IS as rep.'!R37)</f>
        <v>134044</v>
      </c>
      <c r="K32" s="409">
        <f t="shared" ref="K32:N32" si="60">U32</f>
        <v>220000</v>
      </c>
      <c r="L32" s="409">
        <f t="shared" si="60"/>
        <v>250000</v>
      </c>
      <c r="M32" s="409">
        <f t="shared" si="60"/>
        <v>300000</v>
      </c>
      <c r="N32" s="409">
        <f t="shared" si="60"/>
        <v>0</v>
      </c>
      <c r="P32" s="75" t="str">
        <f t="shared" ref="P32" si="61">B32</f>
        <v>Other income/(expense), net</v>
      </c>
      <c r="Q32" s="86"/>
      <c r="R32" s="86"/>
      <c r="S32" s="86"/>
      <c r="T32" s="477">
        <f>-500000+720000</f>
        <v>220000</v>
      </c>
      <c r="U32" s="477">
        <f>-500000+720000</f>
        <v>220000</v>
      </c>
      <c r="V32" s="477">
        <v>250000</v>
      </c>
      <c r="W32" s="477">
        <v>300000</v>
      </c>
      <c r="X32" s="93"/>
      <c r="Z32" s="322" t="s">
        <v>310</v>
      </c>
    </row>
    <row r="33" spans="2:26" ht="14.5">
      <c r="B33" s="322" t="s">
        <v>283</v>
      </c>
      <c r="C33" s="395"/>
      <c r="D33" s="395"/>
      <c r="E33" s="395"/>
      <c r="F33" s="395"/>
      <c r="G33" s="395"/>
      <c r="H33" s="395"/>
      <c r="I33" s="397"/>
      <c r="J33" s="397"/>
      <c r="K33" s="411"/>
      <c r="L33" s="411"/>
      <c r="M33" s="411"/>
      <c r="N33" s="411"/>
      <c r="P33" s="75"/>
      <c r="Q33" s="86"/>
      <c r="R33" s="86"/>
      <c r="S33" s="86"/>
      <c r="T33" s="86"/>
      <c r="U33" s="86"/>
      <c r="V33" s="86"/>
      <c r="W33" s="86"/>
      <c r="X33" s="86"/>
    </row>
    <row r="34" spans="2:26">
      <c r="B34" s="75" t="s">
        <v>311</v>
      </c>
      <c r="C34" s="397">
        <f t="shared" ref="C34:N34" si="62">C30+C32</f>
        <v>1679611</v>
      </c>
      <c r="D34" s="397">
        <f t="shared" si="62"/>
        <v>2159545</v>
      </c>
      <c r="E34" s="397">
        <f t="shared" si="62"/>
        <v>2164384</v>
      </c>
      <c r="F34" s="397">
        <f t="shared" si="62"/>
        <v>2268246</v>
      </c>
      <c r="G34" s="410">
        <f t="shared" si="62"/>
        <v>2859241</v>
      </c>
      <c r="H34" s="410">
        <f t="shared" si="62"/>
        <v>2453242</v>
      </c>
      <c r="I34" s="410">
        <f t="shared" si="62"/>
        <v>1272687</v>
      </c>
      <c r="J34" s="410">
        <f t="shared" ref="J34" si="63">J30+J32</f>
        <v>2547234</v>
      </c>
      <c r="K34" s="411">
        <f t="shared" si="62"/>
        <v>2794794.3247921853</v>
      </c>
      <c r="L34" s="411">
        <f t="shared" si="62"/>
        <v>3026386.0896921549</v>
      </c>
      <c r="M34" s="411">
        <f t="shared" si="62"/>
        <v>3303535.1694513829</v>
      </c>
      <c r="N34" s="411">
        <f t="shared" si="62"/>
        <v>4795018.7376068495</v>
      </c>
      <c r="P34" s="75" t="s">
        <v>312</v>
      </c>
      <c r="Q34" s="461">
        <f>G34/G$7</f>
        <v>0.50648275163286616</v>
      </c>
      <c r="R34" s="461">
        <f>H34/H$7</f>
        <v>0.42626610524867209</v>
      </c>
      <c r="S34" s="461">
        <f>I34/I$7</f>
        <v>0.27622054722482003</v>
      </c>
      <c r="T34" s="461">
        <f t="shared" ref="T34:W34" si="64">J34/J$7</f>
        <v>0.49781884693701461</v>
      </c>
      <c r="U34" s="461">
        <f t="shared" si="64"/>
        <v>0.52744291097187646</v>
      </c>
      <c r="V34" s="461">
        <f t="shared" si="64"/>
        <v>0.54044049113721815</v>
      </c>
      <c r="W34" s="461">
        <f t="shared" si="64"/>
        <v>0.55820228265787208</v>
      </c>
      <c r="X34" s="87"/>
    </row>
    <row r="35" spans="2:26" ht="14.5">
      <c r="B35" s="98" t="s">
        <v>313</v>
      </c>
      <c r="C35" s="388">
        <f>-'IS as rep.'!K33</f>
        <v>28085</v>
      </c>
      <c r="D35" s="388">
        <f>-'IS as rep.'!L33</f>
        <v>20170</v>
      </c>
      <c r="E35" s="388">
        <f>-'IS as rep.'!M33</f>
        <v>29678</v>
      </c>
      <c r="F35" s="388">
        <f>-'IS as rep.'!N33</f>
        <v>23343</v>
      </c>
      <c r="G35" s="459">
        <f>-'IS as rep.'!O33-'IS as rep.'!O32</f>
        <v>36898</v>
      </c>
      <c r="H35" s="459">
        <f>-'IS as rep.'!P33-'IS as rep.'!P32</f>
        <v>30054</v>
      </c>
      <c r="I35" s="459">
        <f>-'IS as rep.'!Q33-'IS as rep.'!Q32</f>
        <v>-4637</v>
      </c>
      <c r="J35" s="459">
        <f>-'IS as rep.'!R33-'IS as rep.'!R32</f>
        <v>-21473</v>
      </c>
      <c r="K35" s="407">
        <f t="shared" ref="K35:N35" si="65">K34*U35</f>
        <v>27947.943247921852</v>
      </c>
      <c r="L35" s="407">
        <f t="shared" si="65"/>
        <v>30263.860896921549</v>
      </c>
      <c r="M35" s="407">
        <f t="shared" si="65"/>
        <v>33035.351694513833</v>
      </c>
      <c r="N35" s="407">
        <f t="shared" si="65"/>
        <v>0</v>
      </c>
      <c r="P35" s="75" t="s">
        <v>314</v>
      </c>
      <c r="Q35" s="462">
        <f>IFERROR(G35/G34,"")</f>
        <v>1.2904823342978084E-2</v>
      </c>
      <c r="R35" s="462">
        <f t="shared" ref="R35:T35" si="66">IFERROR(H35/H34,"")</f>
        <v>1.2250727812421277E-2</v>
      </c>
      <c r="S35" s="462">
        <f t="shared" si="66"/>
        <v>-3.6434724327348358E-3</v>
      </c>
      <c r="T35" s="462">
        <f t="shared" si="66"/>
        <v>-8.4299283065474157E-3</v>
      </c>
      <c r="U35" s="476">
        <v>0.01</v>
      </c>
      <c r="V35" s="476">
        <v>0.01</v>
      </c>
      <c r="W35" s="476">
        <v>0.01</v>
      </c>
      <c r="X35" s="476"/>
      <c r="Z35" s="322" t="s">
        <v>315</v>
      </c>
    </row>
    <row r="36" spans="2:26" ht="14.5">
      <c r="B36" s="322" t="s">
        <v>283</v>
      </c>
      <c r="C36" s="395"/>
      <c r="D36" s="395"/>
      <c r="E36" s="395"/>
      <c r="F36" s="395"/>
      <c r="G36" s="395"/>
      <c r="H36" s="395"/>
      <c r="I36" s="398"/>
      <c r="J36" s="398"/>
      <c r="K36" s="407"/>
      <c r="L36" s="407"/>
      <c r="M36" s="407"/>
      <c r="N36" s="407"/>
      <c r="T36" s="478"/>
      <c r="U36" s="478"/>
      <c r="V36" s="478"/>
      <c r="W36" s="478"/>
      <c r="X36" s="478"/>
    </row>
    <row r="37" spans="2:26">
      <c r="B37" s="75" t="s">
        <v>316</v>
      </c>
      <c r="C37" s="388">
        <f>-SUM('IS as rep.'!K45:K46)</f>
        <v>-246275</v>
      </c>
      <c r="D37" s="388">
        <f>-SUM('IS as rep.'!L45:L46)</f>
        <v>-314992</v>
      </c>
      <c r="E37" s="388">
        <f>-SUM('IS as rep.'!M45:M46)</f>
        <v>-299147</v>
      </c>
      <c r="F37" s="388">
        <f>-SUM('IS as rep.'!N45:N46)</f>
        <v>-300278</v>
      </c>
      <c r="G37" s="459">
        <f>-SUM('IS as rep.'!O45:O46)</f>
        <v>-385622</v>
      </c>
      <c r="H37" s="459">
        <f>-SUM('IS as rep.'!P45:P46)</f>
        <v>-324941</v>
      </c>
      <c r="I37" s="459">
        <f>-SUM('IS as rep.'!Q45:Q46)</f>
        <v>-168097</v>
      </c>
      <c r="J37" s="459">
        <f>-SUM('IS as rep.'!R45:R46)</f>
        <v>-322413</v>
      </c>
      <c r="K37" s="407">
        <f t="shared" ref="K37:N37" si="67">U37</f>
        <v>-320000</v>
      </c>
      <c r="L37" s="407">
        <f t="shared" si="67"/>
        <v>-330000</v>
      </c>
      <c r="M37" s="407">
        <f t="shared" si="67"/>
        <v>-320000</v>
      </c>
      <c r="N37" s="407">
        <f t="shared" si="67"/>
        <v>0</v>
      </c>
      <c r="P37" s="75" t="str">
        <f>B37</f>
        <v>Minority interest+Prefered share dividend</v>
      </c>
      <c r="Q37" s="86"/>
      <c r="R37" s="86"/>
      <c r="S37" s="86"/>
      <c r="T37" s="477">
        <v>-200000</v>
      </c>
      <c r="U37" s="477">
        <v>-320000</v>
      </c>
      <c r="V37" s="477">
        <v>-330000</v>
      </c>
      <c r="W37" s="477">
        <v>-320000</v>
      </c>
      <c r="X37" s="477">
        <v>0</v>
      </c>
      <c r="Z37" s="61" t="s">
        <v>317</v>
      </c>
    </row>
    <row r="38" spans="2:26" ht="14.5">
      <c r="B38" s="322" t="s">
        <v>283</v>
      </c>
      <c r="C38" s="395"/>
      <c r="D38" s="395"/>
      <c r="E38" s="395"/>
      <c r="F38" s="395"/>
      <c r="G38" s="395"/>
      <c r="H38" s="395"/>
      <c r="I38" s="395"/>
      <c r="J38" s="395"/>
      <c r="K38" s="407"/>
      <c r="L38" s="407"/>
      <c r="M38" s="407"/>
      <c r="N38" s="407"/>
    </row>
    <row r="39" spans="2:26" s="74" customFormat="1">
      <c r="B39" s="96" t="s">
        <v>318</v>
      </c>
      <c r="C39" s="412">
        <f t="shared" ref="C39:N39" si="68">C34-C35+C37</f>
        <v>1405251</v>
      </c>
      <c r="D39" s="412">
        <f t="shared" si="68"/>
        <v>1824383</v>
      </c>
      <c r="E39" s="412">
        <f t="shared" si="68"/>
        <v>1835559</v>
      </c>
      <c r="F39" s="412">
        <f t="shared" si="68"/>
        <v>1944625</v>
      </c>
      <c r="G39" s="412">
        <f t="shared" si="68"/>
        <v>2436721</v>
      </c>
      <c r="H39" s="412">
        <f t="shared" si="68"/>
        <v>2098247</v>
      </c>
      <c r="I39" s="412">
        <f t="shared" si="68"/>
        <v>1109227</v>
      </c>
      <c r="J39" s="412">
        <f t="shared" ref="J39" si="69">J34-J35+J37</f>
        <v>2246294</v>
      </c>
      <c r="K39" s="413">
        <f t="shared" si="68"/>
        <v>2446846.3815442636</v>
      </c>
      <c r="L39" s="413">
        <f t="shared" si="68"/>
        <v>2666122.2287952332</v>
      </c>
      <c r="M39" s="413">
        <f t="shared" si="68"/>
        <v>2950499.8177568689</v>
      </c>
      <c r="N39" s="413">
        <f t="shared" si="68"/>
        <v>4795018.7376068495</v>
      </c>
      <c r="P39" s="75" t="s">
        <v>319</v>
      </c>
      <c r="Q39" s="87">
        <f>G39/G$7</f>
        <v>0.43163803157606839</v>
      </c>
      <c r="R39" s="87">
        <f>H39/H$7</f>
        <v>0.36458350889953395</v>
      </c>
      <c r="S39" s="87">
        <f>I39/I$7</f>
        <v>0.24074363055216677</v>
      </c>
      <c r="T39" s="87">
        <f t="shared" ref="T39:V39" si="70">J39/J$7</f>
        <v>0.43900461793519335</v>
      </c>
      <c r="U39" s="87">
        <f t="shared" si="70"/>
        <v>0.46177701404867177</v>
      </c>
      <c r="V39" s="87">
        <f t="shared" si="70"/>
        <v>0.47610594420506253</v>
      </c>
      <c r="W39" s="87"/>
      <c r="X39" s="87"/>
    </row>
    <row r="40" spans="2:26" ht="14.5">
      <c r="B40" s="322" t="s">
        <v>283</v>
      </c>
      <c r="C40" s="395"/>
      <c r="D40" s="395"/>
      <c r="E40" s="395"/>
      <c r="F40" s="395"/>
      <c r="G40" s="395"/>
      <c r="H40" s="399"/>
      <c r="I40" s="399"/>
      <c r="J40" s="409"/>
      <c r="K40" s="409"/>
      <c r="L40" s="409"/>
      <c r="M40" s="409"/>
      <c r="N40" s="409"/>
    </row>
    <row r="41" spans="2:26" s="79" customFormat="1" ht="20">
      <c r="B41" s="76" t="s">
        <v>320</v>
      </c>
      <c r="C41" s="400"/>
      <c r="D41" s="400"/>
      <c r="E41" s="400"/>
      <c r="F41" s="400"/>
      <c r="G41" s="400"/>
      <c r="H41" s="400"/>
      <c r="I41" s="400"/>
      <c r="J41" s="424"/>
      <c r="K41" s="424"/>
      <c r="L41" s="424"/>
      <c r="M41" s="424"/>
      <c r="N41" s="424"/>
      <c r="P41" s="73" t="s">
        <v>276</v>
      </c>
    </row>
    <row r="42" spans="2:26">
      <c r="B42" s="75" t="s">
        <v>321</v>
      </c>
      <c r="C42" s="388">
        <f>'BS as rep.'!K11</f>
        <v>612282</v>
      </c>
      <c r="D42" s="388">
        <f>'BS as rep.'!L11</f>
        <v>701134</v>
      </c>
      <c r="E42" s="388">
        <f>'BS as rep.'!M11</f>
        <v>560059</v>
      </c>
      <c r="F42" s="390">
        <f>'BS as rep.'!N11</f>
        <v>1482309</v>
      </c>
      <c r="G42" s="460">
        <f>'BS as rep.'!O11</f>
        <v>514335</v>
      </c>
      <c r="H42" s="460">
        <f>'BS as rep.'!P11</f>
        <v>669373</v>
      </c>
      <c r="I42" s="460">
        <f>'BS as rep.'!Q11</f>
        <v>1011613</v>
      </c>
      <c r="J42" s="460">
        <f>'BS as rep.'!R11</f>
        <v>533936</v>
      </c>
      <c r="K42" s="409">
        <f>K105</f>
        <v>2294898.5641428111</v>
      </c>
      <c r="L42" s="409">
        <f>L105</f>
        <v>1703789.9224569802</v>
      </c>
      <c r="M42" s="409">
        <f>M105</f>
        <v>1691682.6115044421</v>
      </c>
      <c r="N42" s="409">
        <f>N105</f>
        <v>2438271.3858539271</v>
      </c>
      <c r="P42" s="106" t="s">
        <v>322</v>
      </c>
    </row>
    <row r="43" spans="2:26">
      <c r="B43" s="75" t="s">
        <v>323</v>
      </c>
      <c r="C43" s="388">
        <f>'BS as rep.'!K12</f>
        <v>580197</v>
      </c>
      <c r="D43" s="388">
        <f>'BS as rep.'!L12</f>
        <v>624605</v>
      </c>
      <c r="E43" s="388">
        <f>'BS as rep.'!M12</f>
        <v>664619</v>
      </c>
      <c r="F43" s="390">
        <f>'BS as rep.'!N12</f>
        <v>742672</v>
      </c>
      <c r="G43" s="460">
        <f>'BS as rep.'!O12</f>
        <v>763815</v>
      </c>
      <c r="H43" s="460">
        <f>'BS as rep.'!P12</f>
        <v>832151</v>
      </c>
      <c r="I43" s="460">
        <f>'BS as rep.'!Q12</f>
        <v>1236734</v>
      </c>
      <c r="J43" s="460">
        <f>'BS as rep.'!R12</f>
        <v>919654</v>
      </c>
      <c r="K43" s="409">
        <f>J43*(K7/J7)</f>
        <v>952360.44389586966</v>
      </c>
      <c r="L43" s="409">
        <f t="shared" ref="L43:N43" si="71">K43*(L7/K7)</f>
        <v>1006475.9640771921</v>
      </c>
      <c r="M43" s="409">
        <f t="shared" si="71"/>
        <v>1063688.0550724154</v>
      </c>
      <c r="N43" s="409">
        <f t="shared" si="71"/>
        <v>1063688.0550724154</v>
      </c>
      <c r="P43" s="106" t="s">
        <v>324</v>
      </c>
      <c r="Q43" s="136" t="s">
        <v>325</v>
      </c>
    </row>
    <row r="44" spans="2:26">
      <c r="B44" s="75" t="s">
        <v>326</v>
      </c>
      <c r="C44" s="389">
        <v>0</v>
      </c>
      <c r="D44" s="389">
        <v>0</v>
      </c>
      <c r="E44" s="389">
        <v>0</v>
      </c>
      <c r="F44" s="395">
        <v>0</v>
      </c>
      <c r="G44" s="479">
        <v>0</v>
      </c>
      <c r="H44" s="479">
        <v>0</v>
      </c>
      <c r="I44" s="479">
        <v>0</v>
      </c>
      <c r="J44" s="479">
        <v>0</v>
      </c>
      <c r="K44" s="409">
        <f>J44*(K14/J14)</f>
        <v>0</v>
      </c>
      <c r="L44" s="409">
        <f>K44*(L14/K14)</f>
        <v>0</v>
      </c>
      <c r="M44" s="409">
        <f>L44*(M14/L14)</f>
        <v>0</v>
      </c>
      <c r="N44" s="409">
        <f>M44*(N14/M14)</f>
        <v>0</v>
      </c>
      <c r="P44" s="106" t="s">
        <v>327</v>
      </c>
    </row>
    <row r="45" spans="2:26">
      <c r="B45" s="75" t="s">
        <v>328</v>
      </c>
      <c r="C45" s="389">
        <v>0</v>
      </c>
      <c r="D45" s="389">
        <v>0</v>
      </c>
      <c r="E45" s="389">
        <v>0</v>
      </c>
      <c r="F45" s="395">
        <v>0</v>
      </c>
      <c r="G45" s="479">
        <v>0</v>
      </c>
      <c r="H45" s="479">
        <v>0</v>
      </c>
      <c r="I45" s="479">
        <v>0</v>
      </c>
      <c r="J45" s="479">
        <v>0</v>
      </c>
      <c r="K45" s="416">
        <f>J45*(K23/J23)</f>
        <v>0</v>
      </c>
      <c r="L45" s="416">
        <f>K45*(L23/K23)</f>
        <v>0</v>
      </c>
      <c r="M45" s="416">
        <f>L45*(M23/L23)</f>
        <v>0</v>
      </c>
      <c r="N45" s="416">
        <f>M45*(N23/M23)</f>
        <v>0</v>
      </c>
      <c r="P45" s="106" t="s">
        <v>329</v>
      </c>
    </row>
    <row r="46" spans="2:26">
      <c r="B46" s="96" t="s">
        <v>330</v>
      </c>
      <c r="C46" s="401">
        <f t="shared" ref="C46:N46" si="72">SUM(C42:C45)</f>
        <v>1192479</v>
      </c>
      <c r="D46" s="401">
        <f t="shared" si="72"/>
        <v>1325739</v>
      </c>
      <c r="E46" s="401">
        <f t="shared" si="72"/>
        <v>1224678</v>
      </c>
      <c r="F46" s="401">
        <f t="shared" si="72"/>
        <v>2224981</v>
      </c>
      <c r="G46" s="414">
        <f t="shared" si="72"/>
        <v>1278150</v>
      </c>
      <c r="H46" s="414">
        <f t="shared" si="72"/>
        <v>1501524</v>
      </c>
      <c r="I46" s="414">
        <f t="shared" si="72"/>
        <v>2248347</v>
      </c>
      <c r="J46" s="414">
        <f t="shared" ref="J46" si="73">SUM(J42:J45)</f>
        <v>1453590</v>
      </c>
      <c r="K46" s="415">
        <f t="shared" si="72"/>
        <v>3247259.008038681</v>
      </c>
      <c r="L46" s="415">
        <f t="shared" si="72"/>
        <v>2710265.8865341721</v>
      </c>
      <c r="M46" s="415">
        <f t="shared" si="72"/>
        <v>2755370.6665768577</v>
      </c>
      <c r="N46" s="415">
        <f t="shared" si="72"/>
        <v>3501959.4409263423</v>
      </c>
    </row>
    <row r="47" spans="2:26" ht="14.5">
      <c r="B47" s="322" t="s">
        <v>283</v>
      </c>
      <c r="C47" s="395"/>
      <c r="D47" s="395"/>
      <c r="E47" s="395"/>
      <c r="F47" s="395"/>
      <c r="G47" s="395"/>
      <c r="H47" s="396"/>
      <c r="I47" s="396"/>
      <c r="J47" s="396"/>
      <c r="K47" s="409"/>
      <c r="L47" s="409"/>
      <c r="M47" s="409"/>
      <c r="N47" s="409"/>
    </row>
    <row r="48" spans="2:26">
      <c r="B48" s="75" t="s">
        <v>331</v>
      </c>
      <c r="C48" s="388">
        <f>'BS as rep.'!K10</f>
        <v>22367785</v>
      </c>
      <c r="D48" s="388">
        <f>'BS as rep.'!L10</f>
        <v>23547738</v>
      </c>
      <c r="E48" s="388">
        <f>'BS as rep.'!M10</f>
        <v>24360335</v>
      </c>
      <c r="F48" s="390">
        <f>'BS as rep.'!N10</f>
        <v>24457515</v>
      </c>
      <c r="G48" s="460">
        <f>'BS as rep.'!O10</f>
        <v>24208131</v>
      </c>
      <c r="H48" s="460">
        <f>'BS as rep.'!P10</f>
        <v>23898719</v>
      </c>
      <c r="I48" s="460">
        <f>'BS as rep.'!Q10</f>
        <v>23158259</v>
      </c>
      <c r="J48" s="460">
        <f>'BS as rep.'!R10</f>
        <v>22311239</v>
      </c>
      <c r="K48" s="409">
        <f>J48-K75-K90</f>
        <v>21801656.769381613</v>
      </c>
      <c r="L48" s="409">
        <f>K48-L75-L90</f>
        <v>21332044.571849816</v>
      </c>
      <c r="M48" s="409">
        <f>L48-M75-M90</f>
        <v>20904939.356748872</v>
      </c>
      <c r="N48" s="409">
        <f>M48-N75-N90</f>
        <v>20904939.356748872</v>
      </c>
      <c r="P48" s="106" t="s">
        <v>332</v>
      </c>
    </row>
    <row r="49" spans="2:26">
      <c r="B49" s="75" t="s">
        <v>333</v>
      </c>
      <c r="C49" s="389">
        <v>0</v>
      </c>
      <c r="D49" s="389">
        <v>0</v>
      </c>
      <c r="E49" s="389">
        <v>0</v>
      </c>
      <c r="F49" s="395">
        <v>0</v>
      </c>
      <c r="G49" s="479">
        <v>0</v>
      </c>
      <c r="H49" s="479">
        <v>0</v>
      </c>
      <c r="I49" s="479">
        <v>0</v>
      </c>
      <c r="J49" s="479">
        <v>0</v>
      </c>
      <c r="K49" s="409">
        <f>J49-K77-K91</f>
        <v>0</v>
      </c>
      <c r="L49" s="409">
        <f>K49-L77-L91</f>
        <v>0</v>
      </c>
      <c r="M49" s="409">
        <f>L49-M77-M91</f>
        <v>0</v>
      </c>
      <c r="N49" s="409">
        <f>M49-N77-N91</f>
        <v>0</v>
      </c>
      <c r="P49" s="106" t="s">
        <v>334</v>
      </c>
    </row>
    <row r="50" spans="2:26">
      <c r="B50" s="75" t="s">
        <v>335</v>
      </c>
      <c r="C50" s="389">
        <v>0</v>
      </c>
      <c r="D50" s="389">
        <v>0</v>
      </c>
      <c r="E50" s="389">
        <v>0</v>
      </c>
      <c r="F50" s="395">
        <v>0</v>
      </c>
      <c r="G50" s="479">
        <v>0</v>
      </c>
      <c r="H50" s="479">
        <v>0</v>
      </c>
      <c r="I50" s="479">
        <v>0</v>
      </c>
      <c r="J50" s="479">
        <v>0</v>
      </c>
      <c r="K50" s="409">
        <f>J50</f>
        <v>0</v>
      </c>
      <c r="L50" s="409">
        <f>K50</f>
        <v>0</v>
      </c>
      <c r="M50" s="409">
        <f>L50</f>
        <v>0</v>
      </c>
      <c r="N50" s="409">
        <f>M50</f>
        <v>0</v>
      </c>
      <c r="P50" s="106" t="s">
        <v>336</v>
      </c>
    </row>
    <row r="51" spans="2:26">
      <c r="B51" s="75" t="s">
        <v>337</v>
      </c>
      <c r="C51" s="389">
        <v>0</v>
      </c>
      <c r="D51" s="389">
        <v>0</v>
      </c>
      <c r="E51" s="389">
        <v>0</v>
      </c>
      <c r="F51" s="395">
        <v>0</v>
      </c>
      <c r="G51" s="479">
        <v>0</v>
      </c>
      <c r="H51" s="479">
        <v>0</v>
      </c>
      <c r="I51" s="479">
        <v>0</v>
      </c>
      <c r="J51" s="479">
        <v>0</v>
      </c>
      <c r="K51" s="409">
        <f>J51-K76</f>
        <v>0</v>
      </c>
      <c r="L51" s="409">
        <f>K51-L76</f>
        <v>0</v>
      </c>
      <c r="M51" s="409">
        <f>L51-M76</f>
        <v>0</v>
      </c>
      <c r="N51" s="409">
        <f>M51-N76</f>
        <v>0</v>
      </c>
      <c r="P51" s="106" t="s">
        <v>338</v>
      </c>
    </row>
    <row r="52" spans="2:26">
      <c r="B52" s="75" t="s">
        <v>339</v>
      </c>
      <c r="C52" s="388">
        <f>SUM('BS as rep.'!K16:K17)</f>
        <v>1806789</v>
      </c>
      <c r="D52" s="388">
        <f>SUM('BS as rep.'!L16:L17)</f>
        <v>1266768</v>
      </c>
      <c r="E52" s="388">
        <f>SUM('BS as rep.'!M16:M17)</f>
        <v>1353588</v>
      </c>
      <c r="F52" s="390">
        <f>SUM('BS as rep.'!N16:N17)</f>
        <v>1373983</v>
      </c>
      <c r="G52" s="460">
        <f>SUM('BS as rep.'!O16:O17)+'BS as rep.'!O18</f>
        <v>1210040</v>
      </c>
      <c r="H52" s="460">
        <f>SUM('BS as rep.'!P16:P17)+'BS as rep.'!P18</f>
        <v>1728685</v>
      </c>
      <c r="I52" s="460">
        <f>SUM('BS as rep.'!Q16:Q17)+'BS as rep.'!Q18</f>
        <v>1595082</v>
      </c>
      <c r="J52" s="460">
        <f>SUM('BS as rep.'!R16:R17)+'BS as rep.'!R18</f>
        <v>1970130</v>
      </c>
      <c r="K52" s="409">
        <f>J52*(K7/J7)</f>
        <v>2040195.4227704874</v>
      </c>
      <c r="L52" s="409">
        <f>K52*(L7/K7)</f>
        <v>2156124.467579545</v>
      </c>
      <c r="M52" s="409">
        <f>L52*(M7/L7)</f>
        <v>2278687.1453174977</v>
      </c>
      <c r="N52" s="409">
        <f>M52*(N7/M7)</f>
        <v>2278687.1453174977</v>
      </c>
      <c r="P52" s="106" t="s">
        <v>324</v>
      </c>
    </row>
    <row r="53" spans="2:26">
      <c r="B53" s="98" t="s">
        <v>340</v>
      </c>
      <c r="C53" s="388">
        <f>SUM('BS as rep.'!K13:K15)</f>
        <v>4165277</v>
      </c>
      <c r="D53" s="388">
        <f>SUM('BS as rep.'!L13:L15)</f>
        <v>4424937</v>
      </c>
      <c r="E53" s="388">
        <f>SUM('BS as rep.'!M13:M15)</f>
        <v>4164977</v>
      </c>
      <c r="F53" s="390">
        <f>SUM('BS as rep.'!N13:N15)</f>
        <v>4201159</v>
      </c>
      <c r="G53" s="460">
        <f>SUM('BS as rep.'!O13:O15)</f>
        <v>3989902</v>
      </c>
      <c r="H53" s="460">
        <f>SUM('BS as rep.'!P13:P15)</f>
        <v>4102702</v>
      </c>
      <c r="I53" s="460">
        <f>SUM('BS as rep.'!Q13:Q15)</f>
        <v>7785158</v>
      </c>
      <c r="J53" s="460">
        <f>SUM('BS as rep.'!R13:R15)</f>
        <v>8042420</v>
      </c>
      <c r="K53" s="409">
        <f>J53-K92</f>
        <v>8092420</v>
      </c>
      <c r="L53" s="409">
        <f>K53-L92</f>
        <v>8142420</v>
      </c>
      <c r="M53" s="409">
        <f>L53-M92</f>
        <v>8192420</v>
      </c>
      <c r="N53" s="409">
        <f>M53-N92</f>
        <v>8192420</v>
      </c>
      <c r="P53" s="106" t="s">
        <v>336</v>
      </c>
    </row>
    <row r="54" spans="2:26">
      <c r="B54" s="109" t="s">
        <v>341</v>
      </c>
      <c r="C54" s="401">
        <f t="shared" ref="C54:N54" si="74">SUM(C53,C52,C51,C50,C49,C48,C46)</f>
        <v>29532330</v>
      </c>
      <c r="D54" s="401">
        <f t="shared" si="74"/>
        <v>30565182</v>
      </c>
      <c r="E54" s="401">
        <f t="shared" si="74"/>
        <v>31103578</v>
      </c>
      <c r="F54" s="401">
        <f t="shared" si="74"/>
        <v>32257638</v>
      </c>
      <c r="G54" s="414">
        <f t="shared" si="74"/>
        <v>30686223</v>
      </c>
      <c r="H54" s="414">
        <f t="shared" si="74"/>
        <v>31231630</v>
      </c>
      <c r="I54" s="414">
        <f t="shared" si="74"/>
        <v>34786846</v>
      </c>
      <c r="J54" s="414">
        <f t="shared" ref="J54" si="75">SUM(J53,J52,J51,J50,J49,J48,J46)</f>
        <v>33777379</v>
      </c>
      <c r="K54" s="415">
        <f t="shared" si="74"/>
        <v>35181531.200190783</v>
      </c>
      <c r="L54" s="415">
        <f t="shared" si="74"/>
        <v>34340854.925963528</v>
      </c>
      <c r="M54" s="415">
        <f t="shared" si="74"/>
        <v>34131417.168643229</v>
      </c>
      <c r="N54" s="415">
        <f t="shared" si="74"/>
        <v>34878005.94299271</v>
      </c>
      <c r="P54" s="110"/>
    </row>
    <row r="55" spans="2:26" ht="14.5">
      <c r="B55" s="322" t="s">
        <v>283</v>
      </c>
      <c r="C55" s="395"/>
      <c r="D55" s="395"/>
      <c r="E55" s="395"/>
      <c r="F55" s="395"/>
      <c r="G55" s="395"/>
      <c r="H55" s="399"/>
      <c r="I55" s="399"/>
      <c r="J55" s="409"/>
      <c r="K55" s="409"/>
      <c r="L55" s="409"/>
      <c r="M55" s="409"/>
      <c r="N55" s="409"/>
    </row>
    <row r="56" spans="2:26">
      <c r="B56" s="75" t="s">
        <v>342</v>
      </c>
      <c r="C56" s="388">
        <f>'BS as rep.'!K23</f>
        <v>1259681</v>
      </c>
      <c r="D56" s="388">
        <f>'BS as rep.'!L23</f>
        <v>1323801</v>
      </c>
      <c r="E56" s="388">
        <f>'BS as rep.'!M23</f>
        <v>1214022</v>
      </c>
      <c r="F56" s="390">
        <f>'BS as rep.'!N23</f>
        <v>1269190</v>
      </c>
      <c r="G56" s="460">
        <f>'BS as rep.'!O23</f>
        <v>1316861</v>
      </c>
      <c r="H56" s="460">
        <f>'BS as rep.'!P23</f>
        <v>1390682</v>
      </c>
      <c r="I56" s="460">
        <f>'BS as rep.'!Q23</f>
        <v>1311925</v>
      </c>
      <c r="J56" s="460">
        <f>'BS as rep.'!R23</f>
        <v>1433216</v>
      </c>
      <c r="K56" s="416">
        <f>J56*(K23/J23)</f>
        <v>1421497.0787240975</v>
      </c>
      <c r="L56" s="416">
        <f>K56*(L23/K23)</f>
        <v>1456535.9774356023</v>
      </c>
      <c r="M56" s="416">
        <f>L56*(M23/L23)</f>
        <v>1481980.4007523688</v>
      </c>
      <c r="N56" s="416">
        <f>M56*(N23/M23)</f>
        <v>0</v>
      </c>
      <c r="P56" s="106" t="s">
        <v>329</v>
      </c>
    </row>
    <row r="57" spans="2:26">
      <c r="B57" s="75" t="s">
        <v>343</v>
      </c>
      <c r="C57" s="388">
        <v>1174796</v>
      </c>
      <c r="D57" s="388">
        <v>2928580</v>
      </c>
      <c r="E57" s="388">
        <v>2233249</v>
      </c>
      <c r="F57" s="395">
        <v>2060959</v>
      </c>
      <c r="G57" s="460">
        <v>1416309</v>
      </c>
      <c r="H57" s="460">
        <v>1416310</v>
      </c>
      <c r="I57" s="479">
        <f>3408470-1118689</f>
        <v>2289781</v>
      </c>
      <c r="J57" s="479">
        <f>3408470-1118689</f>
        <v>2289781</v>
      </c>
      <c r="K57" s="416">
        <f>J57*(K23/J23)</f>
        <v>2271058.2371519315</v>
      </c>
      <c r="L57" s="416">
        <f>K57*(L23/K23)</f>
        <v>2327038.218208889</v>
      </c>
      <c r="M57" s="416">
        <f>L57*(M23/L23)</f>
        <v>2367689.5625049956</v>
      </c>
      <c r="N57" s="416">
        <f>M57*(N23/M23)</f>
        <v>0</v>
      </c>
      <c r="P57" s="106" t="s">
        <v>329</v>
      </c>
    </row>
    <row r="58" spans="2:26">
      <c r="B58" s="75" t="s">
        <v>344</v>
      </c>
      <c r="C58" s="388"/>
      <c r="D58" s="388"/>
      <c r="E58" s="388"/>
      <c r="F58" s="390"/>
      <c r="G58" s="460"/>
      <c r="H58" s="460"/>
      <c r="I58" s="460"/>
      <c r="J58" s="460"/>
      <c r="K58" s="416">
        <f>J58*(K23/J23)</f>
        <v>0</v>
      </c>
      <c r="L58" s="416">
        <f>K58*(L23/K23)</f>
        <v>0</v>
      </c>
      <c r="M58" s="416">
        <f>L58*(M23/L23)</f>
        <v>0</v>
      </c>
      <c r="N58" s="416">
        <f>M58*(N23/M23)</f>
        <v>0</v>
      </c>
      <c r="P58" s="106" t="s">
        <v>329</v>
      </c>
    </row>
    <row r="59" spans="2:26">
      <c r="B59" s="96" t="s">
        <v>345</v>
      </c>
      <c r="C59" s="401">
        <f t="shared" ref="C59:N59" si="76">SUM(C56:C58)</f>
        <v>2434477</v>
      </c>
      <c r="D59" s="401">
        <f t="shared" si="76"/>
        <v>4252381</v>
      </c>
      <c r="E59" s="401">
        <f t="shared" si="76"/>
        <v>3447271</v>
      </c>
      <c r="F59" s="401">
        <f t="shared" si="76"/>
        <v>3330149</v>
      </c>
      <c r="G59" s="414">
        <f t="shared" si="76"/>
        <v>2733170</v>
      </c>
      <c r="H59" s="414">
        <f t="shared" si="76"/>
        <v>2806992</v>
      </c>
      <c r="I59" s="414">
        <f t="shared" si="76"/>
        <v>3601706</v>
      </c>
      <c r="J59" s="415">
        <f t="shared" si="76"/>
        <v>3722997</v>
      </c>
      <c r="K59" s="415">
        <f t="shared" si="76"/>
        <v>3692555.315876029</v>
      </c>
      <c r="L59" s="415">
        <f t="shared" si="76"/>
        <v>3783574.1956444914</v>
      </c>
      <c r="M59" s="415">
        <f t="shared" si="76"/>
        <v>3849669.9632573645</v>
      </c>
      <c r="N59" s="415">
        <f t="shared" si="76"/>
        <v>0</v>
      </c>
      <c r="P59" s="110"/>
    </row>
    <row r="60" spans="2:26" ht="14.5">
      <c r="B60" s="322" t="s">
        <v>283</v>
      </c>
      <c r="C60" s="395"/>
      <c r="D60" s="395"/>
      <c r="E60" s="395"/>
      <c r="F60" s="395"/>
      <c r="G60" s="395"/>
      <c r="H60" s="396"/>
      <c r="I60" s="396"/>
      <c r="J60" s="409"/>
      <c r="K60" s="409"/>
      <c r="L60" s="409"/>
      <c r="M60" s="409"/>
      <c r="N60" s="409"/>
    </row>
    <row r="61" spans="2:26">
      <c r="B61" s="75" t="s">
        <v>346</v>
      </c>
      <c r="C61" s="388">
        <f>'BS as rep.'!K22-C57</f>
        <v>19678197</v>
      </c>
      <c r="D61" s="388">
        <f>'BS as rep.'!L22-D57</f>
        <v>19488102</v>
      </c>
      <c r="E61" s="388">
        <f>'BS as rep.'!M22-E57</f>
        <v>20743855</v>
      </c>
      <c r="F61" s="390">
        <f>'BS as rep.'!N22-F57</f>
        <v>22571504</v>
      </c>
      <c r="G61" s="460">
        <f>'BS as rep.'!O22-G57</f>
        <v>21889226</v>
      </c>
      <c r="H61" s="460">
        <f>'BS as rep.'!P22-H57</f>
        <v>22746920</v>
      </c>
      <c r="I61" s="460">
        <f>'BS as rep.'!Q22-I57</f>
        <v>24433580</v>
      </c>
      <c r="J61" s="460">
        <f>'BS as rep.'!R22-J57</f>
        <v>23031241</v>
      </c>
      <c r="K61" s="409">
        <f>U61</f>
        <v>25000000</v>
      </c>
      <c r="L61" s="409">
        <f>V61</f>
        <v>24500000</v>
      </c>
      <c r="M61" s="409">
        <f>W61</f>
        <v>24500000</v>
      </c>
      <c r="N61" s="409">
        <f>X61</f>
        <v>24500000</v>
      </c>
      <c r="P61" s="111" t="s">
        <v>346</v>
      </c>
      <c r="Q61" s="86"/>
      <c r="R61" s="99"/>
      <c r="S61" s="99"/>
      <c r="T61" s="93">
        <v>25000000</v>
      </c>
      <c r="U61" s="93">
        <v>25000000</v>
      </c>
      <c r="V61" s="93">
        <v>24500000</v>
      </c>
      <c r="W61" s="93">
        <f t="shared" ref="W61:X61" si="77">V61</f>
        <v>24500000</v>
      </c>
      <c r="X61" s="93">
        <f t="shared" si="77"/>
        <v>24500000</v>
      </c>
      <c r="Z61" s="61" t="s">
        <v>347</v>
      </c>
    </row>
    <row r="62" spans="2:26">
      <c r="B62" s="75" t="s">
        <v>348</v>
      </c>
      <c r="C62" s="388">
        <f>SUM('BS as rep.'!K24:K27)</f>
        <v>1442614</v>
      </c>
      <c r="D62" s="388">
        <f>SUM('BS as rep.'!L24:L27)</f>
        <v>1582793</v>
      </c>
      <c r="E62" s="388">
        <f>SUM('BS as rep.'!M24:M27)</f>
        <v>1814778</v>
      </c>
      <c r="F62" s="390">
        <f>SUM('BS as rep.'!N24:N27)</f>
        <v>1926741</v>
      </c>
      <c r="G62" s="460">
        <f>SUM('BS as rep.'!O24:O27)</f>
        <v>2036708</v>
      </c>
      <c r="H62" s="460">
        <f>SUM('BS as rep.'!P24:P27)</f>
        <v>2547407</v>
      </c>
      <c r="I62" s="460">
        <f>SUM('BS as rep.'!Q24:Q27)</f>
        <v>3093322</v>
      </c>
      <c r="J62" s="460">
        <f>SUM('BS as rep.'!R24:R27)</f>
        <v>2622416</v>
      </c>
      <c r="K62" s="409">
        <f>J62+K52-J52</f>
        <v>2692481.4227704871</v>
      </c>
      <c r="L62" s="409">
        <f>K62+L52-K52</f>
        <v>2808410.4675795455</v>
      </c>
      <c r="M62" s="409">
        <f>L62+M52-L52</f>
        <v>2930973.1453174981</v>
      </c>
      <c r="N62" s="409">
        <f>M62+N52-M52</f>
        <v>2930973.1453174977</v>
      </c>
      <c r="P62" s="106" t="s">
        <v>349</v>
      </c>
    </row>
    <row r="63" spans="2:26">
      <c r="B63" s="96" t="s">
        <v>350</v>
      </c>
      <c r="C63" s="401">
        <f t="shared" ref="C63:N63" si="78">SUM(C62,C61,C59)</f>
        <v>23555288</v>
      </c>
      <c r="D63" s="401">
        <f t="shared" si="78"/>
        <v>25323276</v>
      </c>
      <c r="E63" s="401">
        <f t="shared" si="78"/>
        <v>26005904</v>
      </c>
      <c r="F63" s="401">
        <f t="shared" si="78"/>
        <v>27828394</v>
      </c>
      <c r="G63" s="414">
        <f t="shared" si="78"/>
        <v>26659104</v>
      </c>
      <c r="H63" s="414">
        <f t="shared" si="78"/>
        <v>28101319</v>
      </c>
      <c r="I63" s="414">
        <f t="shared" si="78"/>
        <v>31128608</v>
      </c>
      <c r="J63" s="415">
        <f t="shared" si="78"/>
        <v>29376654</v>
      </c>
      <c r="K63" s="415">
        <f t="shared" si="78"/>
        <v>31385036.738646515</v>
      </c>
      <c r="L63" s="415">
        <f t="shared" si="78"/>
        <v>31091984.663224034</v>
      </c>
      <c r="M63" s="415">
        <f t="shared" si="78"/>
        <v>31280643.108574864</v>
      </c>
      <c r="N63" s="415">
        <f t="shared" si="78"/>
        <v>27430973.145317499</v>
      </c>
      <c r="P63" s="110"/>
    </row>
    <row r="64" spans="2:26" ht="14.5">
      <c r="B64" s="322" t="s">
        <v>283</v>
      </c>
      <c r="C64" s="395"/>
      <c r="D64" s="395"/>
      <c r="E64" s="395"/>
      <c r="F64" s="395"/>
      <c r="G64" s="395"/>
      <c r="H64" s="396"/>
      <c r="I64" s="396"/>
      <c r="J64" s="409"/>
      <c r="K64" s="409"/>
      <c r="L64" s="409"/>
      <c r="M64" s="409"/>
      <c r="N64" s="409"/>
    </row>
    <row r="65" spans="2:26">
      <c r="B65" s="75" t="s">
        <v>351</v>
      </c>
      <c r="C65" s="388">
        <f>'BS as rep.'!K40+'BS as rep.'!K37</f>
        <v>9422268</v>
      </c>
      <c r="D65" s="388">
        <f>'BS as rep.'!L40+'BS as rep.'!L37</f>
        <v>9384481</v>
      </c>
      <c r="E65" s="388">
        <f>'BS as rep.'!M40+'BS as rep.'!M37</f>
        <v>9523118</v>
      </c>
      <c r="F65" s="388">
        <f>'BS as rep.'!N40+'BS as rep.'!N37</f>
        <v>9614780</v>
      </c>
      <c r="G65" s="459">
        <f>'BS as rep.'!O40+'BS as rep.'!O37</f>
        <v>9700450</v>
      </c>
      <c r="H65" s="459">
        <f>'BS as rep.'!P40+'BS as rep.'!P37</f>
        <v>9756105</v>
      </c>
      <c r="I65" s="459">
        <f>'BS as rep.'!Q40+'BS as rep.'!Q37</f>
        <v>11179722</v>
      </c>
      <c r="J65" s="459">
        <f>'BS as rep.'!R40+'BS as rep.'!R37</f>
        <v>11213024</v>
      </c>
      <c r="K65" s="409">
        <f t="shared" ref="K65:N65" si="79">J65+SUM(K85:K86)</f>
        <v>11014264</v>
      </c>
      <c r="L65" s="409">
        <f t="shared" si="79"/>
        <v>10815504</v>
      </c>
      <c r="M65" s="409">
        <f t="shared" si="79"/>
        <v>10616744</v>
      </c>
      <c r="N65" s="409">
        <f t="shared" si="79"/>
        <v>10417984</v>
      </c>
      <c r="P65" s="106" t="s">
        <v>352</v>
      </c>
    </row>
    <row r="66" spans="2:26" ht="14.5">
      <c r="B66" s="75" t="s">
        <v>353</v>
      </c>
      <c r="C66" s="388">
        <f>'BS as rep.'!K43</f>
        <v>-103929</v>
      </c>
      <c r="D66" s="388">
        <f>'BS as rep.'!L43</f>
        <v>-437134</v>
      </c>
      <c r="E66" s="388">
        <f>'BS as rep.'!M43</f>
        <v>-682562</v>
      </c>
      <c r="F66" s="388">
        <f>'BS as rep.'!N43</f>
        <v>-1079063</v>
      </c>
      <c r="G66" s="459">
        <f>'BS as rep.'!O43</f>
        <v>-1427431</v>
      </c>
      <c r="H66" s="459">
        <f>'BS as rep.'!P43</f>
        <v>-1773571</v>
      </c>
      <c r="I66" s="459">
        <f>'BS as rep.'!Q43</f>
        <v>-1891352</v>
      </c>
      <c r="J66" s="459">
        <f>'BS as rep.'!R43</f>
        <v>-1884441</v>
      </c>
      <c r="K66" s="409">
        <f t="shared" ref="K66:N66" si="80">J66+K99/2</f>
        <v>-2259441</v>
      </c>
      <c r="L66" s="409">
        <f t="shared" si="80"/>
        <v>-2684441</v>
      </c>
      <c r="M66" s="409">
        <f t="shared" si="80"/>
        <v>-3134441</v>
      </c>
      <c r="N66" s="409">
        <f t="shared" si="80"/>
        <v>-3134441</v>
      </c>
      <c r="P66" s="106" t="s">
        <v>354</v>
      </c>
    </row>
    <row r="67" spans="2:26" ht="14.5">
      <c r="B67" s="75" t="s">
        <v>355</v>
      </c>
      <c r="C67" s="389">
        <f>'BS as rep.'!K41</f>
        <v>-4208183</v>
      </c>
      <c r="D67" s="389">
        <f>'BS as rep.'!L41</f>
        <v>-4266930</v>
      </c>
      <c r="E67" s="389">
        <f>'BS as rep.'!M41</f>
        <v>-4459387</v>
      </c>
      <c r="F67" s="389">
        <f>'BS as rep.'!N41</f>
        <v>-4782173</v>
      </c>
      <c r="G67" s="472">
        <f>'BS as rep.'!O41</f>
        <v>-4893069</v>
      </c>
      <c r="H67" s="472">
        <f>'BS as rep.'!P41</f>
        <v>-5379952</v>
      </c>
      <c r="I67" s="472">
        <f>'BS as rep.'!Q41</f>
        <v>-6102314</v>
      </c>
      <c r="J67" s="472">
        <f>'BS as rep.'!R41</f>
        <v>-5823708</v>
      </c>
      <c r="K67" s="409">
        <f t="shared" ref="K67:N67" si="81">J67+K74+K97</f>
        <v>-5479178.5384557359</v>
      </c>
      <c r="L67" s="409">
        <f t="shared" si="81"/>
        <v>-4978042.7372605028</v>
      </c>
      <c r="M67" s="409">
        <f t="shared" si="81"/>
        <v>-4277378.9399316339</v>
      </c>
      <c r="N67" s="409">
        <f t="shared" si="81"/>
        <v>517639.79767521564</v>
      </c>
      <c r="P67" s="106" t="s">
        <v>356</v>
      </c>
    </row>
    <row r="68" spans="2:26" ht="14.5">
      <c r="B68" s="75" t="s">
        <v>357</v>
      </c>
      <c r="C68" s="389">
        <f>'BS as rep.'!K36+'BS as rep.'!K45+'BS as rep.'!K31</f>
        <v>927927</v>
      </c>
      <c r="D68" s="389">
        <f>'BS as rep.'!L36+'BS as rep.'!L45+'BS as rep.'!L31</f>
        <v>814175</v>
      </c>
      <c r="E68" s="389">
        <f>'BS as rep.'!M36+'BS as rep.'!M45+'BS as rep.'!M31</f>
        <v>830631</v>
      </c>
      <c r="F68" s="389">
        <f>'BS as rep.'!N36+'BS as rep.'!N45+'BS as rep.'!N31</f>
        <v>786153</v>
      </c>
      <c r="G68" s="472">
        <f>'BS as rep.'!O36+'BS as rep.'!O45+'BS as rep.'!O31</f>
        <v>773186</v>
      </c>
      <c r="H68" s="472">
        <f>'BS as rep.'!P36+'BS as rep.'!P45+'BS as rep.'!P31</f>
        <v>646333</v>
      </c>
      <c r="I68" s="472">
        <f>'BS as rep.'!Q36+'BS as rep.'!Q45+'BS as rep.'!Q31</f>
        <v>660857</v>
      </c>
      <c r="J68" s="472">
        <f>'BS as rep.'!R36+'BS as rep.'!R45+'BS as rep.'!R31</f>
        <v>1081036</v>
      </c>
      <c r="K68" s="409">
        <f t="shared" ref="K68:N68" si="82">J68+K98</f>
        <v>1081036</v>
      </c>
      <c r="L68" s="409">
        <f t="shared" si="82"/>
        <v>1081036</v>
      </c>
      <c r="M68" s="409">
        <f t="shared" si="82"/>
        <v>1081036</v>
      </c>
      <c r="N68" s="409">
        <f t="shared" si="82"/>
        <v>1081036</v>
      </c>
      <c r="P68" s="106" t="s">
        <v>358</v>
      </c>
    </row>
    <row r="69" spans="2:26" ht="14.5">
      <c r="B69" s="75" t="s">
        <v>359</v>
      </c>
      <c r="C69" s="389">
        <f>'BS as rep.'!K42</f>
        <v>-61041</v>
      </c>
      <c r="D69" s="389">
        <f>'BS as rep.'!L42</f>
        <v>-252686</v>
      </c>
      <c r="E69" s="389">
        <f>'BS as rep.'!M42</f>
        <v>-114126</v>
      </c>
      <c r="F69" s="389">
        <f>'BS as rep.'!N42</f>
        <v>-110453</v>
      </c>
      <c r="G69" s="472">
        <f>'BS as rep.'!O42</f>
        <v>-126017</v>
      </c>
      <c r="H69" s="472">
        <f>'BS as rep.'!P42</f>
        <v>-118604</v>
      </c>
      <c r="I69" s="472">
        <f>'BS as rep.'!Q42</f>
        <v>-188675</v>
      </c>
      <c r="J69" s="472">
        <f>'BS as rep.'!R42</f>
        <v>-185186</v>
      </c>
      <c r="K69" s="409">
        <f t="shared" ref="K69:N69" si="83">J69+K99/2</f>
        <v>-560186</v>
      </c>
      <c r="L69" s="409">
        <f t="shared" si="83"/>
        <v>-985186</v>
      </c>
      <c r="M69" s="409">
        <f t="shared" si="83"/>
        <v>-1435186</v>
      </c>
      <c r="N69" s="409">
        <f t="shared" si="83"/>
        <v>-1435186</v>
      </c>
      <c r="P69" s="106" t="s">
        <v>360</v>
      </c>
    </row>
    <row r="70" spans="2:26">
      <c r="B70" s="96" t="s">
        <v>361</v>
      </c>
      <c r="C70" s="401">
        <f t="shared" ref="C70:N70" si="84">SUM(C65:C69)</f>
        <v>5977042</v>
      </c>
      <c r="D70" s="401">
        <f t="shared" si="84"/>
        <v>5241906</v>
      </c>
      <c r="E70" s="401">
        <f t="shared" si="84"/>
        <v>5097674</v>
      </c>
      <c r="F70" s="401">
        <f t="shared" si="84"/>
        <v>4429244</v>
      </c>
      <c r="G70" s="414">
        <f t="shared" si="84"/>
        <v>4027119</v>
      </c>
      <c r="H70" s="414">
        <f t="shared" si="84"/>
        <v>3130311</v>
      </c>
      <c r="I70" s="414">
        <f t="shared" si="84"/>
        <v>3658238</v>
      </c>
      <c r="J70" s="415">
        <f t="shared" si="84"/>
        <v>4400725</v>
      </c>
      <c r="K70" s="415">
        <f t="shared" si="84"/>
        <v>3796494.4615442641</v>
      </c>
      <c r="L70" s="415">
        <f t="shared" si="84"/>
        <v>3248870.2627394972</v>
      </c>
      <c r="M70" s="415">
        <f t="shared" si="84"/>
        <v>2850774.0600683661</v>
      </c>
      <c r="N70" s="415">
        <f t="shared" si="84"/>
        <v>7447032.7976752147</v>
      </c>
      <c r="P70" s="110"/>
    </row>
    <row r="71" spans="2:26">
      <c r="B71" s="96" t="s">
        <v>362</v>
      </c>
      <c r="C71" s="402">
        <f t="shared" ref="C71:N71" si="85">SUM(C70,C63)</f>
        <v>29532330</v>
      </c>
      <c r="D71" s="402">
        <f t="shared" si="85"/>
        <v>30565182</v>
      </c>
      <c r="E71" s="402">
        <f t="shared" si="85"/>
        <v>31103578</v>
      </c>
      <c r="F71" s="402">
        <f t="shared" si="85"/>
        <v>32257638</v>
      </c>
      <c r="G71" s="405">
        <f t="shared" si="85"/>
        <v>30686223</v>
      </c>
      <c r="H71" s="405">
        <f t="shared" si="85"/>
        <v>31231630</v>
      </c>
      <c r="I71" s="405">
        <f t="shared" si="85"/>
        <v>34786846</v>
      </c>
      <c r="J71" s="406">
        <f t="shared" si="85"/>
        <v>33777379</v>
      </c>
      <c r="K71" s="406">
        <f t="shared" si="85"/>
        <v>35181531.200190783</v>
      </c>
      <c r="L71" s="406">
        <f t="shared" si="85"/>
        <v>34340854.925963528</v>
      </c>
      <c r="M71" s="406">
        <f t="shared" si="85"/>
        <v>34131417.168643229</v>
      </c>
      <c r="N71" s="406">
        <f t="shared" si="85"/>
        <v>34878005.942992717</v>
      </c>
      <c r="P71" s="110"/>
    </row>
    <row r="72" spans="2:26" ht="14.5">
      <c r="B72" s="322" t="s">
        <v>283</v>
      </c>
      <c r="C72" s="403">
        <f t="shared" ref="C72:N72" si="86">ROUND(C71-C54,1)</f>
        <v>0</v>
      </c>
      <c r="D72" s="403">
        <f t="shared" si="86"/>
        <v>0</v>
      </c>
      <c r="E72" s="403">
        <f t="shared" si="86"/>
        <v>0</v>
      </c>
      <c r="F72" s="403">
        <f t="shared" si="86"/>
        <v>0</v>
      </c>
      <c r="G72" s="403">
        <f t="shared" si="86"/>
        <v>0</v>
      </c>
      <c r="H72" s="403">
        <f t="shared" si="86"/>
        <v>0</v>
      </c>
      <c r="I72" s="403">
        <f t="shared" si="86"/>
        <v>0</v>
      </c>
      <c r="J72" s="407">
        <f t="shared" si="86"/>
        <v>0</v>
      </c>
      <c r="K72" s="407">
        <f t="shared" si="86"/>
        <v>0</v>
      </c>
      <c r="L72" s="407">
        <f t="shared" si="86"/>
        <v>0</v>
      </c>
      <c r="M72" s="407">
        <f t="shared" si="86"/>
        <v>0</v>
      </c>
      <c r="N72" s="407">
        <f t="shared" si="86"/>
        <v>0</v>
      </c>
    </row>
    <row r="73" spans="2:26" s="64" customFormat="1" ht="20">
      <c r="B73" s="76" t="s">
        <v>363</v>
      </c>
      <c r="C73" s="400"/>
      <c r="D73" s="400"/>
      <c r="E73" s="400"/>
      <c r="F73" s="400"/>
      <c r="G73" s="400"/>
      <c r="H73" s="400"/>
      <c r="I73" s="400"/>
      <c r="J73" s="424"/>
      <c r="K73" s="424"/>
      <c r="L73" s="424"/>
      <c r="M73" s="424"/>
      <c r="N73" s="424"/>
      <c r="O73" s="79"/>
      <c r="P73" s="73" t="s">
        <v>276</v>
      </c>
      <c r="Q73" s="79"/>
      <c r="R73" s="79"/>
      <c r="S73" s="79"/>
      <c r="T73" s="79"/>
      <c r="U73" s="79"/>
      <c r="V73" s="79"/>
      <c r="W73" s="79"/>
      <c r="X73" s="79"/>
      <c r="Y73" s="79"/>
    </row>
    <row r="74" spans="2:26" ht="15.5">
      <c r="B74" s="75" t="s">
        <v>364</v>
      </c>
      <c r="C74" s="396">
        <f t="shared" ref="C74:E74" si="87">C39</f>
        <v>1405251</v>
      </c>
      <c r="D74" s="396">
        <f t="shared" si="87"/>
        <v>1824383</v>
      </c>
      <c r="E74" s="396">
        <f t="shared" si="87"/>
        <v>1835559</v>
      </c>
      <c r="F74" s="404">
        <f>F39-F37</f>
        <v>2244903</v>
      </c>
      <c r="G74" s="418">
        <f>G39-G37</f>
        <v>2822343</v>
      </c>
      <c r="H74" s="417">
        <f t="shared" ref="H74:N74" si="88">H39-H37</f>
        <v>2423188</v>
      </c>
      <c r="I74" s="417">
        <f t="shared" si="88"/>
        <v>1277324</v>
      </c>
      <c r="J74" s="417">
        <f t="shared" si="88"/>
        <v>2568707</v>
      </c>
      <c r="K74" s="417">
        <f t="shared" si="88"/>
        <v>2766846.3815442636</v>
      </c>
      <c r="L74" s="417">
        <f t="shared" si="88"/>
        <v>2996122.2287952332</v>
      </c>
      <c r="M74" s="417">
        <f t="shared" si="88"/>
        <v>3270499.8177568689</v>
      </c>
      <c r="N74" s="417">
        <f t="shared" si="88"/>
        <v>4795018.7376068495</v>
      </c>
      <c r="P74" s="110"/>
    </row>
    <row r="75" spans="2:26" outlineLevel="1">
      <c r="B75" s="184" t="s">
        <v>85</v>
      </c>
      <c r="C75" s="395">
        <v>0</v>
      </c>
      <c r="D75" s="395">
        <v>0</v>
      </c>
      <c r="E75" s="395">
        <v>0</v>
      </c>
      <c r="F75" s="395"/>
      <c r="G75" s="496">
        <f>'CF as rep.'!D4</f>
        <v>1349776</v>
      </c>
      <c r="H75" s="496">
        <f>'CF as rep.'!E4</f>
        <v>1394172</v>
      </c>
      <c r="I75" s="496">
        <f>'CF as rep.'!F4</f>
        <v>1354991</v>
      </c>
      <c r="J75" s="496">
        <f>'CF as rep.'!G4</f>
        <v>1325895</v>
      </c>
      <c r="K75" s="409">
        <f>K7*U75</f>
        <v>1304396.4939220059</v>
      </c>
      <c r="L75" s="409">
        <f>L7*V75</f>
        <v>1309589.8100504009</v>
      </c>
      <c r="M75" s="409">
        <f>M7*W75</f>
        <v>1314830.4910676552</v>
      </c>
      <c r="N75" s="409">
        <f>N7*X75</f>
        <v>0</v>
      </c>
      <c r="P75" s="136" t="s">
        <v>365</v>
      </c>
      <c r="Q75" s="497">
        <f>G78/G7</f>
        <v>0.23909781042171807</v>
      </c>
      <c r="R75" s="497">
        <f t="shared" ref="R75:T75" si="89">H78/H7</f>
        <v>0.24224608435969697</v>
      </c>
      <c r="S75" s="497">
        <f t="shared" si="89"/>
        <v>0.29408358496999348</v>
      </c>
      <c r="T75" s="497">
        <f t="shared" si="89"/>
        <v>0.25912637789050907</v>
      </c>
      <c r="U75" s="476">
        <f>T75*0.95</f>
        <v>0.2461700589959836</v>
      </c>
      <c r="V75" s="476">
        <f t="shared" ref="V75:W75" si="90">U75*0.95</f>
        <v>0.23386155604618442</v>
      </c>
      <c r="W75" s="476">
        <f t="shared" si="90"/>
        <v>0.22216847824387517</v>
      </c>
      <c r="X75" s="88"/>
      <c r="Z75" s="61" t="s">
        <v>366</v>
      </c>
    </row>
    <row r="76" spans="2:26" outlineLevel="1">
      <c r="B76" s="83" t="s">
        <v>367</v>
      </c>
      <c r="C76" s="395">
        <v>0</v>
      </c>
      <c r="D76" s="395">
        <v>0</v>
      </c>
      <c r="E76" s="395">
        <v>0</v>
      </c>
      <c r="F76" s="395"/>
      <c r="G76" s="496"/>
      <c r="H76" s="496"/>
      <c r="I76" s="496"/>
      <c r="J76" s="496"/>
      <c r="K76" s="409">
        <f t="shared" ref="K76:N76" si="91">U76</f>
        <v>0</v>
      </c>
      <c r="L76" s="409">
        <f t="shared" si="91"/>
        <v>0</v>
      </c>
      <c r="M76" s="409">
        <f t="shared" si="91"/>
        <v>0</v>
      </c>
      <c r="N76" s="409">
        <f t="shared" si="91"/>
        <v>0</v>
      </c>
      <c r="P76" s="61" t="s">
        <v>367</v>
      </c>
      <c r="T76" s="93">
        <v>0</v>
      </c>
      <c r="U76" s="93">
        <v>0</v>
      </c>
      <c r="V76" s="93">
        <v>0</v>
      </c>
      <c r="W76" s="93">
        <v>0</v>
      </c>
      <c r="X76" s="93">
        <v>0</v>
      </c>
    </row>
    <row r="77" spans="2:26" outlineLevel="1">
      <c r="B77" s="83" t="s">
        <v>368</v>
      </c>
      <c r="C77" s="395">
        <v>0</v>
      </c>
      <c r="D77" s="395">
        <v>0</v>
      </c>
      <c r="E77" s="395">
        <v>0</v>
      </c>
      <c r="F77" s="395"/>
      <c r="G77" s="496"/>
      <c r="H77" s="496"/>
      <c r="I77" s="496"/>
      <c r="J77" s="496"/>
      <c r="K77" s="409">
        <f>K7*U77</f>
        <v>0</v>
      </c>
      <c r="L77" s="409">
        <f>L7*V77</f>
        <v>0</v>
      </c>
      <c r="M77" s="409">
        <f>M7*W77</f>
        <v>0</v>
      </c>
      <c r="N77" s="409">
        <f>N7*X77</f>
        <v>0</v>
      </c>
      <c r="P77" s="61" t="s">
        <v>369</v>
      </c>
      <c r="T77" s="88">
        <v>0</v>
      </c>
      <c r="U77" s="88">
        <v>0</v>
      </c>
      <c r="V77" s="88">
        <v>0</v>
      </c>
      <c r="W77" s="88">
        <v>0</v>
      </c>
      <c r="X77" s="88">
        <v>0</v>
      </c>
    </row>
    <row r="78" spans="2:26">
      <c r="B78" s="98" t="s">
        <v>370</v>
      </c>
      <c r="C78" s="395">
        <f t="shared" ref="C78:E78" si="92">SUM(C75:C77)</f>
        <v>0</v>
      </c>
      <c r="D78" s="395">
        <f t="shared" si="92"/>
        <v>0</v>
      </c>
      <c r="E78" s="395">
        <f t="shared" si="92"/>
        <v>0</v>
      </c>
      <c r="F78" s="395">
        <f>'CF as rep.'!C4</f>
        <v>1357351</v>
      </c>
      <c r="G78" s="496">
        <f t="shared" ref="G78" si="93">SUM(G75:G77)</f>
        <v>1349776</v>
      </c>
      <c r="H78" s="496">
        <f t="shared" ref="H78:J78" si="94">SUM(H75:H77)</f>
        <v>1394172</v>
      </c>
      <c r="I78" s="496">
        <f t="shared" si="94"/>
        <v>1354991</v>
      </c>
      <c r="J78" s="496">
        <f t="shared" si="94"/>
        <v>1325895</v>
      </c>
      <c r="K78" s="407">
        <f>SUM(K75:K77)</f>
        <v>1304396.4939220059</v>
      </c>
      <c r="L78" s="407">
        <f>SUM(L75:L77)</f>
        <v>1309589.8100504009</v>
      </c>
      <c r="M78" s="407">
        <f>SUM(M75:M77)</f>
        <v>1314830.4910676552</v>
      </c>
      <c r="N78" s="407">
        <f>SUM(N75:N77)</f>
        <v>0</v>
      </c>
      <c r="P78" s="110"/>
    </row>
    <row r="79" spans="2:26">
      <c r="B79" s="75" t="s">
        <v>323</v>
      </c>
      <c r="C79" s="389">
        <v>0</v>
      </c>
      <c r="D79" s="389">
        <v>0</v>
      </c>
      <c r="E79" s="389">
        <v>0</v>
      </c>
      <c r="F79" s="395">
        <f>'CF as rep.'!C15</f>
        <v>-26170</v>
      </c>
      <c r="G79" s="496">
        <f>'CF as rep.'!D15</f>
        <v>-17518</v>
      </c>
      <c r="H79" s="496">
        <f>'CF as rep.'!E15</f>
        <v>-157</v>
      </c>
      <c r="I79" s="496">
        <f>'CF as rep.'!F15</f>
        <v>-415911</v>
      </c>
      <c r="J79" s="496">
        <f>'CF as rep.'!G15</f>
        <v>265352</v>
      </c>
      <c r="K79" s="409">
        <f t="shared" ref="K79:N81" si="95">-(K43-J43)</f>
        <v>-32706.443895869656</v>
      </c>
      <c r="L79" s="409">
        <f t="shared" si="95"/>
        <v>-54115.52018132247</v>
      </c>
      <c r="M79" s="409">
        <f t="shared" si="95"/>
        <v>-57212.090995223261</v>
      </c>
      <c r="N79" s="409">
        <f t="shared" si="95"/>
        <v>0</v>
      </c>
      <c r="P79" s="106" t="s">
        <v>371</v>
      </c>
    </row>
    <row r="80" spans="2:26">
      <c r="B80" s="75" t="s">
        <v>326</v>
      </c>
      <c r="C80" s="389">
        <v>0</v>
      </c>
      <c r="D80" s="389">
        <v>0</v>
      </c>
      <c r="E80" s="389">
        <v>0</v>
      </c>
      <c r="F80" s="396"/>
      <c r="G80" s="479"/>
      <c r="H80" s="479"/>
      <c r="I80" s="479"/>
      <c r="J80" s="479"/>
      <c r="K80" s="409">
        <f t="shared" si="95"/>
        <v>0</v>
      </c>
      <c r="L80" s="409">
        <f t="shared" si="95"/>
        <v>0</v>
      </c>
      <c r="M80" s="409">
        <f t="shared" si="95"/>
        <v>0</v>
      </c>
      <c r="N80" s="409">
        <f t="shared" si="95"/>
        <v>0</v>
      </c>
      <c r="P80" s="106" t="s">
        <v>371</v>
      </c>
    </row>
    <row r="81" spans="2:26">
      <c r="B81" s="75" t="s">
        <v>328</v>
      </c>
      <c r="C81" s="389">
        <v>0</v>
      </c>
      <c r="D81" s="389">
        <v>0</v>
      </c>
      <c r="E81" s="389">
        <v>0</v>
      </c>
      <c r="F81" s="395">
        <f>'CF as rep.'!C16</f>
        <v>-132945</v>
      </c>
      <c r="G81" s="496">
        <f>'CF as rep.'!D16</f>
        <v>-75438</v>
      </c>
      <c r="H81" s="496">
        <f>'CF as rep.'!E16</f>
        <v>-49338</v>
      </c>
      <c r="I81" s="496">
        <f>'CF as rep.'!F16</f>
        <v>-28191</v>
      </c>
      <c r="J81" s="496">
        <f>'CF as rep.'!G16</f>
        <v>-77592</v>
      </c>
      <c r="K81" s="409">
        <f t="shared" si="95"/>
        <v>0</v>
      </c>
      <c r="L81" s="409">
        <f t="shared" si="95"/>
        <v>0</v>
      </c>
      <c r="M81" s="409">
        <f t="shared" si="95"/>
        <v>0</v>
      </c>
      <c r="N81" s="409">
        <f t="shared" si="95"/>
        <v>0</v>
      </c>
      <c r="P81" s="106" t="s">
        <v>371</v>
      </c>
    </row>
    <row r="82" spans="2:26">
      <c r="B82" s="75" t="s">
        <v>342</v>
      </c>
      <c r="C82" s="389">
        <v>0</v>
      </c>
      <c r="D82" s="389">
        <v>0</v>
      </c>
      <c r="E82" s="389">
        <v>0</v>
      </c>
      <c r="F82" s="395">
        <f>'CF as rep.'!C17</f>
        <v>99931</v>
      </c>
      <c r="G82" s="496">
        <f>'CF as rep.'!D17</f>
        <v>84307</v>
      </c>
      <c r="H82" s="496">
        <f>'CF as rep.'!E17</f>
        <v>13100</v>
      </c>
      <c r="I82" s="496">
        <f>'CF as rep.'!F17</f>
        <v>19080</v>
      </c>
      <c r="J82" s="496">
        <f>'CF as rep.'!G17</f>
        <v>203968</v>
      </c>
      <c r="K82" s="409">
        <f>K56-J56</f>
        <v>-11718.921275902539</v>
      </c>
      <c r="L82" s="409">
        <f>L56-K56</f>
        <v>35038.89871150488</v>
      </c>
      <c r="M82" s="409">
        <f>M56-L56</f>
        <v>25444.423316766508</v>
      </c>
      <c r="N82" s="409">
        <f>N56-M56</f>
        <v>-1481980.4007523688</v>
      </c>
      <c r="P82" s="106" t="s">
        <v>371</v>
      </c>
    </row>
    <row r="83" spans="2:26">
      <c r="B83" s="75" t="s">
        <v>372</v>
      </c>
      <c r="C83" s="389">
        <v>0</v>
      </c>
      <c r="D83" s="389">
        <v>0</v>
      </c>
      <c r="E83" s="389">
        <v>0</v>
      </c>
      <c r="F83" s="389">
        <f>SUM('CF as rep.'!C11:C12,'CF as rep.'!C9)</f>
        <v>-26169</v>
      </c>
      <c r="G83" s="472">
        <f>SUM('CF as rep.'!D11:D12,'CF as rep.'!D9)+'CF as rep.'!D13</f>
        <v>-120734</v>
      </c>
      <c r="H83" s="472">
        <f>SUM('CF as rep.'!E11:E12,'CF as rep.'!E9)+'CF as rep.'!E13</f>
        <v>-15580</v>
      </c>
      <c r="I83" s="472">
        <f>SUM('CF as rep.'!F11:F12,'CF as rep.'!F9)+'CF as rep.'!F13</f>
        <v>-35137</v>
      </c>
      <c r="J83" s="472">
        <f>SUM('CF as rep.'!G11:G12,'CF as rep.'!G9)+'CF as rep.'!G13</f>
        <v>-524628</v>
      </c>
      <c r="K83" s="409">
        <f t="shared" ref="K83:N83" si="96">K58-J58</f>
        <v>0</v>
      </c>
      <c r="L83" s="409">
        <f t="shared" si="96"/>
        <v>0</v>
      </c>
      <c r="M83" s="409">
        <f t="shared" si="96"/>
        <v>0</v>
      </c>
      <c r="N83" s="409">
        <f t="shared" si="96"/>
        <v>0</v>
      </c>
      <c r="P83" s="106" t="s">
        <v>371</v>
      </c>
    </row>
    <row r="84" spans="2:26">
      <c r="B84" s="75" t="s">
        <v>373</v>
      </c>
      <c r="C84" s="389">
        <v>0</v>
      </c>
      <c r="D84" s="389">
        <v>0</v>
      </c>
      <c r="E84" s="389">
        <v>0</v>
      </c>
      <c r="F84" s="389">
        <f>'CF as rep.'!C10</f>
        <v>-26543</v>
      </c>
      <c r="G84" s="472">
        <f>'CF as rep.'!D10</f>
        <v>-18325</v>
      </c>
      <c r="H84" s="472">
        <f>'CF as rep.'!E10</f>
        <v>-67139</v>
      </c>
      <c r="I84" s="472">
        <f>'CF as rep.'!F10</f>
        <v>19950</v>
      </c>
      <c r="J84" s="472">
        <f>'CF as rep.'!G10</f>
        <v>22619</v>
      </c>
      <c r="K84" s="409">
        <v>0</v>
      </c>
      <c r="L84" s="409">
        <v>0</v>
      </c>
      <c r="M84" s="409">
        <v>0</v>
      </c>
      <c r="N84" s="409">
        <v>0</v>
      </c>
      <c r="P84" s="106" t="s">
        <v>374</v>
      </c>
    </row>
    <row r="85" spans="2:26">
      <c r="B85" s="61" t="s">
        <v>375</v>
      </c>
      <c r="C85" s="389">
        <v>0</v>
      </c>
      <c r="D85" s="389">
        <v>0</v>
      </c>
      <c r="E85" s="389">
        <v>0</v>
      </c>
      <c r="F85" s="395"/>
      <c r="G85" s="496"/>
      <c r="H85" s="496"/>
      <c r="I85" s="496"/>
      <c r="J85" s="496"/>
      <c r="K85" s="409">
        <f t="shared" ref="K85:N85" si="97">U85</f>
        <v>0</v>
      </c>
      <c r="L85" s="409">
        <f t="shared" si="97"/>
        <v>0</v>
      </c>
      <c r="M85" s="409">
        <f t="shared" si="97"/>
        <v>0</v>
      </c>
      <c r="N85" s="409">
        <f t="shared" si="97"/>
        <v>0</v>
      </c>
      <c r="P85" s="75" t="s">
        <v>376</v>
      </c>
      <c r="T85" s="93">
        <v>0</v>
      </c>
      <c r="U85" s="93">
        <v>0</v>
      </c>
      <c r="V85" s="93">
        <v>0</v>
      </c>
      <c r="W85" s="93">
        <v>0</v>
      </c>
      <c r="X85" s="93">
        <v>0</v>
      </c>
    </row>
    <row r="86" spans="2:26">
      <c r="B86" s="75" t="s">
        <v>377</v>
      </c>
      <c r="C86" s="389">
        <v>0</v>
      </c>
      <c r="D86" s="389">
        <v>0</v>
      </c>
      <c r="E86" s="389">
        <v>0</v>
      </c>
      <c r="F86" s="389">
        <f>SUM('CF as rep.'!C6:C8)</f>
        <v>-25188</v>
      </c>
      <c r="G86" s="472">
        <f>SUM('CF as rep.'!D6:D8)</f>
        <v>-273615</v>
      </c>
      <c r="H86" s="472">
        <f>SUM('CF as rep.'!E6:E8)</f>
        <v>-6671</v>
      </c>
      <c r="I86" s="472">
        <f>SUM('CF as rep.'!F6:F8)</f>
        <v>134592</v>
      </c>
      <c r="J86" s="472">
        <f>SUM('CF as rep.'!G6:G8)</f>
        <v>-198760</v>
      </c>
      <c r="K86" s="409">
        <f t="shared" ref="K86:N86" si="98">J86</f>
        <v>-198760</v>
      </c>
      <c r="L86" s="409">
        <f t="shared" si="98"/>
        <v>-198760</v>
      </c>
      <c r="M86" s="409">
        <f t="shared" si="98"/>
        <v>-198760</v>
      </c>
      <c r="N86" s="409">
        <f t="shared" si="98"/>
        <v>-198760</v>
      </c>
      <c r="P86" s="106" t="s">
        <v>336</v>
      </c>
    </row>
    <row r="87" spans="2:26">
      <c r="B87" s="75" t="s">
        <v>378</v>
      </c>
      <c r="C87" s="389">
        <v>0</v>
      </c>
      <c r="D87" s="389">
        <v>0</v>
      </c>
      <c r="E87" s="389">
        <v>0</v>
      </c>
      <c r="F87" s="389">
        <f>'CF as rep.'!C5</f>
        <v>128618</v>
      </c>
      <c r="G87" s="472">
        <f>'CF as rep.'!D5</f>
        <v>0</v>
      </c>
      <c r="H87" s="472">
        <f>'CF as rep.'!E5</f>
        <v>116256</v>
      </c>
      <c r="I87" s="472">
        <f>'CF as rep.'!F5</f>
        <v>0</v>
      </c>
      <c r="J87" s="472">
        <f>'CF as rep.'!G5</f>
        <v>51841</v>
      </c>
      <c r="K87" s="409">
        <f t="shared" ref="K87:N87" si="99">U87</f>
        <v>0</v>
      </c>
      <c r="L87" s="409">
        <f t="shared" si="99"/>
        <v>0</v>
      </c>
      <c r="M87" s="409">
        <f t="shared" si="99"/>
        <v>0</v>
      </c>
      <c r="N87" s="409">
        <f t="shared" si="99"/>
        <v>0</v>
      </c>
      <c r="P87" s="75" t="s">
        <v>379</v>
      </c>
      <c r="T87" s="93">
        <v>0</v>
      </c>
      <c r="U87" s="93">
        <v>0</v>
      </c>
      <c r="V87" s="93">
        <v>0</v>
      </c>
      <c r="W87" s="93">
        <v>0</v>
      </c>
      <c r="X87" s="93">
        <v>0</v>
      </c>
    </row>
    <row r="88" spans="2:26">
      <c r="B88" s="96" t="s">
        <v>380</v>
      </c>
      <c r="C88" s="401">
        <f t="shared" ref="C88:I88" si="100">SUM(C78:C87,C74)</f>
        <v>1405251</v>
      </c>
      <c r="D88" s="401">
        <f t="shared" si="100"/>
        <v>1824383</v>
      </c>
      <c r="E88" s="401">
        <f t="shared" si="100"/>
        <v>1835559</v>
      </c>
      <c r="F88" s="401">
        <f>SUM(F78:F87,F74)</f>
        <v>3593788</v>
      </c>
      <c r="G88" s="414">
        <f t="shared" si="100"/>
        <v>3750796</v>
      </c>
      <c r="H88" s="414">
        <f t="shared" si="100"/>
        <v>3807831</v>
      </c>
      <c r="I88" s="414">
        <f t="shared" si="100"/>
        <v>2326698</v>
      </c>
      <c r="J88" s="415">
        <f>SUM(J78:J87,J74)</f>
        <v>3637402</v>
      </c>
      <c r="K88" s="415">
        <f>SUM(K78:K87,K74)</f>
        <v>3828057.510294497</v>
      </c>
      <c r="L88" s="415">
        <f>SUM(L78:L87,L74)</f>
        <v>4087875.4173758165</v>
      </c>
      <c r="M88" s="415">
        <f>SUM(M78:M87,M74)</f>
        <v>4354802.6411460675</v>
      </c>
      <c r="N88" s="415">
        <f>SUM(N78:N87,N74)</f>
        <v>3114278.3368544807</v>
      </c>
      <c r="P88" s="110"/>
    </row>
    <row r="89" spans="2:26" ht="14.5">
      <c r="B89" s="322" t="s">
        <v>283</v>
      </c>
      <c r="C89" s="395"/>
      <c r="D89" s="395"/>
      <c r="E89" s="395"/>
      <c r="F89" s="395"/>
      <c r="G89" s="395"/>
      <c r="H89" s="395"/>
      <c r="I89" s="396"/>
      <c r="J89" s="409"/>
      <c r="K89" s="409"/>
      <c r="L89" s="409"/>
      <c r="M89" s="409"/>
      <c r="N89" s="409"/>
    </row>
    <row r="90" spans="2:26">
      <c r="B90" s="75" t="s">
        <v>381</v>
      </c>
      <c r="C90" s="389">
        <v>0</v>
      </c>
      <c r="D90" s="389">
        <v>0</v>
      </c>
      <c r="E90" s="389">
        <v>0</v>
      </c>
      <c r="F90" s="395">
        <f>'CF as rep.'!C24</f>
        <v>-732100</v>
      </c>
      <c r="G90" s="496">
        <f>'CF as rep.'!D24</f>
        <v>-781909</v>
      </c>
      <c r="H90" s="496">
        <f>'CF as rep.'!E24</f>
        <v>-876011</v>
      </c>
      <c r="I90" s="496">
        <f>'CF as rep.'!F24</f>
        <v>-484119</v>
      </c>
      <c r="J90" s="496">
        <f>'CF as rep.'!G24</f>
        <v>-527935</v>
      </c>
      <c r="K90" s="416">
        <f>-U90*K7</f>
        <v>-794814.26330361806</v>
      </c>
      <c r="L90" s="416">
        <f>-V90*L7</f>
        <v>-839977.61251860589</v>
      </c>
      <c r="M90" s="416">
        <f>-W90*M7</f>
        <v>-887725.27596671088</v>
      </c>
      <c r="N90" s="416">
        <f>-X90*N7</f>
        <v>0</v>
      </c>
      <c r="P90" s="75" t="s">
        <v>382</v>
      </c>
      <c r="Q90" s="497">
        <f>-G90/G7</f>
        <v>0.13850648540871607</v>
      </c>
      <c r="R90" s="497">
        <f t="shared" ref="R90:T90" si="101">-H90/H7</f>
        <v>0.15221237738673743</v>
      </c>
      <c r="S90" s="497">
        <f t="shared" si="101"/>
        <v>0.10507187949741975</v>
      </c>
      <c r="T90" s="497">
        <f t="shared" si="101"/>
        <v>0.10317701198935504</v>
      </c>
      <c r="U90" s="476">
        <v>0.15</v>
      </c>
      <c r="V90" s="476">
        <v>0.15</v>
      </c>
      <c r="W90" s="476">
        <v>0.15</v>
      </c>
      <c r="X90" s="88"/>
      <c r="Z90" s="61" t="s">
        <v>383</v>
      </c>
    </row>
    <row r="91" spans="2:26">
      <c r="B91" s="75" t="s">
        <v>384</v>
      </c>
      <c r="C91" s="389">
        <v>0</v>
      </c>
      <c r="D91" s="389">
        <v>0</v>
      </c>
      <c r="E91" s="389">
        <v>0</v>
      </c>
      <c r="F91" s="395"/>
      <c r="G91" s="479"/>
      <c r="H91" s="479"/>
      <c r="I91" s="479"/>
      <c r="J91" s="479"/>
      <c r="K91" s="416">
        <f>-U91*K7</f>
        <v>0</v>
      </c>
      <c r="L91" s="416">
        <f>-V91*L7</f>
        <v>0</v>
      </c>
      <c r="M91" s="416">
        <f>-W91*M7</f>
        <v>0</v>
      </c>
      <c r="N91" s="416">
        <f>-X91*N7</f>
        <v>0</v>
      </c>
      <c r="P91" s="75" t="s">
        <v>385</v>
      </c>
      <c r="Q91" s="497">
        <f>-G91/G7</f>
        <v>0</v>
      </c>
      <c r="R91" s="497">
        <f t="shared" ref="R91:T91" si="102">-H91/H7</f>
        <v>0</v>
      </c>
      <c r="S91" s="497">
        <f t="shared" si="102"/>
        <v>0</v>
      </c>
      <c r="T91" s="497">
        <f t="shared" si="102"/>
        <v>0</v>
      </c>
      <c r="U91" s="476">
        <v>0</v>
      </c>
      <c r="V91" s="476">
        <v>0</v>
      </c>
      <c r="W91" s="476">
        <v>0</v>
      </c>
      <c r="X91" s="88"/>
    </row>
    <row r="92" spans="2:26">
      <c r="B92" s="75" t="s">
        <v>386</v>
      </c>
      <c r="C92" s="389">
        <v>0</v>
      </c>
      <c r="D92" s="389">
        <v>0</v>
      </c>
      <c r="E92" s="389">
        <v>0</v>
      </c>
      <c r="F92" s="395">
        <f>SUM('CF as rep.'!C20,'CF as rep.'!C25:C27,'CF as rep.'!C32)</f>
        <v>10897</v>
      </c>
      <c r="G92" s="496">
        <f>SUM('CF as rep.'!D20,'CF as rep.'!D25:D27,'CF as rep.'!D32)</f>
        <v>527524</v>
      </c>
      <c r="H92" s="496">
        <f>SUM('CF as rep.'!E20,'CF as rep.'!E25:E27,'CF as rep.'!E32)</f>
        <v>160232</v>
      </c>
      <c r="I92" s="496">
        <f>SUM('CF as rep.'!F20,'CF as rep.'!F25:F27,'CF as rep.'!F32)</f>
        <v>-3514286</v>
      </c>
      <c r="J92" s="496">
        <f>SUM('CF as rep.'!G20,'CF as rep.'!G25:G27,'CF as rep.'!G32)</f>
        <v>-62107</v>
      </c>
      <c r="K92" s="409">
        <f t="shared" ref="K92:N93" si="103">U92</f>
        <v>-50000</v>
      </c>
      <c r="L92" s="409">
        <f t="shared" si="103"/>
        <v>-50000</v>
      </c>
      <c r="M92" s="409">
        <f t="shared" si="103"/>
        <v>-50000</v>
      </c>
      <c r="N92" s="409">
        <f>X92</f>
        <v>0</v>
      </c>
      <c r="P92" s="75" t="s">
        <v>386</v>
      </c>
      <c r="T92" s="477">
        <v>-100000</v>
      </c>
      <c r="U92" s="477">
        <v>-50000</v>
      </c>
      <c r="V92" s="477">
        <v>-50000</v>
      </c>
      <c r="W92" s="477">
        <v>-50000</v>
      </c>
      <c r="X92" s="93">
        <v>0</v>
      </c>
      <c r="Z92" s="61" t="s">
        <v>387</v>
      </c>
    </row>
    <row r="93" spans="2:26">
      <c r="B93" s="75" t="s">
        <v>379</v>
      </c>
      <c r="C93" s="389">
        <v>0</v>
      </c>
      <c r="D93" s="389">
        <v>0</v>
      </c>
      <c r="E93" s="389">
        <v>0</v>
      </c>
      <c r="F93" s="395">
        <f>SUM('CF as rep.'!C21:C22,'CF as rep.'!C28:C31)</f>
        <v>-40264</v>
      </c>
      <c r="G93" s="496">
        <f>SUM('CF as rep.'!D21:D23,'CF as rep.'!D28:D31)</f>
        <v>17879</v>
      </c>
      <c r="H93" s="496">
        <f>SUM('CF as rep.'!E21:E23,'CF as rep.'!E28:E31)</f>
        <v>-360928</v>
      </c>
      <c r="I93" s="496">
        <f>SUM('CF as rep.'!F21:F23,'CF as rep.'!F28:F31)</f>
        <v>20007</v>
      </c>
      <c r="J93" s="496">
        <f>SUM('CF as rep.'!G21:G23,'CF as rep.'!G28:G31)</f>
        <v>37278</v>
      </c>
      <c r="K93" s="409">
        <f t="shared" si="103"/>
        <v>0</v>
      </c>
      <c r="L93" s="409">
        <f t="shared" si="103"/>
        <v>0</v>
      </c>
      <c r="M93" s="409">
        <f t="shared" si="103"/>
        <v>0</v>
      </c>
      <c r="N93" s="409">
        <f t="shared" si="103"/>
        <v>0</v>
      </c>
      <c r="P93" s="75" t="s">
        <v>379</v>
      </c>
      <c r="T93" s="93">
        <v>0</v>
      </c>
      <c r="U93" s="93">
        <v>0</v>
      </c>
      <c r="V93" s="93">
        <v>0</v>
      </c>
      <c r="W93" s="93">
        <v>0</v>
      </c>
      <c r="X93" s="93">
        <v>0</v>
      </c>
    </row>
    <row r="94" spans="2:26">
      <c r="B94" s="96" t="s">
        <v>388</v>
      </c>
      <c r="C94" s="401">
        <f t="shared" ref="C94:N94" si="104">SUM(C90:C93)</f>
        <v>0</v>
      </c>
      <c r="D94" s="401">
        <f t="shared" si="104"/>
        <v>0</v>
      </c>
      <c r="E94" s="401">
        <f t="shared" si="104"/>
        <v>0</v>
      </c>
      <c r="F94" s="401">
        <f t="shared" si="104"/>
        <v>-761467</v>
      </c>
      <c r="G94" s="414">
        <f t="shared" si="104"/>
        <v>-236506</v>
      </c>
      <c r="H94" s="414">
        <f t="shared" si="104"/>
        <v>-1076707</v>
      </c>
      <c r="I94" s="414">
        <f t="shared" si="104"/>
        <v>-3978398</v>
      </c>
      <c r="J94" s="415">
        <f t="shared" si="104"/>
        <v>-552764</v>
      </c>
      <c r="K94" s="415">
        <f t="shared" si="104"/>
        <v>-844814.26330361806</v>
      </c>
      <c r="L94" s="415">
        <f t="shared" si="104"/>
        <v>-889977.61251860589</v>
      </c>
      <c r="M94" s="415">
        <f t="shared" si="104"/>
        <v>-937725.27596671088</v>
      </c>
      <c r="N94" s="415">
        <f t="shared" si="104"/>
        <v>0</v>
      </c>
      <c r="P94" s="110"/>
    </row>
    <row r="95" spans="2:26" ht="14.5">
      <c r="B95" s="322" t="s">
        <v>283</v>
      </c>
      <c r="C95" s="395"/>
      <c r="D95" s="395"/>
      <c r="E95" s="395"/>
      <c r="F95" s="395"/>
      <c r="G95" s="395"/>
      <c r="H95" s="396"/>
      <c r="I95" s="396"/>
      <c r="J95" s="409"/>
      <c r="K95" s="409"/>
      <c r="L95" s="409"/>
      <c r="M95" s="409"/>
      <c r="N95" s="409"/>
    </row>
    <row r="96" spans="2:26" ht="14.5">
      <c r="B96" s="75" t="s">
        <v>389</v>
      </c>
      <c r="C96" s="389">
        <v>0</v>
      </c>
      <c r="D96" s="389">
        <v>0</v>
      </c>
      <c r="E96" s="389">
        <v>0</v>
      </c>
      <c r="F96" s="389">
        <f>SUM('CF as rep.'!C46:C48)</f>
        <v>1082737</v>
      </c>
      <c r="G96" s="472">
        <f>SUM('CF as rep.'!D46:D48)</f>
        <v>-1144966</v>
      </c>
      <c r="H96" s="472">
        <f>SUM('CF as rep.'!E46:E48)</f>
        <v>784627</v>
      </c>
      <c r="I96" s="472">
        <f>SUM('CF as rep.'!F46:F48)</f>
        <v>2279585</v>
      </c>
      <c r="J96" s="472">
        <f>SUM('CF as rep.'!G46:G48)</f>
        <v>-875748</v>
      </c>
      <c r="K96" s="409">
        <f t="shared" ref="K96:N96" si="105">K57-J57+K61-J61</f>
        <v>1950036.237151932</v>
      </c>
      <c r="L96" s="409">
        <f t="shared" si="105"/>
        <v>-444020.01894304156</v>
      </c>
      <c r="M96" s="409">
        <f t="shared" si="105"/>
        <v>40651.344296105206</v>
      </c>
      <c r="N96" s="409">
        <f t="shared" si="105"/>
        <v>-2367689.5625049956</v>
      </c>
      <c r="P96" s="106" t="s">
        <v>390</v>
      </c>
    </row>
    <row r="97" spans="2:26" ht="15.5">
      <c r="B97" s="130" t="s">
        <v>391</v>
      </c>
      <c r="C97" s="389">
        <v>0</v>
      </c>
      <c r="D97" s="389">
        <v>0</v>
      </c>
      <c r="E97" s="389">
        <v>0</v>
      </c>
      <c r="F97" s="389">
        <f>'CF as rep.'!C44</f>
        <v>-2231259</v>
      </c>
      <c r="G97" s="472">
        <f>'CF as rep.'!D44</f>
        <v>-2449071</v>
      </c>
      <c r="H97" s="472">
        <f>'CF as rep.'!E44</f>
        <v>-2558944</v>
      </c>
      <c r="I97" s="472">
        <f>'CF as rep.'!F44</f>
        <v>-1443183</v>
      </c>
      <c r="J97" s="472">
        <f>'CF as rep.'!G44</f>
        <v>-2351764</v>
      </c>
      <c r="K97" s="409">
        <f t="shared" ref="K97:N99" si="106">U97</f>
        <v>-2422316.92</v>
      </c>
      <c r="L97" s="409">
        <f t="shared" si="106"/>
        <v>-2494986.4276000001</v>
      </c>
      <c r="M97" s="409">
        <f t="shared" si="106"/>
        <v>-2569836.020428</v>
      </c>
      <c r="N97" s="409">
        <f t="shared" si="106"/>
        <v>0</v>
      </c>
      <c r="P97" s="130" t="s">
        <v>391</v>
      </c>
      <c r="T97" s="498">
        <f>J97</f>
        <v>-2351764</v>
      </c>
      <c r="U97" s="477">
        <f>T97*(1+$Y97)</f>
        <v>-2422316.92</v>
      </c>
      <c r="V97" s="477">
        <f t="shared" ref="V97:W97" si="107">U97*(1+$Y97)</f>
        <v>-2494986.4276000001</v>
      </c>
      <c r="W97" s="477">
        <f t="shared" si="107"/>
        <v>-2569836.020428</v>
      </c>
      <c r="X97" s="93">
        <v>0</v>
      </c>
      <c r="Y97" s="499">
        <v>0.03</v>
      </c>
      <c r="Z97" s="322" t="s">
        <v>392</v>
      </c>
    </row>
    <row r="98" spans="2:26" ht="15.5">
      <c r="B98" s="130" t="s">
        <v>393</v>
      </c>
      <c r="C98" s="389"/>
      <c r="D98" s="389"/>
      <c r="E98" s="389"/>
      <c r="F98" s="389"/>
      <c r="G98" s="496"/>
      <c r="H98" s="496"/>
      <c r="I98" s="496"/>
      <c r="J98" s="496"/>
      <c r="K98" s="409">
        <f t="shared" si="106"/>
        <v>0</v>
      </c>
      <c r="L98" s="409">
        <f t="shared" si="106"/>
        <v>0</v>
      </c>
      <c r="M98" s="409"/>
      <c r="N98" s="409"/>
      <c r="P98" s="130" t="s">
        <v>394</v>
      </c>
      <c r="T98" s="93">
        <v>0</v>
      </c>
      <c r="U98" s="93">
        <f>T98</f>
        <v>0</v>
      </c>
      <c r="V98" s="93">
        <f>U98</f>
        <v>0</v>
      </c>
      <c r="W98" s="93"/>
      <c r="X98" s="93"/>
    </row>
    <row r="99" spans="2:26">
      <c r="B99" s="75" t="s">
        <v>395</v>
      </c>
      <c r="C99" s="389">
        <v>0</v>
      </c>
      <c r="D99" s="389">
        <v>0</v>
      </c>
      <c r="E99" s="389">
        <v>0</v>
      </c>
      <c r="F99" s="389">
        <f>SUM('CF as rep.'!C35:C43,'CF as rep.'!C45)</f>
        <v>-761549</v>
      </c>
      <c r="G99" s="472">
        <f>SUM('CF as rep.'!D35:D43,'CF as rep.'!D45)</f>
        <v>-888227</v>
      </c>
      <c r="H99" s="472">
        <f>SUM('CF as rep.'!E35:E43,'CF as rep.'!E45)</f>
        <v>-801769</v>
      </c>
      <c r="I99" s="472">
        <f>SUM('CF as rep.'!F35:F43,'CF as rep.'!F45)</f>
        <v>1157538</v>
      </c>
      <c r="J99" s="472">
        <f>SUM('CF as rep.'!G35:G43,'CF as rep.'!G45)</f>
        <v>-334803</v>
      </c>
      <c r="K99" s="409">
        <f t="shared" si="106"/>
        <v>-750000</v>
      </c>
      <c r="L99" s="409">
        <f t="shared" si="106"/>
        <v>-850000</v>
      </c>
      <c r="M99" s="409">
        <f t="shared" si="106"/>
        <v>-900000</v>
      </c>
      <c r="N99" s="409">
        <f t="shared" si="106"/>
        <v>0</v>
      </c>
      <c r="P99" s="75" t="s">
        <v>379</v>
      </c>
      <c r="T99" s="498">
        <f>J99</f>
        <v>-334803</v>
      </c>
      <c r="U99" s="477">
        <v>-750000</v>
      </c>
      <c r="V99" s="477">
        <v>-850000</v>
      </c>
      <c r="W99" s="477">
        <v>-900000</v>
      </c>
      <c r="X99" s="477">
        <v>0</v>
      </c>
      <c r="Z99" s="61" t="s">
        <v>396</v>
      </c>
    </row>
    <row r="100" spans="2:26">
      <c r="B100" s="96" t="s">
        <v>397</v>
      </c>
      <c r="C100" s="401">
        <f t="shared" ref="C100:N100" si="108">SUM(C96:C99)</f>
        <v>0</v>
      </c>
      <c r="D100" s="401">
        <f t="shared" si="108"/>
        <v>0</v>
      </c>
      <c r="E100" s="401">
        <f t="shared" si="108"/>
        <v>0</v>
      </c>
      <c r="F100" s="401">
        <f t="shared" si="108"/>
        <v>-1910071</v>
      </c>
      <c r="G100" s="414">
        <f t="shared" si="108"/>
        <v>-4482264</v>
      </c>
      <c r="H100" s="414">
        <f t="shared" si="108"/>
        <v>-2576086</v>
      </c>
      <c r="I100" s="414">
        <f t="shared" si="108"/>
        <v>1993940</v>
      </c>
      <c r="J100" s="415">
        <f t="shared" si="108"/>
        <v>-3562315</v>
      </c>
      <c r="K100" s="415">
        <f t="shared" si="108"/>
        <v>-1222280.682848068</v>
      </c>
      <c r="L100" s="415">
        <f t="shared" si="108"/>
        <v>-3789006.4465430416</v>
      </c>
      <c r="M100" s="415">
        <f t="shared" si="108"/>
        <v>-3429184.6761318948</v>
      </c>
      <c r="N100" s="415">
        <f t="shared" si="108"/>
        <v>-2367689.5625049956</v>
      </c>
      <c r="P100" s="110"/>
    </row>
    <row r="101" spans="2:26">
      <c r="B101" s="75" t="s">
        <v>398</v>
      </c>
      <c r="C101" s="389">
        <v>0</v>
      </c>
      <c r="D101" s="389">
        <v>0</v>
      </c>
      <c r="E101" s="389">
        <v>0</v>
      </c>
      <c r="F101" s="389">
        <v>0</v>
      </c>
      <c r="G101" s="395">
        <v>0</v>
      </c>
      <c r="H101" s="396">
        <v>0</v>
      </c>
      <c r="I101" s="396">
        <v>0</v>
      </c>
      <c r="J101" s="409">
        <f t="shared" ref="J101:N101" si="109">T101</f>
        <v>0</v>
      </c>
      <c r="K101" s="409">
        <f t="shared" si="109"/>
        <v>0</v>
      </c>
      <c r="L101" s="409">
        <f t="shared" si="109"/>
        <v>0</v>
      </c>
      <c r="M101" s="409">
        <f t="shared" si="109"/>
        <v>0</v>
      </c>
      <c r="N101" s="409">
        <f t="shared" si="109"/>
        <v>0</v>
      </c>
      <c r="P101" s="75" t="s">
        <v>398</v>
      </c>
      <c r="T101" s="93">
        <v>0</v>
      </c>
      <c r="U101" s="93">
        <v>0</v>
      </c>
      <c r="V101" s="93">
        <v>0</v>
      </c>
      <c r="W101" s="93">
        <v>0</v>
      </c>
      <c r="X101" s="93">
        <v>0</v>
      </c>
    </row>
    <row r="102" spans="2:26">
      <c r="B102" s="96" t="s">
        <v>399</v>
      </c>
      <c r="C102" s="401">
        <f t="shared" ref="C102:N102" si="110">C88+C94+C100+C101</f>
        <v>1405251</v>
      </c>
      <c r="D102" s="401">
        <f t="shared" si="110"/>
        <v>1824383</v>
      </c>
      <c r="E102" s="401">
        <f t="shared" si="110"/>
        <v>1835559</v>
      </c>
      <c r="F102" s="401">
        <f>F88+F94+F100+F101</f>
        <v>922250</v>
      </c>
      <c r="G102" s="415">
        <f t="shared" si="110"/>
        <v>-967974</v>
      </c>
      <c r="H102" s="415">
        <f t="shared" si="110"/>
        <v>155038</v>
      </c>
      <c r="I102" s="415">
        <f t="shared" si="110"/>
        <v>342240</v>
      </c>
      <c r="J102" s="415">
        <f t="shared" si="110"/>
        <v>-477677</v>
      </c>
      <c r="K102" s="415">
        <f t="shared" si="110"/>
        <v>1760962.5641428111</v>
      </c>
      <c r="L102" s="415">
        <f t="shared" si="110"/>
        <v>-591108.64168583089</v>
      </c>
      <c r="M102" s="415">
        <f t="shared" si="110"/>
        <v>-12107.310952538159</v>
      </c>
      <c r="N102" s="415">
        <f t="shared" si="110"/>
        <v>746588.77434948506</v>
      </c>
      <c r="P102" s="110"/>
    </row>
    <row r="103" spans="2:26" ht="14.5">
      <c r="B103" s="322" t="s">
        <v>283</v>
      </c>
      <c r="C103" s="395"/>
      <c r="D103" s="395"/>
      <c r="E103" s="395"/>
      <c r="F103" s="395"/>
      <c r="G103" s="86"/>
      <c r="H103" s="99"/>
      <c r="I103" s="99"/>
      <c r="J103" s="409"/>
      <c r="K103" s="409"/>
      <c r="L103" s="409"/>
      <c r="M103" s="409"/>
      <c r="N103" s="409"/>
    </row>
    <row r="104" spans="2:26">
      <c r="B104" s="75" t="s">
        <v>400</v>
      </c>
      <c r="C104" s="395">
        <v>0</v>
      </c>
      <c r="D104" s="395">
        <f t="shared" ref="D104:I104" si="111">C105</f>
        <v>1405251</v>
      </c>
      <c r="E104" s="395">
        <f t="shared" si="111"/>
        <v>3229634</v>
      </c>
      <c r="F104" s="395">
        <f>'CF as rep.'!C51</f>
        <v>560059</v>
      </c>
      <c r="G104" s="409">
        <f>F105</f>
        <v>1482309</v>
      </c>
      <c r="H104" s="409">
        <f>G105</f>
        <v>514335</v>
      </c>
      <c r="I104" s="409">
        <f t="shared" si="111"/>
        <v>669373</v>
      </c>
      <c r="J104" s="409">
        <f>I105</f>
        <v>1011613</v>
      </c>
      <c r="K104" s="409">
        <f>J105</f>
        <v>533936</v>
      </c>
      <c r="L104" s="409">
        <f>K105</f>
        <v>2294898.5641428111</v>
      </c>
      <c r="M104" s="409">
        <f>L105</f>
        <v>1703789.9224569802</v>
      </c>
      <c r="N104" s="409">
        <f>M105</f>
        <v>1691682.6115044421</v>
      </c>
      <c r="P104" s="110"/>
    </row>
    <row r="105" spans="2:26">
      <c r="B105" s="75" t="s">
        <v>401</v>
      </c>
      <c r="C105" s="399">
        <f>SUM(C104,C102)</f>
        <v>1405251</v>
      </c>
      <c r="D105" s="395">
        <f t="shared" ref="D105:I105" si="112">SUM(D104,D102)</f>
        <v>3229634</v>
      </c>
      <c r="E105" s="395">
        <f t="shared" si="112"/>
        <v>5065193</v>
      </c>
      <c r="F105" s="395">
        <f t="shared" si="112"/>
        <v>1482309</v>
      </c>
      <c r="G105" s="407">
        <f t="shared" si="112"/>
        <v>514335</v>
      </c>
      <c r="H105" s="409">
        <f t="shared" si="112"/>
        <v>669373</v>
      </c>
      <c r="I105" s="409">
        <f t="shared" si="112"/>
        <v>1011613</v>
      </c>
      <c r="J105" s="409">
        <f>SUM(J104,J102)</f>
        <v>533936</v>
      </c>
      <c r="K105" s="409">
        <f>SUM(K104,K102)</f>
        <v>2294898.5641428111</v>
      </c>
      <c r="L105" s="409">
        <f>SUM(L104,L102)</f>
        <v>1703789.9224569802</v>
      </c>
      <c r="M105" s="409">
        <f>SUM(M104,M102)</f>
        <v>1691682.6115044421</v>
      </c>
      <c r="N105" s="409">
        <f>SUM(N104,N102)</f>
        <v>2438271.3858539271</v>
      </c>
      <c r="P105" s="110"/>
    </row>
    <row r="106" spans="2:26" ht="14.5">
      <c r="B106" s="322" t="s">
        <v>283</v>
      </c>
      <c r="C106" s="395"/>
      <c r="D106" s="395"/>
      <c r="E106" s="395"/>
      <c r="F106" s="395"/>
      <c r="G106" s="86"/>
      <c r="H106" s="99"/>
      <c r="I106" s="99"/>
      <c r="J106" s="409"/>
      <c r="K106" s="409"/>
      <c r="L106" s="409"/>
      <c r="M106" s="409"/>
      <c r="N106" s="409"/>
    </row>
    <row r="107" spans="2:26" s="118" customFormat="1" ht="20">
      <c r="B107" s="76" t="s">
        <v>402</v>
      </c>
      <c r="C107" s="442"/>
      <c r="D107" s="442"/>
      <c r="E107" s="442"/>
      <c r="F107" s="442"/>
      <c r="G107" s="117"/>
      <c r="H107" s="117"/>
      <c r="I107" s="117"/>
      <c r="J107" s="424"/>
      <c r="K107" s="424"/>
      <c r="L107" s="424"/>
      <c r="M107" s="424"/>
      <c r="N107" s="424"/>
    </row>
    <row r="108" spans="2:26" s="121" customFormat="1" ht="14.5">
      <c r="B108" s="365" t="s">
        <v>283</v>
      </c>
      <c r="C108" s="443"/>
      <c r="D108" s="443"/>
      <c r="E108" s="443"/>
      <c r="F108" s="443"/>
      <c r="G108" s="120"/>
      <c r="H108" s="120"/>
      <c r="I108" s="120"/>
      <c r="J108" s="407"/>
      <c r="K108" s="407"/>
      <c r="L108" s="407"/>
      <c r="M108" s="407"/>
      <c r="N108" s="407"/>
    </row>
    <row r="109" spans="2:26" s="121" customFormat="1">
      <c r="B109" s="96" t="s">
        <v>277</v>
      </c>
      <c r="C109" s="444">
        <f t="shared" ref="C109:L109" si="113">IFERROR(C7/C7,"")</f>
        <v>1</v>
      </c>
      <c r="D109" s="444">
        <f t="shared" si="113"/>
        <v>1</v>
      </c>
      <c r="E109" s="444">
        <f t="shared" si="113"/>
        <v>1</v>
      </c>
      <c r="F109" s="444">
        <f t="shared" si="113"/>
        <v>1</v>
      </c>
      <c r="G109" s="427">
        <f t="shared" si="113"/>
        <v>1</v>
      </c>
      <c r="H109" s="427">
        <f t="shared" si="113"/>
        <v>1</v>
      </c>
      <c r="I109" s="427">
        <f t="shared" si="113"/>
        <v>1</v>
      </c>
      <c r="J109" s="427">
        <f t="shared" si="113"/>
        <v>1</v>
      </c>
      <c r="K109" s="427">
        <f t="shared" si="113"/>
        <v>1</v>
      </c>
      <c r="L109" s="427">
        <f t="shared" si="113"/>
        <v>1</v>
      </c>
      <c r="M109" s="427">
        <f t="shared" ref="M109" si="114">IFERROR(M7/M7,"")</f>
        <v>1</v>
      </c>
      <c r="N109" s="427"/>
    </row>
    <row r="110" spans="2:26" s="121" customFormat="1">
      <c r="B110" s="96" t="s">
        <v>288</v>
      </c>
      <c r="C110" s="445">
        <f t="shared" ref="C110:L110" si="115">IFERROR(C14/C7,"")</f>
        <v>0.18124327371706353</v>
      </c>
      <c r="D110" s="445">
        <f t="shared" si="115"/>
        <v>0.1823344511111917</v>
      </c>
      <c r="E110" s="445">
        <f t="shared" si="115"/>
        <v>0.17867637223748989</v>
      </c>
      <c r="F110" s="445">
        <f t="shared" si="115"/>
        <v>0.17731507547216235</v>
      </c>
      <c r="G110" s="428">
        <f t="shared" si="115"/>
        <v>0.17854961518349463</v>
      </c>
      <c r="H110" s="428">
        <f t="shared" si="115"/>
        <v>0.17751701985807938</v>
      </c>
      <c r="I110" s="428">
        <f t="shared" si="115"/>
        <v>0.19254550675278995</v>
      </c>
      <c r="J110" s="428">
        <f t="shared" si="115"/>
        <v>0.18977995770394285</v>
      </c>
      <c r="K110" s="428">
        <f t="shared" si="115"/>
        <v>0.18977995770394285</v>
      </c>
      <c r="L110" s="428">
        <f t="shared" si="115"/>
        <v>0.18977995770394285</v>
      </c>
      <c r="M110" s="428">
        <f t="shared" ref="M110" si="116">IFERROR(M14/M7,"")</f>
        <v>0.18977995770394285</v>
      </c>
      <c r="N110" s="428"/>
    </row>
    <row r="111" spans="2:26" s="121" customFormat="1">
      <c r="B111" s="96" t="s">
        <v>403</v>
      </c>
      <c r="C111" s="445">
        <f t="shared" ref="C111:L111" si="117">IFERROR(C21/C7,"")</f>
        <v>0.8187567262829365</v>
      </c>
      <c r="D111" s="445">
        <f t="shared" si="117"/>
        <v>0.81766554888880827</v>
      </c>
      <c r="E111" s="445">
        <f t="shared" si="117"/>
        <v>0.82132362776251011</v>
      </c>
      <c r="F111" s="445">
        <f t="shared" si="117"/>
        <v>0.82268492452783759</v>
      </c>
      <c r="G111" s="428">
        <f t="shared" si="117"/>
        <v>0.82145038481650534</v>
      </c>
      <c r="H111" s="428">
        <f t="shared" si="117"/>
        <v>0.82248298014192067</v>
      </c>
      <c r="I111" s="428">
        <f t="shared" si="117"/>
        <v>0.80745449324721008</v>
      </c>
      <c r="J111" s="428">
        <f t="shared" si="117"/>
        <v>0.81022004229605715</v>
      </c>
      <c r="K111" s="428">
        <f t="shared" si="117"/>
        <v>0.81022004229605715</v>
      </c>
      <c r="L111" s="428">
        <f t="shared" si="117"/>
        <v>0.81022004229605715</v>
      </c>
      <c r="M111" s="428">
        <f t="shared" ref="M111" si="118">IFERROR(M21/M7,"")</f>
        <v>0.81022004229605704</v>
      </c>
      <c r="N111" s="428"/>
    </row>
    <row r="112" spans="2:26" s="121" customFormat="1">
      <c r="B112" s="96" t="s">
        <v>404</v>
      </c>
      <c r="C112" s="445">
        <f t="shared" ref="C112:L112" si="119">IFERROR(C23/C7,"")</f>
        <v>0.32903569790536208</v>
      </c>
      <c r="D112" s="445">
        <f t="shared" si="119"/>
        <v>0.31086327023987187</v>
      </c>
      <c r="E112" s="445">
        <f t="shared" si="119"/>
        <v>0.32073239232422407</v>
      </c>
      <c r="F112" s="445">
        <f t="shared" si="119"/>
        <v>0.31568842567196931</v>
      </c>
      <c r="G112" s="428">
        <f t="shared" si="119"/>
        <v>0.30308905409254583</v>
      </c>
      <c r="H112" s="428">
        <f t="shared" si="119"/>
        <v>0.31722919959709406</v>
      </c>
      <c r="I112" s="428">
        <f t="shared" si="119"/>
        <v>0.37949839641992639</v>
      </c>
      <c r="J112" s="428">
        <f t="shared" si="119"/>
        <v>0.33859809345274938</v>
      </c>
      <c r="K112" s="428">
        <f t="shared" si="119"/>
        <v>0.3242962654459523</v>
      </c>
      <c r="L112" s="428">
        <f t="shared" si="119"/>
        <v>0.314423598144281</v>
      </c>
      <c r="M112" s="428">
        <f t="shared" ref="M112" si="120">IFERROR(M23/M7,"")</f>
        <v>0.30270911789763766</v>
      </c>
      <c r="N112" s="428"/>
    </row>
    <row r="113" spans="2:14" s="121" customFormat="1">
      <c r="B113" s="96" t="s">
        <v>405</v>
      </c>
      <c r="C113" s="445">
        <f t="shared" ref="C113:L113" si="121">IFERROR(C30/C7,"")</f>
        <v>0.48972102837757436</v>
      </c>
      <c r="D113" s="445">
        <f t="shared" si="121"/>
        <v>0.50680227864893646</v>
      </c>
      <c r="E113" s="445">
        <f t="shared" si="121"/>
        <v>0.50059123543828599</v>
      </c>
      <c r="F113" s="445">
        <f t="shared" si="121"/>
        <v>0.50699649885586839</v>
      </c>
      <c r="G113" s="428">
        <f t="shared" si="121"/>
        <v>0.51836133072395951</v>
      </c>
      <c r="H113" s="428">
        <f t="shared" si="121"/>
        <v>0.50525378054482661</v>
      </c>
      <c r="I113" s="428">
        <f t="shared" si="121"/>
        <v>0.42795609682728369</v>
      </c>
      <c r="J113" s="428">
        <f t="shared" si="121"/>
        <v>0.47162194884330777</v>
      </c>
      <c r="K113" s="428">
        <f t="shared" si="121"/>
        <v>0.4859237768501049</v>
      </c>
      <c r="L113" s="428">
        <f t="shared" si="121"/>
        <v>0.49579644415177615</v>
      </c>
      <c r="M113" s="428">
        <f t="shared" ref="M113" si="122">IFERROR(M30/M7,"")</f>
        <v>0.50751092439841949</v>
      </c>
      <c r="N113" s="428"/>
    </row>
    <row r="114" spans="2:14" s="121" customFormat="1">
      <c r="B114" s="75" t="s">
        <v>406</v>
      </c>
      <c r="C114" s="398">
        <f t="shared" ref="C114:L114" si="123">IFERROR(C35/C34,"")</f>
        <v>1.6721133643444821E-2</v>
      </c>
      <c r="D114" s="398">
        <f t="shared" si="123"/>
        <v>9.3399304020059786E-3</v>
      </c>
      <c r="E114" s="398">
        <f t="shared" si="123"/>
        <v>1.3711984564661354E-2</v>
      </c>
      <c r="F114" s="398">
        <f t="shared" si="123"/>
        <v>1.029121179977833E-2</v>
      </c>
      <c r="G114" s="429">
        <f t="shared" si="123"/>
        <v>1.2904823342978084E-2</v>
      </c>
      <c r="H114" s="429">
        <f t="shared" si="123"/>
        <v>1.2250727812421277E-2</v>
      </c>
      <c r="I114" s="429">
        <f t="shared" si="123"/>
        <v>-3.6434724327348358E-3</v>
      </c>
      <c r="J114" s="429">
        <f t="shared" si="123"/>
        <v>-8.4299283065474157E-3</v>
      </c>
      <c r="K114" s="429">
        <f t="shared" si="123"/>
        <v>0.01</v>
      </c>
      <c r="L114" s="429">
        <f t="shared" si="123"/>
        <v>0.01</v>
      </c>
      <c r="M114" s="429">
        <f t="shared" ref="M114" si="124">IFERROR(M35/M34,"")</f>
        <v>0.01</v>
      </c>
      <c r="N114" s="429"/>
    </row>
    <row r="115" spans="2:14" s="121" customFormat="1">
      <c r="B115" s="96" t="s">
        <v>407</v>
      </c>
      <c r="C115" s="446">
        <f t="shared" ref="C115:L115" si="125">C39/C7</f>
        <v>0.28850410752362332</v>
      </c>
      <c r="D115" s="446">
        <f t="shared" si="125"/>
        <v>0.34643891317735337</v>
      </c>
      <c r="E115" s="446">
        <f t="shared" si="125"/>
        <v>0.33771511743111465</v>
      </c>
      <c r="F115" s="446">
        <f t="shared" si="125"/>
        <v>0.35181957456539642</v>
      </c>
      <c r="G115" s="425">
        <f t="shared" si="125"/>
        <v>0.43163803157606839</v>
      </c>
      <c r="H115" s="425">
        <f t="shared" si="125"/>
        <v>0.36458350889953395</v>
      </c>
      <c r="I115" s="437">
        <f t="shared" si="125"/>
        <v>0.24074363055216677</v>
      </c>
      <c r="J115" s="425">
        <f t="shared" si="125"/>
        <v>0.43900461793519335</v>
      </c>
      <c r="K115" s="425">
        <f t="shared" si="125"/>
        <v>0.46177701404867177</v>
      </c>
      <c r="L115" s="425">
        <f t="shared" si="125"/>
        <v>0.47610594420506253</v>
      </c>
      <c r="M115" s="425">
        <f t="shared" ref="M115" si="126">M39/M7</f>
        <v>0.49854947768787716</v>
      </c>
      <c r="N115" s="425"/>
    </row>
    <row r="116" spans="2:14" s="118" customFormat="1" ht="20">
      <c r="B116" s="76" t="s">
        <v>408</v>
      </c>
      <c r="C116" s="447"/>
      <c r="D116" s="447"/>
      <c r="E116" s="447"/>
      <c r="F116" s="447"/>
      <c r="G116" s="424"/>
      <c r="H116" s="424"/>
      <c r="I116" s="424"/>
      <c r="J116" s="424"/>
      <c r="K116" s="424"/>
      <c r="L116" s="424"/>
      <c r="M116" s="424"/>
      <c r="N116" s="424"/>
    </row>
    <row r="117" spans="2:14" s="121" customFormat="1">
      <c r="B117" s="96" t="s">
        <v>277</v>
      </c>
      <c r="C117" s="445"/>
      <c r="D117" s="445"/>
      <c r="E117" s="445"/>
      <c r="F117" s="445"/>
      <c r="G117" s="428">
        <f t="shared" ref="G117:M117" si="127">IFERROR(G7/F7-1,"")</f>
        <v>2.1339755715954256E-2</v>
      </c>
      <c r="H117" s="428">
        <f t="shared" si="127"/>
        <v>1.946774017552344E-2</v>
      </c>
      <c r="I117" s="437">
        <f t="shared" si="127"/>
        <v>-0.19941760383542573</v>
      </c>
      <c r="J117" s="428">
        <f t="shared" si="127"/>
        <v>0.11053405716719023</v>
      </c>
      <c r="K117" s="428">
        <f t="shared" si="127"/>
        <v>3.5563857598476911E-2</v>
      </c>
      <c r="L117" s="428">
        <f t="shared" si="127"/>
        <v>5.6822519801378313E-2</v>
      </c>
      <c r="M117" s="428">
        <f t="shared" si="127"/>
        <v>5.6843971477927191E-2</v>
      </c>
      <c r="N117" s="428"/>
    </row>
    <row r="118" spans="2:14" s="121" customFormat="1">
      <c r="B118" s="96" t="s">
        <v>287</v>
      </c>
      <c r="C118" s="445"/>
      <c r="D118" s="445"/>
      <c r="E118" s="445"/>
      <c r="F118" s="445"/>
      <c r="G118" s="428">
        <f t="shared" ref="G118:M118" si="128">IFERROR(G14/F14-1,"")</f>
        <v>2.8450738715206869E-2</v>
      </c>
      <c r="H118" s="428">
        <f t="shared" si="128"/>
        <v>1.3571913282617309E-2</v>
      </c>
      <c r="I118" s="428">
        <f t="shared" si="128"/>
        <v>-0.13164076723398754</v>
      </c>
      <c r="J118" s="428">
        <f t="shared" si="128"/>
        <v>9.458335305933363E-2</v>
      </c>
      <c r="K118" s="428">
        <f t="shared" si="128"/>
        <v>3.5563857598476911E-2</v>
      </c>
      <c r="L118" s="428">
        <f t="shared" si="128"/>
        <v>5.6822519801378313E-2</v>
      </c>
      <c r="M118" s="428">
        <f t="shared" si="128"/>
        <v>5.6843971477927191E-2</v>
      </c>
      <c r="N118" s="428"/>
    </row>
    <row r="119" spans="2:14" s="121" customFormat="1">
      <c r="B119" s="96" t="s">
        <v>296</v>
      </c>
      <c r="C119" s="446"/>
      <c r="D119" s="446"/>
      <c r="E119" s="446"/>
      <c r="F119" s="446"/>
      <c r="G119" s="428">
        <f t="shared" ref="G119:M119" si="129">IFERROR(G21/F21-1,"")</f>
        <v>1.9807110046146548E-2</v>
      </c>
      <c r="H119" s="428">
        <f t="shared" si="129"/>
        <v>2.0749251076698449E-2</v>
      </c>
      <c r="I119" s="437">
        <f t="shared" si="129"/>
        <v>-0.21404592118591881</v>
      </c>
      <c r="J119" s="428">
        <f t="shared" si="129"/>
        <v>0.11433766025714265</v>
      </c>
      <c r="K119" s="428">
        <f t="shared" si="129"/>
        <v>3.5563857598477133E-2</v>
      </c>
      <c r="L119" s="428">
        <f t="shared" si="129"/>
        <v>5.6822519801378313E-2</v>
      </c>
      <c r="M119" s="428">
        <f t="shared" si="129"/>
        <v>5.6843971477927191E-2</v>
      </c>
      <c r="N119" s="428"/>
    </row>
    <row r="120" spans="2:14" s="121" customFormat="1">
      <c r="B120" s="96" t="s">
        <v>298</v>
      </c>
      <c r="C120" s="446"/>
      <c r="D120" s="446"/>
      <c r="E120" s="446"/>
      <c r="F120" s="446"/>
      <c r="G120" s="428">
        <f t="shared" ref="G120:M120" si="130">IFERROR(G23/F23-1,"")</f>
        <v>-1.9422711465766795E-2</v>
      </c>
      <c r="H120" s="428">
        <f t="shared" si="130"/>
        <v>6.7029412194444804E-2</v>
      </c>
      <c r="I120" s="428">
        <f t="shared" si="130"/>
        <v>-4.227058564484909E-2</v>
      </c>
      <c r="J120" s="428">
        <f t="shared" si="130"/>
        <v>-9.1533507955208204E-3</v>
      </c>
      <c r="K120" s="428">
        <f t="shared" si="130"/>
        <v>-8.1766609331060947E-3</v>
      </c>
      <c r="L120" s="428">
        <f t="shared" si="130"/>
        <v>2.4649293506079584E-2</v>
      </c>
      <c r="M120" s="428">
        <f t="shared" si="130"/>
        <v>1.7469134790315533E-2</v>
      </c>
      <c r="N120" s="428"/>
    </row>
    <row r="121" spans="2:14" s="121" customFormat="1">
      <c r="B121" s="96" t="s">
        <v>307</v>
      </c>
      <c r="C121" s="446"/>
      <c r="D121" s="446"/>
      <c r="E121" s="446"/>
      <c r="F121" s="446"/>
      <c r="G121" s="428">
        <f t="shared" ref="G121:M121" si="131">IFERROR(G30/F30-1,"")</f>
        <v>4.4234104355645565E-2</v>
      </c>
      <c r="H121" s="428">
        <f t="shared" si="131"/>
        <v>-6.3110434032885854E-3</v>
      </c>
      <c r="I121" s="428">
        <f t="shared" si="131"/>
        <v>-0.32189697406761264</v>
      </c>
      <c r="J121" s="428">
        <f t="shared" si="131"/>
        <v>0.22384571730831948</v>
      </c>
      <c r="K121" s="428">
        <f t="shared" si="131"/>
        <v>6.6967095335296989E-2</v>
      </c>
      <c r="L121" s="428">
        <f t="shared" si="131"/>
        <v>7.8294317708751393E-2</v>
      </c>
      <c r="M121" s="428">
        <f t="shared" si="131"/>
        <v>8.1814658488083003E-2</v>
      </c>
      <c r="N121" s="428"/>
    </row>
    <row r="122" spans="2:14" s="121" customFormat="1">
      <c r="B122" s="61" t="s">
        <v>309</v>
      </c>
      <c r="C122" s="398"/>
      <c r="D122" s="398"/>
      <c r="E122" s="398"/>
      <c r="F122" s="398"/>
      <c r="G122" s="430">
        <f t="shared" ref="G122:M122" si="132">IFERROR(G32/F32-1,"")</f>
        <v>-0.87444532235898553</v>
      </c>
      <c r="H122" s="430">
        <f t="shared" si="132"/>
        <v>5.7790420233230932</v>
      </c>
      <c r="I122" s="430">
        <f t="shared" si="132"/>
        <v>0.5379210671617658</v>
      </c>
      <c r="J122" s="430">
        <f t="shared" si="132"/>
        <v>-1.1917319151736034</v>
      </c>
      <c r="K122" s="430">
        <f t="shared" si="132"/>
        <v>0.64125212616752703</v>
      </c>
      <c r="L122" s="430">
        <f t="shared" si="132"/>
        <v>0.13636363636363646</v>
      </c>
      <c r="M122" s="430">
        <f t="shared" si="132"/>
        <v>0.19999999999999996</v>
      </c>
      <c r="N122" s="430"/>
    </row>
    <row r="123" spans="2:14" s="121" customFormat="1">
      <c r="B123" s="75" t="s">
        <v>311</v>
      </c>
      <c r="C123" s="448"/>
      <c r="D123" s="448"/>
      <c r="E123" s="448"/>
      <c r="F123" s="448"/>
      <c r="G123" s="430">
        <f t="shared" ref="G123:M124" si="133">IFERROR(G34/F34-1,"")</f>
        <v>0.26055154511459522</v>
      </c>
      <c r="H123" s="430">
        <f t="shared" si="133"/>
        <v>-0.14199537569585774</v>
      </c>
      <c r="I123" s="430">
        <f t="shared" si="133"/>
        <v>-0.48122239876864981</v>
      </c>
      <c r="J123" s="430">
        <f t="shared" si="133"/>
        <v>1.0014614748166673</v>
      </c>
      <c r="K123" s="430">
        <f t="shared" si="133"/>
        <v>9.7187900598133314E-2</v>
      </c>
      <c r="L123" s="430">
        <f t="shared" si="133"/>
        <v>8.2865405459555674E-2</v>
      </c>
      <c r="M123" s="430">
        <f t="shared" si="133"/>
        <v>9.1577568606727056E-2</v>
      </c>
      <c r="N123" s="430"/>
    </row>
    <row r="124" spans="2:14" s="75" customFormat="1">
      <c r="B124" s="98" t="s">
        <v>313</v>
      </c>
      <c r="C124" s="395"/>
      <c r="D124" s="395"/>
      <c r="E124" s="395"/>
      <c r="F124" s="395"/>
      <c r="G124" s="430">
        <f t="shared" si="133"/>
        <v>0.58068800068543025</v>
      </c>
      <c r="H124" s="430">
        <f t="shared" si="133"/>
        <v>-0.18548430809257954</v>
      </c>
      <c r="I124" s="430">
        <f t="shared" si="133"/>
        <v>-1.1542889465628536</v>
      </c>
      <c r="J124" s="430">
        <f t="shared" si="133"/>
        <v>3.6307957731291784</v>
      </c>
      <c r="K124" s="430">
        <f t="shared" si="133"/>
        <v>-2.3015388277335189</v>
      </c>
      <c r="L124" s="430">
        <f t="shared" si="133"/>
        <v>8.2865405459555674E-2</v>
      </c>
      <c r="M124" s="430">
        <f t="shared" si="133"/>
        <v>9.1577568606727278E-2</v>
      </c>
      <c r="N124" s="430"/>
    </row>
    <row r="125" spans="2:14" s="75" customFormat="1">
      <c r="B125" s="75" t="s">
        <v>409</v>
      </c>
      <c r="C125" s="398"/>
      <c r="D125" s="398"/>
      <c r="E125" s="398"/>
      <c r="F125" s="398"/>
      <c r="G125" s="430">
        <f t="shared" ref="G125:M125" si="134">IFERROR(G37/F37-1,"")</f>
        <v>0.28421662592664121</v>
      </c>
      <c r="H125" s="430">
        <f t="shared" si="134"/>
        <v>-0.15735876065162258</v>
      </c>
      <c r="I125" s="430">
        <f t="shared" si="134"/>
        <v>-0.48268454888733647</v>
      </c>
      <c r="J125" s="430">
        <f t="shared" si="134"/>
        <v>0.91801757318691002</v>
      </c>
      <c r="K125" s="430">
        <f t="shared" si="134"/>
        <v>-7.4841895333004338E-3</v>
      </c>
      <c r="L125" s="430">
        <f t="shared" si="134"/>
        <v>3.125E-2</v>
      </c>
      <c r="M125" s="430">
        <f t="shared" si="134"/>
        <v>-3.0303030303030276E-2</v>
      </c>
      <c r="N125" s="430"/>
    </row>
    <row r="126" spans="2:14" s="75" customFormat="1">
      <c r="B126" s="75" t="s">
        <v>364</v>
      </c>
      <c r="C126" s="398"/>
      <c r="D126" s="398"/>
      <c r="E126" s="398"/>
      <c r="F126" s="398"/>
      <c r="G126" s="425">
        <f t="shared" ref="G126:M126" si="135">IFERROR(G39/F39-1,"")</f>
        <v>0.2530544449443981</v>
      </c>
      <c r="H126" s="425">
        <f t="shared" si="135"/>
        <v>-0.138905520984963</v>
      </c>
      <c r="I126" s="428">
        <f t="shared" si="135"/>
        <v>-0.47135537427195173</v>
      </c>
      <c r="J126" s="425">
        <f t="shared" si="135"/>
        <v>1.0250985596275606</v>
      </c>
      <c r="K126" s="425">
        <f t="shared" si="135"/>
        <v>8.9281448262900298E-2</v>
      </c>
      <c r="L126" s="425">
        <f t="shared" si="135"/>
        <v>8.9615698355603124E-2</v>
      </c>
      <c r="M126" s="425">
        <f t="shared" si="135"/>
        <v>0.10666337270296133</v>
      </c>
      <c r="N126" s="425"/>
    </row>
    <row r="127" spans="2:14">
      <c r="B127" s="61" t="s">
        <v>78</v>
      </c>
      <c r="G127" s="438"/>
      <c r="H127" s="431">
        <f t="shared" ref="H127:M127" si="136">H128/G128-1</f>
        <v>5.1835122706691994E-2</v>
      </c>
      <c r="I127" s="431">
        <f t="shared" si="136"/>
        <v>-0.23708596118850112</v>
      </c>
      <c r="J127" s="431">
        <f t="shared" si="136"/>
        <v>4.4354833580867892E-2</v>
      </c>
      <c r="K127" s="431">
        <f t="shared" si="136"/>
        <v>0.28707250754680524</v>
      </c>
      <c r="L127" s="431">
        <f t="shared" si="136"/>
        <v>6.7570845993050854E-2</v>
      </c>
      <c r="M127" s="431">
        <f t="shared" si="136"/>
        <v>8.8451533021183693E-2</v>
      </c>
    </row>
    <row r="128" spans="2:14">
      <c r="B128" s="61" t="s">
        <v>78</v>
      </c>
      <c r="G128" s="407">
        <f t="shared" ref="G128:L128" si="137">G39+G25+G86+G83+G37</f>
        <v>2939204</v>
      </c>
      <c r="H128" s="407">
        <f t="shared" si="137"/>
        <v>3091558</v>
      </c>
      <c r="I128" s="407">
        <f t="shared" si="137"/>
        <v>2358593</v>
      </c>
      <c r="J128" s="407">
        <f t="shared" si="137"/>
        <v>2463208</v>
      </c>
      <c r="K128" s="407">
        <f t="shared" si="137"/>
        <v>3170327.297169351</v>
      </c>
      <c r="L128" s="407">
        <f t="shared" si="137"/>
        <v>3384548.9947139462</v>
      </c>
      <c r="M128" s="407">
        <f t="shared" ref="M128" si="138">M39+M25+M86+M83+M37</f>
        <v>3683917.541881701</v>
      </c>
    </row>
    <row r="129" spans="2:14" ht="21">
      <c r="B129" s="366" t="s">
        <v>410</v>
      </c>
      <c r="C129" s="424"/>
      <c r="D129" s="424"/>
      <c r="E129" s="424"/>
      <c r="F129" s="424"/>
      <c r="G129" s="424"/>
      <c r="H129" s="424"/>
      <c r="I129" s="424"/>
      <c r="J129" s="424"/>
      <c r="K129" s="424"/>
      <c r="L129" s="424"/>
      <c r="M129" s="424"/>
      <c r="N129" s="424"/>
    </row>
    <row r="130" spans="2:14">
      <c r="B130" s="61" t="s">
        <v>411</v>
      </c>
      <c r="G130" s="432">
        <f>G7</f>
        <v>5645288</v>
      </c>
      <c r="H130" s="432">
        <f t="shared" ref="H130:K130" si="139">H7</f>
        <v>5755189</v>
      </c>
      <c r="I130" s="432">
        <f t="shared" si="139"/>
        <v>4607503</v>
      </c>
      <c r="J130" s="432">
        <f t="shared" si="139"/>
        <v>5116789</v>
      </c>
      <c r="K130" s="432">
        <f t="shared" si="139"/>
        <v>5298761.7553574536</v>
      </c>
      <c r="L130" s="432">
        <f t="shared" ref="L130:M130" si="140">L7</f>
        <v>5599850.7501240391</v>
      </c>
      <c r="M130" s="432">
        <f t="shared" si="140"/>
        <v>5918168.5064447392</v>
      </c>
    </row>
    <row r="131" spans="2:14">
      <c r="B131" s="61" t="s">
        <v>412</v>
      </c>
      <c r="G131" s="432">
        <f>G128</f>
        <v>2939204</v>
      </c>
      <c r="H131" s="432">
        <f t="shared" ref="H131:K131" si="141">H128</f>
        <v>3091558</v>
      </c>
      <c r="I131" s="432">
        <f t="shared" si="141"/>
        <v>2358593</v>
      </c>
      <c r="J131" s="432">
        <f t="shared" si="141"/>
        <v>2463208</v>
      </c>
      <c r="K131" s="432">
        <f t="shared" si="141"/>
        <v>3170327.297169351</v>
      </c>
      <c r="L131" s="432">
        <f t="shared" ref="L131:M131" si="142">L128</f>
        <v>3384548.9947139462</v>
      </c>
      <c r="M131" s="432">
        <f t="shared" si="142"/>
        <v>3683917.541881701</v>
      </c>
    </row>
    <row r="132" spans="2:14">
      <c r="B132" s="61" t="s">
        <v>413</v>
      </c>
      <c r="G132" s="433">
        <f>1000*G128/Everything!AA135</f>
        <v>9.5114493657038182</v>
      </c>
      <c r="H132" s="433">
        <f>1000*H128/Everything!AB135</f>
        <v>10.07452171115645</v>
      </c>
      <c r="I132" s="439">
        <f>1000*I128/Everything!AC135</f>
        <v>7.1798564180313917</v>
      </c>
      <c r="J132" s="433">
        <f>1000*J128/Everything!AC135</f>
        <v>7.4983177545877</v>
      </c>
      <c r="K132" s="433">
        <f>1000*K128/Everything!AC135</f>
        <v>9.6508786347799216</v>
      </c>
      <c r="L132" s="433">
        <f>1000*L128/Everything!AC135</f>
        <v>10.302996668708261</v>
      </c>
      <c r="M132" s="433">
        <f>1000*M128/Everything!AD135</f>
        <v>11.210278576277059</v>
      </c>
    </row>
    <row r="133" spans="2:14">
      <c r="B133" s="61" t="s">
        <v>414</v>
      </c>
      <c r="G133" s="434">
        <f t="shared" ref="G133:L133" si="143">G39/(G70-G68)</f>
        <v>0.74885407904833934</v>
      </c>
      <c r="H133" s="434">
        <f t="shared" si="143"/>
        <v>0.84471239278286681</v>
      </c>
      <c r="I133" s="434">
        <f t="shared" si="143"/>
        <v>0.37006540042790692</v>
      </c>
      <c r="J133" s="434">
        <f t="shared" si="143"/>
        <v>0.67665796404422218</v>
      </c>
      <c r="K133" s="434">
        <f t="shared" si="143"/>
        <v>0.90108039441441412</v>
      </c>
      <c r="L133" s="434">
        <f t="shared" si="143"/>
        <v>1.2298551944769285</v>
      </c>
      <c r="M133" s="434">
        <f t="shared" ref="M133" si="144">M39/(M70-M68)</f>
        <v>1.6671957756521827</v>
      </c>
    </row>
    <row r="134" spans="2:14">
      <c r="B134" s="61" t="s">
        <v>415</v>
      </c>
      <c r="G134" s="433">
        <f>Everything!Z136/'Model An 21A'!G132</f>
        <v>18.056133549872687</v>
      </c>
      <c r="H134" s="433">
        <f>Everything!AA136/'Model An 21A'!H132</f>
        <v>16.674737006519042</v>
      </c>
      <c r="I134" s="439">
        <f>Everything!AB136/'Model An 21A'!I132</f>
        <v>20.746932992406915</v>
      </c>
      <c r="J134" s="433">
        <f>Valuation!$F10/'Model An 21A'!J132</f>
        <v>15.870226348728975</v>
      </c>
      <c r="K134" s="433">
        <f>Valuation!$F10/'Model An 21A'!K132</f>
        <v>12.330483524178488</v>
      </c>
      <c r="L134" s="433">
        <f>Valuation!$F10/'Model An 21A'!L132</f>
        <v>11.550037705187343</v>
      </c>
      <c r="M134" s="433">
        <f>Valuation!$F10/'Model An 21A'!M132</f>
        <v>10.615258058958958</v>
      </c>
    </row>
    <row r="135" spans="2:14">
      <c r="G135" s="367"/>
      <c r="H135" s="368"/>
      <c r="I135" s="368"/>
      <c r="J135" s="435"/>
      <c r="K135" s="435"/>
      <c r="L135" s="435"/>
    </row>
    <row r="136" spans="2:14">
      <c r="G136" s="367"/>
      <c r="H136" s="368"/>
      <c r="I136" s="368"/>
      <c r="J136" s="435"/>
      <c r="K136" s="435"/>
      <c r="L136" s="435"/>
    </row>
    <row r="137" spans="2:14">
      <c r="G137" s="367"/>
      <c r="H137" s="368"/>
      <c r="I137" s="368"/>
      <c r="J137" s="435"/>
      <c r="K137" s="435"/>
      <c r="L137" s="435"/>
    </row>
  </sheetData>
  <phoneticPr fontId="45" type="noConversion"/>
  <conditionalFormatting sqref="C72:N72">
    <cfRule type="cellIs" dxfId="3" priority="1" operator="notEqual">
      <formula>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F69B-7FC2-4A9E-9BFD-85CC411E0FB7}">
  <dimension ref="A1:H45"/>
  <sheetViews>
    <sheetView workbookViewId="0">
      <pane ySplit="1" topLeftCell="A2" activePane="bottomLeft" state="frozen"/>
      <selection pane="bottomLeft"/>
    </sheetView>
  </sheetViews>
  <sheetFormatPr defaultColWidth="8.83203125" defaultRowHeight="14"/>
  <cols>
    <col min="1" max="1" width="17" customWidth="1"/>
    <col min="2" max="4" width="12.58203125" bestFit="1" customWidth="1"/>
    <col min="5" max="5" width="12.5" customWidth="1"/>
  </cols>
  <sheetData>
    <row r="1" spans="1:8" ht="14.5">
      <c r="B1" s="516">
        <v>2021</v>
      </c>
      <c r="C1" s="212" t="s">
        <v>242</v>
      </c>
      <c r="D1" s="212" t="s">
        <v>243</v>
      </c>
      <c r="E1" s="212" t="s">
        <v>244</v>
      </c>
    </row>
    <row r="2" spans="1:8" ht="14.5">
      <c r="A2" s="202" t="s">
        <v>277</v>
      </c>
    </row>
    <row r="3" spans="1:8">
      <c r="A3">
        <v>202103</v>
      </c>
      <c r="B3" s="293">
        <v>5371517.3499999996</v>
      </c>
      <c r="C3" s="293">
        <v>5640093.2174999993</v>
      </c>
      <c r="D3" s="293">
        <v>5809296.0140249999</v>
      </c>
      <c r="E3" s="293"/>
    </row>
    <row r="4" spans="1:8">
      <c r="A4">
        <v>202108</v>
      </c>
      <c r="B4" s="293">
        <v>4875540.2005362697</v>
      </c>
      <c r="C4" s="293">
        <v>5210282.6404566737</v>
      </c>
      <c r="D4" s="293">
        <v>5559750.4728677794</v>
      </c>
      <c r="E4" s="293"/>
    </row>
    <row r="5" spans="1:8">
      <c r="A5">
        <v>202203</v>
      </c>
      <c r="B5" s="293">
        <v>5116789</v>
      </c>
      <c r="C5" s="293">
        <v>5243841.9931507669</v>
      </c>
      <c r="D5" s="293">
        <v>5564127.3630077904</v>
      </c>
      <c r="E5" s="293">
        <v>5898898.7404768728</v>
      </c>
    </row>
    <row r="6" spans="1:8">
      <c r="A6">
        <v>202208</v>
      </c>
      <c r="B6" s="293"/>
      <c r="C6" s="293">
        <v>5223843.1147155007</v>
      </c>
      <c r="D6" s="293">
        <v>5522929.6734311394</v>
      </c>
      <c r="E6" s="293">
        <v>5835248.3100809464</v>
      </c>
    </row>
    <row r="7" spans="1:8">
      <c r="A7">
        <v>202212</v>
      </c>
      <c r="B7" s="293"/>
      <c r="C7" s="293">
        <v>5220787.9827587884</v>
      </c>
      <c r="D7" s="293">
        <v>5516513.8963220445</v>
      </c>
      <c r="E7" s="293">
        <v>5835248.3100809455</v>
      </c>
    </row>
    <row r="8" spans="1:8" ht="14.5">
      <c r="A8" s="202" t="s">
        <v>78</v>
      </c>
      <c r="B8" s="293"/>
      <c r="C8" s="293"/>
      <c r="D8" s="293"/>
      <c r="E8" s="293"/>
    </row>
    <row r="9" spans="1:8">
      <c r="A9">
        <v>202103</v>
      </c>
      <c r="B9" s="293">
        <v>2960663.1005735677</v>
      </c>
      <c r="C9" s="293">
        <v>2997259.2032769704</v>
      </c>
      <c r="D9" s="293">
        <v>3096188.4474305534</v>
      </c>
      <c r="E9" s="293"/>
    </row>
    <row r="10" spans="1:8">
      <c r="A10">
        <v>202108</v>
      </c>
      <c r="B10" s="293">
        <v>3266582.7425919808</v>
      </c>
      <c r="C10" s="293">
        <v>3333829.7308174595</v>
      </c>
      <c r="D10" s="293">
        <v>3554150.3228806173</v>
      </c>
      <c r="E10" s="293"/>
    </row>
    <row r="11" spans="1:8">
      <c r="A11">
        <v>202203</v>
      </c>
      <c r="B11" s="293">
        <v>2463208</v>
      </c>
      <c r="C11" s="293">
        <v>3131031.96621637</v>
      </c>
      <c r="D11" s="293">
        <v>3359058.3454216244</v>
      </c>
      <c r="E11" s="293">
        <v>3670158.5863536429</v>
      </c>
      <c r="H11" s="508"/>
    </row>
    <row r="12" spans="1:8">
      <c r="A12">
        <v>202208</v>
      </c>
      <c r="B12" s="293">
        <v>2463208</v>
      </c>
      <c r="C12" s="293">
        <v>3116722.6809021928</v>
      </c>
      <c r="D12" s="293">
        <v>3329661.4729124475</v>
      </c>
      <c r="E12" s="293">
        <v>3624711.0473114094</v>
      </c>
      <c r="H12" s="508"/>
    </row>
    <row r="13" spans="1:8">
      <c r="A13">
        <v>202212</v>
      </c>
      <c r="B13" s="293"/>
      <c r="C13" s="293">
        <v>3114536.7205753392</v>
      </c>
      <c r="D13" s="293">
        <v>3325083.4544929336</v>
      </c>
      <c r="E13" s="293">
        <v>3624711.0473114084</v>
      </c>
      <c r="H13" s="508"/>
    </row>
    <row r="14" spans="1:8" ht="14.5">
      <c r="A14" s="202" t="s">
        <v>416</v>
      </c>
      <c r="B14" s="293"/>
      <c r="C14" s="293"/>
      <c r="D14" s="293"/>
    </row>
    <row r="15" spans="1:8">
      <c r="A15">
        <v>202103</v>
      </c>
      <c r="B15" s="30">
        <v>9.0126342121264038</v>
      </c>
      <c r="C15" s="30">
        <v>9.1240373931203091</v>
      </c>
      <c r="D15" s="30">
        <v>9.425190567308098</v>
      </c>
    </row>
    <row r="16" spans="1:8">
      <c r="A16">
        <v>202108</v>
      </c>
      <c r="B16" s="30">
        <v>9.9438924263023001</v>
      </c>
      <c r="C16" s="30">
        <v>10.148600792690219</v>
      </c>
      <c r="D16" s="30">
        <v>10.819284635535992</v>
      </c>
    </row>
    <row r="17" spans="1:8">
      <c r="A17">
        <v>202203</v>
      </c>
      <c r="B17" s="513">
        <v>7.4983177545877</v>
      </c>
      <c r="C17" s="513">
        <v>9.5312586604386809</v>
      </c>
      <c r="D17" s="513">
        <v>10.22539989727662</v>
      </c>
      <c r="E17" s="17">
        <v>11.16840963577158</v>
      </c>
    </row>
    <row r="18" spans="1:8">
      <c r="A18">
        <v>202208</v>
      </c>
      <c r="B18" s="513">
        <v>7.4983177545877</v>
      </c>
      <c r="C18" s="513">
        <v>9.4876993799691665</v>
      </c>
      <c r="D18" s="513">
        <v>10.135912086639065</v>
      </c>
      <c r="E18" s="513">
        <v>11.03011132494418</v>
      </c>
      <c r="H18" s="508"/>
    </row>
    <row r="19" spans="1:8">
      <c r="A19">
        <v>202212</v>
      </c>
      <c r="B19" s="513"/>
      <c r="C19" s="513">
        <v>9.4810450393167844</v>
      </c>
      <c r="D19" s="513">
        <v>10.121976017579582</v>
      </c>
      <c r="E19" s="513">
        <v>11.030111324944176</v>
      </c>
      <c r="H19" s="508"/>
    </row>
    <row r="20" spans="1:8" ht="14.5">
      <c r="A20" s="202" t="s">
        <v>417</v>
      </c>
      <c r="B20" s="30"/>
      <c r="C20" s="30"/>
      <c r="D20" s="30"/>
    </row>
    <row r="21" spans="1:8">
      <c r="A21">
        <v>202103</v>
      </c>
      <c r="B21" s="30">
        <v>6.0882538174508207</v>
      </c>
      <c r="C21" s="30">
        <v>7.0014918900684435</v>
      </c>
      <c r="D21" s="30">
        <v>7.6103172718135257</v>
      </c>
    </row>
    <row r="22" spans="1:8">
      <c r="A22">
        <v>202108</v>
      </c>
      <c r="B22" s="30">
        <v>6.0882538174508207</v>
      </c>
      <c r="C22" s="30">
        <v>7.0014918900684435</v>
      </c>
      <c r="D22" s="30">
        <v>7.6103172718135257</v>
      </c>
    </row>
    <row r="23" spans="1:8">
      <c r="A23">
        <v>202203</v>
      </c>
      <c r="B23" s="513">
        <v>5.85</v>
      </c>
      <c r="C23" s="513">
        <v>7.5170214791402907</v>
      </c>
      <c r="D23" s="513">
        <v>7.8928725530973072</v>
      </c>
      <c r="E23" s="17">
        <v>8.2875161807521742</v>
      </c>
    </row>
    <row r="24" spans="1:8">
      <c r="A24">
        <v>202208</v>
      </c>
      <c r="B24" s="293"/>
      <c r="C24" s="513">
        <v>7.3738401176328567</v>
      </c>
      <c r="D24" s="513">
        <v>7.5950553211618423</v>
      </c>
      <c r="E24" s="513">
        <v>7.8229069807966978</v>
      </c>
      <c r="H24" s="508"/>
    </row>
    <row r="25" spans="1:8">
      <c r="A25">
        <v>202212</v>
      </c>
      <c r="B25" s="293"/>
      <c r="C25" s="513">
        <v>7.3738401176328567</v>
      </c>
      <c r="D25" s="513">
        <v>7.5950553211618423</v>
      </c>
      <c r="E25" s="513">
        <v>7.8229069807966978</v>
      </c>
      <c r="H25" s="508"/>
    </row>
    <row r="26" spans="1:8" ht="14.5">
      <c r="A26" s="202" t="s">
        <v>418</v>
      </c>
      <c r="B26" s="30"/>
      <c r="C26" s="30"/>
      <c r="D26" s="30"/>
    </row>
    <row r="27" spans="1:8">
      <c r="A27">
        <v>202103</v>
      </c>
      <c r="B27" s="30">
        <v>141.99</v>
      </c>
      <c r="C27" s="30"/>
      <c r="D27" s="30"/>
    </row>
    <row r="28" spans="1:8">
      <c r="A28">
        <v>202108</v>
      </c>
      <c r="B28" s="30">
        <v>156.74</v>
      </c>
      <c r="C28" s="30">
        <v>165.21971152159702</v>
      </c>
      <c r="D28" s="30">
        <v>174.16360523863281</v>
      </c>
    </row>
    <row r="29" spans="1:8">
      <c r="A29">
        <v>202203</v>
      </c>
      <c r="B29" s="513">
        <v>149.63377665669702</v>
      </c>
      <c r="C29" s="513">
        <v>158.21153290354218</v>
      </c>
      <c r="D29" s="513">
        <v>167.28100902723773</v>
      </c>
      <c r="E29" s="17">
        <v>176.87039286972416</v>
      </c>
    </row>
    <row r="30" spans="1:8">
      <c r="A30">
        <v>202208</v>
      </c>
      <c r="B30" s="293"/>
      <c r="C30" s="513">
        <v>145.86006830168114</v>
      </c>
      <c r="D30" s="513">
        <v>154.37246188776723</v>
      </c>
      <c r="E30" s="513">
        <v>163.38163876353732</v>
      </c>
      <c r="H30" s="508"/>
    </row>
    <row r="31" spans="1:8">
      <c r="A31">
        <v>202212</v>
      </c>
      <c r="B31" s="293"/>
      <c r="C31" s="513">
        <v>145.86006830168114</v>
      </c>
      <c r="D31" s="513">
        <v>154.37246188776723</v>
      </c>
      <c r="E31" s="513">
        <v>163.38163876353732</v>
      </c>
      <c r="H31" s="508"/>
    </row>
    <row r="32" spans="1:8" ht="14.5">
      <c r="A32" s="202" t="s">
        <v>419</v>
      </c>
      <c r="B32" s="30"/>
      <c r="C32" s="30"/>
      <c r="D32" s="30"/>
    </row>
    <row r="33" spans="1:8">
      <c r="A33">
        <v>202203</v>
      </c>
      <c r="B33" s="513"/>
      <c r="C33" s="513">
        <v>26.400748297373973</v>
      </c>
      <c r="D33" s="513">
        <v>27.720785712242673</v>
      </c>
      <c r="E33" s="17">
        <v>29.106824997854808</v>
      </c>
    </row>
    <row r="34" spans="1:8">
      <c r="A34">
        <v>202208</v>
      </c>
      <c r="B34" s="293"/>
      <c r="C34" s="293"/>
      <c r="D34" s="293"/>
      <c r="E34" s="293"/>
      <c r="H34" s="508"/>
    </row>
    <row r="35" spans="1:8" ht="14.5">
      <c r="A35" s="202" t="s">
        <v>420</v>
      </c>
      <c r="B35" s="30"/>
      <c r="C35" s="30"/>
      <c r="D35" s="30"/>
    </row>
    <row r="36" spans="1:8">
      <c r="A36">
        <v>202203</v>
      </c>
      <c r="B36" s="513"/>
      <c r="C36" s="382">
        <v>0.94400000000000006</v>
      </c>
      <c r="D36" s="382">
        <v>0.95400000000000007</v>
      </c>
      <c r="E36" s="15">
        <v>0.96400000000000008</v>
      </c>
    </row>
    <row r="37" spans="1:8">
      <c r="A37">
        <v>202208</v>
      </c>
      <c r="B37" s="293"/>
      <c r="C37" s="293"/>
      <c r="D37" s="293"/>
      <c r="E37" s="293"/>
      <c r="H37" s="508"/>
    </row>
    <row r="38" spans="1:8" ht="14.5">
      <c r="A38" s="202" t="s">
        <v>421</v>
      </c>
      <c r="B38" s="30"/>
      <c r="C38" s="30"/>
      <c r="D38" s="30"/>
    </row>
    <row r="39" spans="1:8">
      <c r="A39">
        <v>202208</v>
      </c>
      <c r="B39" s="517">
        <v>11.2</v>
      </c>
      <c r="C39" s="517">
        <v>11.7</v>
      </c>
      <c r="D39" s="517">
        <v>12.2</v>
      </c>
      <c r="E39" s="517">
        <v>12.7</v>
      </c>
      <c r="H39" s="508"/>
    </row>
    <row r="40" spans="1:8" ht="14.5">
      <c r="A40" s="202" t="s">
        <v>422</v>
      </c>
      <c r="B40" s="30"/>
      <c r="C40" s="30"/>
      <c r="D40" s="30"/>
    </row>
    <row r="41" spans="1:8">
      <c r="A41">
        <v>202103</v>
      </c>
      <c r="B41" s="30"/>
      <c r="C41" s="30"/>
      <c r="D41" s="30"/>
    </row>
    <row r="42" spans="1:8" ht="14.5">
      <c r="A42">
        <v>202108</v>
      </c>
      <c r="B42" s="372" t="s">
        <v>423</v>
      </c>
      <c r="C42" s="7"/>
      <c r="D42" s="7"/>
    </row>
    <row r="43" spans="1:8" ht="14.5">
      <c r="A43">
        <v>202208</v>
      </c>
      <c r="B43" s="372" t="s">
        <v>424</v>
      </c>
      <c r="C43" s="293"/>
      <c r="D43" s="293"/>
    </row>
    <row r="44" spans="1:8" ht="14.5">
      <c r="A44">
        <v>202212</v>
      </c>
      <c r="B44" s="372" t="s">
        <v>425</v>
      </c>
    </row>
    <row r="45" spans="1:8" ht="14.5">
      <c r="B45" s="372"/>
    </row>
  </sheetData>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0893-CA22-5D47-8AFC-B658E9063B99}">
  <dimension ref="A1:K23"/>
  <sheetViews>
    <sheetView zoomScaleNormal="100" workbookViewId="0">
      <pane ySplit="1" topLeftCell="A2" activePane="bottomLeft" state="frozen"/>
      <selection pane="bottomLeft" activeCell="B1" sqref="B1:F1"/>
    </sheetView>
  </sheetViews>
  <sheetFormatPr defaultColWidth="10.58203125" defaultRowHeight="14"/>
  <cols>
    <col min="1" max="1" width="17" customWidth="1"/>
  </cols>
  <sheetData>
    <row r="1" spans="1:11" s="280" customFormat="1" ht="16.5">
      <c r="B1" s="503">
        <v>2017</v>
      </c>
      <c r="C1" s="503">
        <v>2018</v>
      </c>
      <c r="D1" s="503">
        <v>2019</v>
      </c>
      <c r="E1" s="503">
        <v>2020</v>
      </c>
      <c r="F1" s="503">
        <v>2021</v>
      </c>
      <c r="G1" s="504" t="s">
        <v>426</v>
      </c>
      <c r="H1" s="504" t="s">
        <v>427</v>
      </c>
      <c r="I1" s="505" t="s">
        <v>428</v>
      </c>
    </row>
    <row r="2" spans="1:11" s="280" customFormat="1" ht="16.5">
      <c r="A2" s="280" t="s">
        <v>429</v>
      </c>
    </row>
    <row r="3" spans="1:11" ht="15">
      <c r="A3" t="s">
        <v>417</v>
      </c>
      <c r="B3" s="501">
        <f>Everything!Z143</f>
        <v>7.15</v>
      </c>
      <c r="C3" s="502">
        <f>Everything!AA143</f>
        <v>7.9</v>
      </c>
      <c r="D3" s="502">
        <f>Everything!AB143</f>
        <v>8.3000000000000007</v>
      </c>
      <c r="E3" s="502">
        <f>Everything!AC143</f>
        <v>6</v>
      </c>
      <c r="F3" s="502">
        <f>Everything!AD143</f>
        <v>5.85</v>
      </c>
      <c r="G3" s="321">
        <f>-1000*'Model An 21A'!K97/Everything!$AC135</f>
        <v>7.3738401176328567</v>
      </c>
      <c r="H3" s="321">
        <f>-1000*'Model An 21A'!L97/Everything!$AC135</f>
        <v>7.5950553211618423</v>
      </c>
      <c r="I3" s="321">
        <f>-1000*'Model An 21A'!M97/Everything!$AC135</f>
        <v>7.8229069807966978</v>
      </c>
    </row>
    <row r="4" spans="1:11" ht="15.5">
      <c r="A4" t="s">
        <v>430</v>
      </c>
      <c r="B4" s="506">
        <v>5.0999999999999997E-2</v>
      </c>
      <c r="C4" s="506">
        <v>5.33E-2</v>
      </c>
      <c r="D4" s="506">
        <v>5.8099999999999999E-2</v>
      </c>
      <c r="E4" s="506">
        <v>6.6900000000000001E-2</v>
      </c>
      <c r="F4" s="506">
        <v>6.25E-2</v>
      </c>
      <c r="J4" s="373">
        <f>AVERAGE(B4:F4)</f>
        <v>5.8360000000000002E-2</v>
      </c>
      <c r="K4" s="202" t="s">
        <v>431</v>
      </c>
    </row>
    <row r="5" spans="1:11" ht="15.5">
      <c r="A5" t="s">
        <v>432</v>
      </c>
      <c r="J5" s="370">
        <v>0.01</v>
      </c>
      <c r="K5" s="202" t="s">
        <v>433</v>
      </c>
    </row>
    <row r="6" spans="1:11" ht="15" thickBot="1">
      <c r="A6" s="202" t="s">
        <v>434</v>
      </c>
      <c r="G6">
        <v>3</v>
      </c>
      <c r="H6">
        <v>2</v>
      </c>
      <c r="I6">
        <v>1</v>
      </c>
      <c r="J6" s="137"/>
      <c r="K6" s="202"/>
    </row>
    <row r="7" spans="1:11" ht="16.5" thickTop="1" thickBot="1">
      <c r="A7" t="s">
        <v>435</v>
      </c>
      <c r="E7" s="519">
        <f>$H7/(1+$J4)^G6</f>
        <v>130.21756720020832</v>
      </c>
      <c r="F7" s="519">
        <f>$H7/(1+$J4)^H6</f>
        <v>137.81706442201249</v>
      </c>
      <c r="G7" s="520">
        <f>$I7/(1+$J4)^H6</f>
        <v>145.86006830168114</v>
      </c>
      <c r="H7" s="520">
        <f>$I7/(1+$J4)^I6</f>
        <v>154.37246188776723</v>
      </c>
      <c r="I7" s="521">
        <f>I3*(1+$J5)/($J4-J5)</f>
        <v>163.38163876353732</v>
      </c>
      <c r="K7" s="202" t="s">
        <v>436</v>
      </c>
    </row>
    <row r="8" spans="1:11" ht="14.5" thickTop="1">
      <c r="A8" t="s">
        <v>437</v>
      </c>
      <c r="F8" s="507"/>
      <c r="G8" s="507">
        <f>G3/$F10</f>
        <v>6.1965043005318125E-2</v>
      </c>
      <c r="H8" s="507">
        <f>H3/$F10</f>
        <v>6.3823994295477665E-2</v>
      </c>
      <c r="I8" s="507">
        <f>I3/$F10</f>
        <v>6.5738714124341999E-2</v>
      </c>
    </row>
    <row r="9" spans="1:11">
      <c r="A9" t="s">
        <v>438</v>
      </c>
      <c r="F9" s="507"/>
      <c r="G9" s="507">
        <f>G8+F9</f>
        <v>6.1965043005318125E-2</v>
      </c>
      <c r="H9" s="507">
        <f>H8+G9</f>
        <v>0.1257890373007958</v>
      </c>
      <c r="I9" s="507">
        <f>I8+H9</f>
        <v>0.19152775142513778</v>
      </c>
    </row>
    <row r="10" spans="1:11" ht="15.5">
      <c r="A10" t="s">
        <v>439</v>
      </c>
      <c r="E10" s="17"/>
      <c r="F10" s="272">
        <v>119</v>
      </c>
    </row>
    <row r="11" spans="1:11">
      <c r="A11" t="s">
        <v>440</v>
      </c>
      <c r="E11" s="17"/>
      <c r="F11" s="508">
        <f>F7/$F10-1+F9</f>
        <v>0.15812659178161748</v>
      </c>
      <c r="G11" s="508">
        <f>G7/$F10-1+G9</f>
        <v>0.2876799026833109</v>
      </c>
      <c r="H11" s="508">
        <f>H7/$F10-1+H9</f>
        <v>0.42303661618959609</v>
      </c>
      <c r="I11" s="508">
        <f>I7/$F10-1+I9</f>
        <v>0.5644826990178885</v>
      </c>
    </row>
    <row r="12" spans="1:11">
      <c r="A12" t="s">
        <v>441</v>
      </c>
      <c r="E12" s="17"/>
      <c r="F12" s="508"/>
      <c r="G12" s="508"/>
      <c r="H12" s="508"/>
      <c r="I12" s="508">
        <f>(I7/$F10-1)+I9*0.7</f>
        <v>0.50702437359034713</v>
      </c>
    </row>
    <row r="13" spans="1:11" s="369" customFormat="1" ht="16.5">
      <c r="A13" s="369" t="s">
        <v>442</v>
      </c>
    </row>
    <row r="14" spans="1:11">
      <c r="A14" t="s">
        <v>416</v>
      </c>
      <c r="B14" s="502"/>
      <c r="C14" s="502">
        <f>'Model An 21A'!G132</f>
        <v>9.5114493657038182</v>
      </c>
      <c r="D14" s="502">
        <f>'Model An 21A'!H132</f>
        <v>10.07452171115645</v>
      </c>
      <c r="E14" s="502">
        <f>'Model An 21A'!I132</f>
        <v>7.1798564180313917</v>
      </c>
      <c r="F14" s="502">
        <f>'Model An 21A'!J132</f>
        <v>7.4983177545877</v>
      </c>
      <c r="G14" s="502">
        <f>'Model An 21A'!K132</f>
        <v>9.6508786347799216</v>
      </c>
      <c r="H14" s="502">
        <f>'Model An 21A'!L132</f>
        <v>10.302996668708261</v>
      </c>
      <c r="I14" s="502">
        <f>'Model An 21A'!M132</f>
        <v>11.210278576277059</v>
      </c>
    </row>
    <row r="15" spans="1:11">
      <c r="A15" t="s">
        <v>443</v>
      </c>
      <c r="B15" s="502">
        <f>Everything!Z139</f>
        <v>11.21</v>
      </c>
      <c r="C15" s="502">
        <f>Everything!AA139</f>
        <v>12.13</v>
      </c>
      <c r="D15" s="502">
        <f>Everything!AB139</f>
        <v>12.04</v>
      </c>
      <c r="E15" s="502">
        <f>Everything!AC139</f>
        <v>9.11</v>
      </c>
      <c r="F15" s="502">
        <f>Everything!AD139</f>
        <v>11.94</v>
      </c>
      <c r="G15" s="502"/>
      <c r="H15" s="502"/>
      <c r="I15" s="502"/>
    </row>
    <row r="16" spans="1:11" ht="15.5">
      <c r="A16" t="s">
        <v>430</v>
      </c>
      <c r="B16" s="375">
        <f>B4</f>
        <v>5.0999999999999997E-2</v>
      </c>
      <c r="C16" s="375">
        <f t="shared" ref="C16:E16" si="0">C4</f>
        <v>5.33E-2</v>
      </c>
      <c r="D16" s="375">
        <f t="shared" si="0"/>
        <v>5.8099999999999999E-2</v>
      </c>
      <c r="E16" s="375">
        <f t="shared" si="0"/>
        <v>6.6900000000000001E-2</v>
      </c>
      <c r="J16" s="374">
        <f>AVERAGE(B16:D16)</f>
        <v>5.4133333333333332E-2</v>
      </c>
    </row>
    <row r="17" spans="1:10" ht="15.5">
      <c r="A17" t="s">
        <v>432</v>
      </c>
      <c r="J17" s="371">
        <v>0.01</v>
      </c>
    </row>
    <row r="18" spans="1:10">
      <c r="A18" t="s">
        <v>444</v>
      </c>
      <c r="C18" s="502">
        <f>'Model An 21A'!G134</f>
        <v>18.056133549872687</v>
      </c>
      <c r="D18" s="502">
        <f>'Model An 21A'!H134</f>
        <v>16.674737006519042</v>
      </c>
      <c r="E18" s="502">
        <f>'Model An 21A'!I134</f>
        <v>20.746932992406915</v>
      </c>
      <c r="F18" s="502">
        <f>'Model An 21A'!J134</f>
        <v>15.870226348728975</v>
      </c>
      <c r="G18" s="509">
        <v>15</v>
      </c>
      <c r="H18" s="509">
        <v>15</v>
      </c>
      <c r="I18" s="509">
        <v>15</v>
      </c>
      <c r="J18" s="137" t="s">
        <v>445</v>
      </c>
    </row>
    <row r="19" spans="1:10">
      <c r="A19" t="s">
        <v>435</v>
      </c>
      <c r="E19" s="510">
        <f>E14*E18</f>
        <v>148.96</v>
      </c>
      <c r="F19" s="510">
        <f>F14*F18</f>
        <v>119</v>
      </c>
      <c r="G19" s="510">
        <f>G14*G18</f>
        <v>144.76317952169882</v>
      </c>
      <c r="H19" s="510">
        <f>H14*H18</f>
        <v>154.54495003062391</v>
      </c>
      <c r="I19" s="510">
        <f>I14*I18</f>
        <v>168.15417864415588</v>
      </c>
      <c r="J19" t="s">
        <v>446</v>
      </c>
    </row>
    <row r="20" spans="1:10">
      <c r="A20" t="s">
        <v>437</v>
      </c>
      <c r="F20" s="515">
        <f>F8</f>
        <v>0</v>
      </c>
      <c r="G20" s="515">
        <f>G8</f>
        <v>6.1965043005318125E-2</v>
      </c>
      <c r="H20" s="515">
        <f>H8</f>
        <v>6.3823994295477665E-2</v>
      </c>
      <c r="I20" s="515">
        <f>I8</f>
        <v>6.5738714124341999E-2</v>
      </c>
    </row>
    <row r="21" spans="1:10">
      <c r="A21" t="s">
        <v>438</v>
      </c>
      <c r="F21" s="507">
        <f>F20+E21</f>
        <v>0</v>
      </c>
      <c r="G21" s="507">
        <f>G20+F21</f>
        <v>6.1965043005318125E-2</v>
      </c>
      <c r="H21" s="507">
        <f>H20+G21</f>
        <v>0.1257890373007958</v>
      </c>
      <c r="I21" s="507">
        <f>I20+H21</f>
        <v>0.19152775142513778</v>
      </c>
    </row>
    <row r="22" spans="1:10" ht="15.5">
      <c r="A22" t="s">
        <v>439</v>
      </c>
      <c r="E22" s="17"/>
      <c r="F22" s="518">
        <f>F10</f>
        <v>119</v>
      </c>
    </row>
    <row r="23" spans="1:10">
      <c r="A23" t="s">
        <v>440</v>
      </c>
      <c r="E23" s="17"/>
      <c r="F23" s="508">
        <f>F19/$F22-1+F21</f>
        <v>0</v>
      </c>
      <c r="G23" s="508">
        <f>G19/$F22-1+G21</f>
        <v>0.27846234991035013</v>
      </c>
      <c r="H23" s="508">
        <f>H19/$F22-1+H21</f>
        <v>0.4244860963816689</v>
      </c>
      <c r="I23" s="508">
        <f>I19/$F22-1+I21</f>
        <v>0.60458807616594357</v>
      </c>
    </row>
  </sheetData>
  <phoneticPr fontId="4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E367-C26B-C645-8A75-040430E9A70C}">
  <dimension ref="A1:AF128"/>
  <sheetViews>
    <sheetView tabSelected="1" zoomScaleNormal="100" workbookViewId="0">
      <pane xSplit="1" ySplit="1" topLeftCell="B2" activePane="bottomRight" state="frozen"/>
      <selection pane="topRight"/>
      <selection pane="bottomLeft"/>
      <selection pane="bottomRight" activeCell="AC55" sqref="AC55"/>
    </sheetView>
  </sheetViews>
  <sheetFormatPr defaultColWidth="11" defaultRowHeight="14"/>
  <cols>
    <col min="1" max="1" width="28" customWidth="1"/>
    <col min="12" max="22" width="12.83203125" bestFit="1" customWidth="1"/>
    <col min="23" max="23" width="12.33203125" customWidth="1"/>
    <col min="24" max="25" width="12.83203125" bestFit="1" customWidth="1"/>
    <col min="27" max="27" width="12.83203125" bestFit="1" customWidth="1"/>
    <col min="29" max="29" width="12.08203125" customWidth="1"/>
  </cols>
  <sheetData>
    <row r="1" spans="1:32">
      <c r="A1" s="34"/>
      <c r="B1" s="35" t="s">
        <v>0</v>
      </c>
      <c r="C1" s="36" t="s">
        <v>1</v>
      </c>
      <c r="D1" s="36" t="s">
        <v>2</v>
      </c>
      <c r="E1" s="36" t="s">
        <v>3</v>
      </c>
      <c r="F1" s="36" t="s">
        <v>4</v>
      </c>
      <c r="G1" s="36" t="s">
        <v>5</v>
      </c>
      <c r="H1" s="36" t="s">
        <v>6</v>
      </c>
      <c r="I1" s="36" t="s">
        <v>7</v>
      </c>
      <c r="J1" s="36" t="s">
        <v>8</v>
      </c>
      <c r="K1" s="36" t="s">
        <v>9</v>
      </c>
      <c r="L1" s="36" t="s">
        <v>10</v>
      </c>
      <c r="M1" s="36" t="s">
        <v>11</v>
      </c>
      <c r="N1" s="36" t="s">
        <v>12</v>
      </c>
      <c r="O1" s="36" t="s">
        <v>13</v>
      </c>
      <c r="P1" s="36" t="s">
        <v>14</v>
      </c>
      <c r="Q1" s="36" t="s">
        <v>15</v>
      </c>
      <c r="R1" s="36" t="s">
        <v>16</v>
      </c>
      <c r="S1" s="36" t="s">
        <v>17</v>
      </c>
      <c r="T1" s="36" t="s">
        <v>18</v>
      </c>
      <c r="U1" s="36" t="s">
        <v>19</v>
      </c>
      <c r="V1" s="36" t="s">
        <v>20</v>
      </c>
      <c r="W1" s="36" t="s">
        <v>21</v>
      </c>
      <c r="X1" s="36" t="s">
        <v>22</v>
      </c>
      <c r="Y1" s="36" t="s">
        <v>23</v>
      </c>
      <c r="Z1" s="36" t="s">
        <v>24</v>
      </c>
      <c r="AA1" s="36" t="s">
        <v>25</v>
      </c>
      <c r="AB1" s="36" t="s">
        <v>26</v>
      </c>
      <c r="AC1" s="36" t="s">
        <v>27</v>
      </c>
      <c r="AD1" s="36">
        <v>2021</v>
      </c>
      <c r="AE1" s="185"/>
    </row>
    <row r="2" spans="1:32">
      <c r="A2" s="33" t="s">
        <v>43</v>
      </c>
      <c r="B2" s="39">
        <v>1351102</v>
      </c>
      <c r="C2" s="39">
        <v>1880693</v>
      </c>
      <c r="D2" s="39">
        <v>2104153</v>
      </c>
      <c r="E2" s="39">
        <v>5214560</v>
      </c>
      <c r="F2" s="39">
        <v>6708745</v>
      </c>
      <c r="G2" s="39">
        <v>11665139</v>
      </c>
      <c r="H2" s="39">
        <v>12600703</v>
      </c>
      <c r="I2" s="39">
        <v>12922849</v>
      </c>
      <c r="J2" s="39">
        <v>13083178</v>
      </c>
      <c r="K2" s="39">
        <v>14111830</v>
      </c>
      <c r="L2" s="39">
        <v>14727870</v>
      </c>
      <c r="M2" s="39">
        <v>20859992</v>
      </c>
      <c r="N2" s="39">
        <v>21361213</v>
      </c>
      <c r="O2" s="39">
        <v>22333665</v>
      </c>
      <c r="P2" s="39">
        <v>23767722</v>
      </c>
      <c r="Q2" s="39">
        <v>24847461</v>
      </c>
      <c r="R2" s="39">
        <v>25054506</v>
      </c>
      <c r="S2" s="39">
        <v>27383508</v>
      </c>
      <c r="T2" s="39">
        <v>29192970</v>
      </c>
      <c r="U2" s="39">
        <v>33922858</v>
      </c>
      <c r="V2" s="39">
        <v>34761802</v>
      </c>
      <c r="W2" s="39">
        <v>30678451</v>
      </c>
      <c r="X2" s="39">
        <v>32799853</v>
      </c>
      <c r="Y2" s="39">
        <v>34719878</v>
      </c>
      <c r="Z2" s="39">
        <v>35889772</v>
      </c>
      <c r="AA2" s="39">
        <v>36531114</v>
      </c>
      <c r="AB2" s="39">
        <v>37506173</v>
      </c>
      <c r="AC2" s="39">
        <v>38563110</v>
      </c>
      <c r="AE2" s="57"/>
      <c r="AF2" s="44"/>
    </row>
    <row r="3" spans="1:32">
      <c r="A3" s="33" t="s">
        <v>65</v>
      </c>
      <c r="B3" s="39">
        <v>14479</v>
      </c>
      <c r="C3" s="39">
        <v>444767</v>
      </c>
      <c r="D3" s="39">
        <v>524129</v>
      </c>
      <c r="E3" s="39">
        <v>702873</v>
      </c>
      <c r="F3" s="39">
        <v>1002578</v>
      </c>
      <c r="G3" s="39">
        <v>1329867</v>
      </c>
      <c r="H3" s="39">
        <v>1791412</v>
      </c>
      <c r="I3" s="39">
        <v>1887049</v>
      </c>
      <c r="J3" s="39">
        <v>1926192</v>
      </c>
      <c r="K3" s="39">
        <v>1987410</v>
      </c>
      <c r="L3" s="39">
        <v>2098252</v>
      </c>
      <c r="M3" s="39">
        <v>2411416</v>
      </c>
      <c r="N3" s="39">
        <v>2920094</v>
      </c>
      <c r="O3" s="39">
        <v>3063177</v>
      </c>
      <c r="P3" s="39">
        <v>3287880</v>
      </c>
      <c r="Q3" s="39">
        <v>3458098</v>
      </c>
      <c r="R3" s="39">
        <v>3463987</v>
      </c>
      <c r="S3" s="39">
        <v>3623920</v>
      </c>
      <c r="T3" s="39">
        <v>3982835</v>
      </c>
      <c r="U3" s="39">
        <v>4551899</v>
      </c>
      <c r="V3" s="39">
        <v>4868338</v>
      </c>
      <c r="W3" s="39">
        <v>4531811</v>
      </c>
      <c r="X3" s="39">
        <v>4782040</v>
      </c>
      <c r="Y3" s="39">
        <v>5014810</v>
      </c>
      <c r="Z3" s="39">
        <v>5109099</v>
      </c>
      <c r="AA3" s="39">
        <v>5158420</v>
      </c>
      <c r="AB3" s="39">
        <v>5243771</v>
      </c>
      <c r="AC3" s="39">
        <v>4302367</v>
      </c>
      <c r="AE3" s="57"/>
      <c r="AF3" s="44"/>
    </row>
    <row r="4" spans="1:32">
      <c r="A4" s="43" t="s">
        <v>44</v>
      </c>
      <c r="B4" s="42">
        <f>(AB3/B3)^(1/27)-1</f>
        <v>0.24386791285532117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E4" s="57"/>
      <c r="AF4" s="44"/>
    </row>
    <row r="5" spans="1:32">
      <c r="A5" s="43" t="s">
        <v>66</v>
      </c>
      <c r="B5" s="42"/>
      <c r="C5" s="142">
        <v>1</v>
      </c>
      <c r="D5" s="141">
        <f t="shared" ref="D5:AB5" si="0">D3/C3-1</f>
        <v>0.17843500079817076</v>
      </c>
      <c r="E5" s="141">
        <f t="shared" si="0"/>
        <v>0.34103054782315034</v>
      </c>
      <c r="F5" s="141">
        <f t="shared" si="0"/>
        <v>0.42639993284704358</v>
      </c>
      <c r="G5" s="141">
        <f t="shared" si="0"/>
        <v>0.32644741855496529</v>
      </c>
      <c r="H5" s="141">
        <f t="shared" si="0"/>
        <v>0.34706102189166277</v>
      </c>
      <c r="I5" s="141">
        <f t="shared" si="0"/>
        <v>5.3386379012756446E-2</v>
      </c>
      <c r="J5" s="141">
        <f t="shared" si="0"/>
        <v>2.0742969578426473E-2</v>
      </c>
      <c r="K5" s="141">
        <f t="shared" si="0"/>
        <v>3.1781878442024514E-2</v>
      </c>
      <c r="L5" s="141">
        <f t="shared" si="0"/>
        <v>5.577208527681754E-2</v>
      </c>
      <c r="M5" s="141">
        <f t="shared" si="0"/>
        <v>0.14924994709882311</v>
      </c>
      <c r="N5" s="141">
        <f t="shared" si="0"/>
        <v>0.21094576796371922</v>
      </c>
      <c r="O5" s="141">
        <f t="shared" si="0"/>
        <v>4.8999450017704893E-2</v>
      </c>
      <c r="P5" s="141">
        <f t="shared" si="0"/>
        <v>7.3356191953648064E-2</v>
      </c>
      <c r="Q5" s="141">
        <f t="shared" si="0"/>
        <v>5.1771354185675911E-2</v>
      </c>
      <c r="R5" s="141">
        <f t="shared" si="0"/>
        <v>1.7029592567938678E-3</v>
      </c>
      <c r="S5" s="141">
        <f t="shared" si="0"/>
        <v>4.6170207913597938E-2</v>
      </c>
      <c r="T5" s="141">
        <f t="shared" si="0"/>
        <v>9.9040541733813159E-2</v>
      </c>
      <c r="U5" s="141">
        <f t="shared" si="0"/>
        <v>0.14287913006689967</v>
      </c>
      <c r="V5" s="141">
        <f t="shared" si="0"/>
        <v>6.9518018743385923E-2</v>
      </c>
      <c r="W5" s="141">
        <f t="shared" si="0"/>
        <v>-6.9125644110988205E-2</v>
      </c>
      <c r="X5" s="141">
        <f t="shared" si="0"/>
        <v>5.5216115588227366E-2</v>
      </c>
      <c r="Y5" s="141">
        <f t="shared" si="0"/>
        <v>4.86758789136017E-2</v>
      </c>
      <c r="Z5" s="141">
        <f t="shared" si="0"/>
        <v>1.8802108155643094E-2</v>
      </c>
      <c r="AA5" s="141">
        <f t="shared" si="0"/>
        <v>9.6535612247874436E-3</v>
      </c>
      <c r="AB5" s="141">
        <f t="shared" si="0"/>
        <v>1.6545957870820915E-2</v>
      </c>
      <c r="AC5" s="39"/>
      <c r="AE5" s="57"/>
      <c r="AF5" s="44"/>
    </row>
    <row r="6" spans="1:32">
      <c r="A6" s="33" t="s">
        <v>67</v>
      </c>
      <c r="B6" s="39">
        <v>10916</v>
      </c>
      <c r="C6" s="39">
        <v>291653</v>
      </c>
      <c r="D6" s="39">
        <v>348723</v>
      </c>
      <c r="E6" s="39">
        <v>472827</v>
      </c>
      <c r="F6" s="39">
        <v>683902</v>
      </c>
      <c r="G6" s="39">
        <v>916447</v>
      </c>
      <c r="H6" s="39">
        <v>1238326</v>
      </c>
      <c r="I6" s="39">
        <v>1362268</v>
      </c>
      <c r="J6" s="39">
        <v>1364107</v>
      </c>
      <c r="K6" s="39">
        <v>1381736</v>
      </c>
      <c r="L6" s="39">
        <v>1450755</v>
      </c>
      <c r="M6" s="39">
        <v>1677722</v>
      </c>
      <c r="N6" s="39">
        <v>2076445</v>
      </c>
      <c r="O6" s="39">
        <v>2186495</v>
      </c>
      <c r="P6" s="39">
        <v>2273450</v>
      </c>
      <c r="Q6" s="39">
        <v>2432222</v>
      </c>
      <c r="R6" s="39">
        <v>2486940</v>
      </c>
      <c r="S6" s="39">
        <v>2627316</v>
      </c>
      <c r="T6" s="39">
        <v>2913805</v>
      </c>
      <c r="U6" s="39">
        <v>3384542</v>
      </c>
      <c r="V6" s="39">
        <v>3661251</v>
      </c>
      <c r="W6" s="39">
        <v>3472454</v>
      </c>
      <c r="X6" s="39">
        <v>3647961</v>
      </c>
      <c r="Y6" s="39">
        <v>3861706</v>
      </c>
      <c r="Z6" s="39">
        <v>3937917</v>
      </c>
      <c r="AA6" s="39">
        <v>3956532</v>
      </c>
      <c r="AB6" s="39">
        <v>4028284</v>
      </c>
      <c r="AC6" s="39">
        <v>3276313</v>
      </c>
      <c r="AE6" s="57"/>
      <c r="AF6" s="44"/>
    </row>
    <row r="7" spans="1:32">
      <c r="A7" s="33" t="s">
        <v>199</v>
      </c>
      <c r="B7" s="39">
        <v>10916</v>
      </c>
      <c r="C7" s="39">
        <v>291653</v>
      </c>
      <c r="D7" s="39">
        <v>348723</v>
      </c>
      <c r="E7" s="39">
        <v>472827</v>
      </c>
      <c r="F7" s="39">
        <v>683902</v>
      </c>
      <c r="G7" s="39">
        <v>916447</v>
      </c>
      <c r="H7" s="39">
        <v>1238326</v>
      </c>
      <c r="I7" s="39">
        <v>1362268</v>
      </c>
      <c r="J7" s="39">
        <v>1364107</v>
      </c>
      <c r="K7" s="39">
        <v>1381736</v>
      </c>
      <c r="L7" s="39">
        <v>1450755</v>
      </c>
      <c r="M7" s="39">
        <v>1677722</v>
      </c>
      <c r="N7" s="39">
        <v>2076445</v>
      </c>
      <c r="O7" s="39">
        <v>2186495</v>
      </c>
      <c r="P7" s="39">
        <v>2273450</v>
      </c>
      <c r="Q7" s="39">
        <v>2432222</v>
      </c>
      <c r="R7" s="39">
        <v>2486940</v>
      </c>
      <c r="S7" s="39">
        <v>2627316</v>
      </c>
      <c r="T7" s="39">
        <v>2913805</v>
      </c>
      <c r="U7" s="39">
        <v>3384542</v>
      </c>
      <c r="V7" s="39">
        <v>3661251</v>
      </c>
      <c r="W7" s="39">
        <v>3472454</v>
      </c>
      <c r="X7" s="39">
        <v>3647961</v>
      </c>
      <c r="Y7" s="39">
        <v>3861706</v>
      </c>
      <c r="Z7" s="39">
        <v>3937917</v>
      </c>
      <c r="AA7" s="39">
        <v>3956532</v>
      </c>
      <c r="AB7" s="39">
        <v>4028284</v>
      </c>
      <c r="AC7" s="39">
        <v>3276313</v>
      </c>
      <c r="AE7" s="57"/>
      <c r="AF7" s="44"/>
    </row>
    <row r="8" spans="1:32">
      <c r="A8" s="43" t="s">
        <v>44</v>
      </c>
      <c r="B8" s="42">
        <f>(AB7/B7)^(1/27)-1</f>
        <v>0.24473289994377123</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E8" s="57"/>
      <c r="AF8" s="44"/>
    </row>
    <row r="9" spans="1:32">
      <c r="A9" s="33" t="s">
        <v>69</v>
      </c>
      <c r="B9" s="39">
        <v>0</v>
      </c>
      <c r="C9" s="39">
        <v>0</v>
      </c>
      <c r="D9" s="39">
        <v>1871</v>
      </c>
      <c r="E9" s="39">
        <v>88</v>
      </c>
      <c r="F9" s="39">
        <v>20</v>
      </c>
      <c r="G9" s="39">
        <v>-7283</v>
      </c>
      <c r="H9" s="39">
        <v>-7062</v>
      </c>
      <c r="I9" s="39">
        <v>19704</v>
      </c>
      <c r="J9" s="39">
        <v>2610</v>
      </c>
      <c r="K9" s="39">
        <v>162011</v>
      </c>
      <c r="L9" s="39">
        <v>-5146</v>
      </c>
      <c r="M9" s="39">
        <v>-760</v>
      </c>
      <c r="N9" s="39">
        <v>-838</v>
      </c>
      <c r="O9" s="39">
        <v>163865</v>
      </c>
      <c r="P9" s="39">
        <v>103420</v>
      </c>
      <c r="Q9" s="39">
        <v>11285</v>
      </c>
      <c r="R9" s="39">
        <v>-12314</v>
      </c>
      <c r="S9" s="39">
        <v>326385</v>
      </c>
      <c r="T9" s="39">
        <v>221111</v>
      </c>
      <c r="U9" s="39">
        <v>49565</v>
      </c>
      <c r="V9" s="39">
        <v>15609</v>
      </c>
      <c r="W9" s="39">
        <v>175370</v>
      </c>
      <c r="X9" s="39">
        <v>50068</v>
      </c>
      <c r="Y9" s="39">
        <v>57253</v>
      </c>
      <c r="Z9" s="39">
        <v>15511</v>
      </c>
      <c r="AA9" s="39">
        <v>292189</v>
      </c>
      <c r="AB9" s="39">
        <v>75836</v>
      </c>
      <c r="AC9" s="39">
        <v>-106398</v>
      </c>
      <c r="AE9" s="57"/>
      <c r="AF9" s="44"/>
    </row>
    <row r="10" spans="1:32">
      <c r="A10" s="33" t="s">
        <v>70</v>
      </c>
      <c r="B10" s="39">
        <v>3548</v>
      </c>
      <c r="C10" s="39">
        <v>150164</v>
      </c>
      <c r="D10" s="39">
        <v>150224</v>
      </c>
      <c r="E10" s="39">
        <v>202182</v>
      </c>
      <c r="F10" s="39">
        <v>287823</v>
      </c>
      <c r="G10" s="39">
        <v>419918</v>
      </c>
      <c r="H10" s="39">
        <v>579593</v>
      </c>
      <c r="I10" s="39">
        <v>635678</v>
      </c>
      <c r="J10" s="39">
        <v>607625</v>
      </c>
      <c r="K10" s="39">
        <v>599266</v>
      </c>
      <c r="L10" s="39">
        <v>602510</v>
      </c>
      <c r="M10" s="39">
        <v>662090</v>
      </c>
      <c r="N10" s="39">
        <v>799092</v>
      </c>
      <c r="O10" s="39">
        <v>821858</v>
      </c>
      <c r="P10" s="39">
        <v>945852</v>
      </c>
      <c r="Q10" s="39">
        <v>947140</v>
      </c>
      <c r="R10" s="39">
        <v>992065</v>
      </c>
      <c r="S10" s="39">
        <v>1027091</v>
      </c>
      <c r="T10" s="39">
        <v>983526</v>
      </c>
      <c r="U10" s="39">
        <v>1127025</v>
      </c>
      <c r="V10" s="39">
        <v>1137139</v>
      </c>
      <c r="W10" s="39">
        <v>992601</v>
      </c>
      <c r="X10" s="39">
        <v>923697</v>
      </c>
      <c r="Y10" s="39">
        <v>857554</v>
      </c>
      <c r="Z10" s="39">
        <v>809393</v>
      </c>
      <c r="AA10" s="39">
        <v>815923</v>
      </c>
      <c r="AB10" s="39">
        <v>789353</v>
      </c>
      <c r="AC10" s="39">
        <v>784400</v>
      </c>
      <c r="AE10" s="57"/>
      <c r="AF10" s="44"/>
    </row>
    <row r="11" spans="1:32">
      <c r="A11" s="33" t="s">
        <v>71</v>
      </c>
      <c r="B11" s="39">
        <v>18459</v>
      </c>
      <c r="C11" s="39">
        <v>473609</v>
      </c>
      <c r="D11" s="39">
        <v>555060</v>
      </c>
      <c r="E11" s="39">
        <v>757249</v>
      </c>
      <c r="F11" s="39">
        <v>1073343</v>
      </c>
      <c r="G11" s="39">
        <v>1434113</v>
      </c>
      <c r="H11" s="39">
        <v>1948558</v>
      </c>
      <c r="I11" s="39">
        <v>2104518</v>
      </c>
      <c r="J11" s="39">
        <v>2113212</v>
      </c>
      <c r="K11" s="39">
        <v>2198798</v>
      </c>
      <c r="L11" s="39">
        <v>2413298</v>
      </c>
      <c r="M11" s="39">
        <v>2722864</v>
      </c>
      <c r="N11" s="39">
        <v>3248660</v>
      </c>
      <c r="O11" s="39">
        <v>3411895</v>
      </c>
      <c r="P11" s="39">
        <v>3677543</v>
      </c>
      <c r="Q11" s="39">
        <v>3804116</v>
      </c>
      <c r="R11" s="39">
        <v>3797642</v>
      </c>
      <c r="S11" s="39">
        <v>4028202</v>
      </c>
      <c r="T11" s="39">
        <v>4383188</v>
      </c>
      <c r="U11" s="39">
        <v>5501282</v>
      </c>
      <c r="V11" s="39">
        <v>5467303</v>
      </c>
      <c r="W11" s="39">
        <v>5080530</v>
      </c>
      <c r="X11" s="39">
        <v>5751357</v>
      </c>
      <c r="Y11" s="39">
        <v>5815863</v>
      </c>
      <c r="Z11" s="39">
        <v>5915742</v>
      </c>
      <c r="AA11" s="39">
        <v>6117176</v>
      </c>
      <c r="AB11" s="39">
        <v>6185785</v>
      </c>
      <c r="AC11" s="39">
        <v>4818811</v>
      </c>
      <c r="AE11" s="57"/>
      <c r="AF11" s="44"/>
    </row>
    <row r="12" spans="1:32">
      <c r="A12" s="33" t="s">
        <v>72</v>
      </c>
      <c r="B12" s="39">
        <v>9694</v>
      </c>
      <c r="C12" s="39">
        <v>409542</v>
      </c>
      <c r="D12" s="39">
        <v>452745</v>
      </c>
      <c r="E12" s="39">
        <v>618374</v>
      </c>
      <c r="F12" s="39">
        <v>864960</v>
      </c>
      <c r="G12" s="39">
        <v>1183265</v>
      </c>
      <c r="H12" s="39">
        <v>1630051</v>
      </c>
      <c r="I12" s="39">
        <v>1766433</v>
      </c>
      <c r="J12" s="39">
        <v>1823042</v>
      </c>
      <c r="K12" s="39">
        <v>1805162</v>
      </c>
      <c r="L12" s="39">
        <v>1941378</v>
      </c>
      <c r="M12" s="39">
        <v>2250242</v>
      </c>
      <c r="N12" s="39">
        <v>2760522</v>
      </c>
      <c r="O12" s="39">
        <v>2833783</v>
      </c>
      <c r="P12" s="39">
        <v>3117680</v>
      </c>
      <c r="Q12" s="39">
        <v>3212260</v>
      </c>
      <c r="R12" s="39">
        <v>3403282</v>
      </c>
      <c r="S12" s="39">
        <v>3599339</v>
      </c>
      <c r="T12" s="39">
        <v>3346804</v>
      </c>
      <c r="U12" s="39">
        <v>3815335</v>
      </c>
      <c r="V12" s="39">
        <v>3891588</v>
      </c>
      <c r="W12" s="39">
        <v>3605650</v>
      </c>
      <c r="X12" s="39">
        <v>3641880</v>
      </c>
      <c r="Y12" s="39">
        <v>3708732</v>
      </c>
      <c r="Z12" s="39">
        <v>3663007</v>
      </c>
      <c r="AA12" s="39">
        <v>3550124</v>
      </c>
      <c r="AB12" s="39">
        <v>3808379</v>
      </c>
      <c r="AC12" s="39">
        <v>3439726</v>
      </c>
      <c r="AE12" s="57"/>
      <c r="AF12" s="44"/>
    </row>
    <row r="13" spans="1:32">
      <c r="A13" s="33" t="s">
        <v>73</v>
      </c>
      <c r="B13" s="39">
        <v>-30481</v>
      </c>
      <c r="C13" s="39">
        <v>-17980</v>
      </c>
      <c r="D13" s="39">
        <v>-3285</v>
      </c>
      <c r="E13" s="39">
        <v>-3521</v>
      </c>
      <c r="F13" s="39">
        <v>58</v>
      </c>
      <c r="G13" s="39">
        <v>7146</v>
      </c>
      <c r="H13" s="39">
        <v>-6705</v>
      </c>
      <c r="I13" s="39">
        <v>-12991</v>
      </c>
      <c r="J13" s="39">
        <v>-1427</v>
      </c>
      <c r="K13" s="39">
        <v>16507</v>
      </c>
      <c r="L13" s="39">
        <v>29815</v>
      </c>
      <c r="M13" s="39">
        <v>-545</v>
      </c>
      <c r="N13" s="39">
        <v>155187</v>
      </c>
      <c r="O13" s="39">
        <v>397</v>
      </c>
      <c r="P13" s="39">
        <v>-35369</v>
      </c>
      <c r="Q13" s="39">
        <v>-25</v>
      </c>
      <c r="R13" s="39">
        <v>0</v>
      </c>
      <c r="S13" s="39">
        <v>0</v>
      </c>
      <c r="T13" s="39">
        <v>0</v>
      </c>
      <c r="U13" s="39">
        <v>0</v>
      </c>
      <c r="V13" s="39">
        <v>0</v>
      </c>
      <c r="W13" s="39">
        <v>29361</v>
      </c>
      <c r="X13" s="39">
        <v>0</v>
      </c>
      <c r="Y13" s="39">
        <v>0</v>
      </c>
      <c r="Z13" s="39">
        <v>0</v>
      </c>
      <c r="AA13" s="39">
        <v>0</v>
      </c>
      <c r="AB13" s="39">
        <v>0</v>
      </c>
      <c r="AC13" s="39">
        <v>0</v>
      </c>
      <c r="AE13" s="57"/>
      <c r="AF13" s="44"/>
    </row>
    <row r="14" spans="1:32">
      <c r="A14" s="33" t="s">
        <v>74</v>
      </c>
      <c r="B14" s="39">
        <v>-11366</v>
      </c>
      <c r="C14" s="39">
        <v>23377</v>
      </c>
      <c r="D14" s="39">
        <v>59271</v>
      </c>
      <c r="E14" s="39">
        <v>85255</v>
      </c>
      <c r="F14" s="39">
        <v>137237</v>
      </c>
      <c r="G14" s="39">
        <v>167253</v>
      </c>
      <c r="H14" s="39">
        <v>204385</v>
      </c>
      <c r="I14" s="39">
        <v>223336</v>
      </c>
      <c r="J14" s="39">
        <v>199149</v>
      </c>
      <c r="K14" s="39">
        <v>422588</v>
      </c>
      <c r="L14" s="39">
        <v>368715</v>
      </c>
      <c r="M14" s="39">
        <v>342993</v>
      </c>
      <c r="N14" s="39">
        <v>475749</v>
      </c>
      <c r="O14" s="39">
        <v>563840</v>
      </c>
      <c r="P14" s="39">
        <v>639236</v>
      </c>
      <c r="Q14" s="39">
        <v>599535</v>
      </c>
      <c r="R14" s="39">
        <v>387262</v>
      </c>
      <c r="S14" s="39">
        <v>753514</v>
      </c>
      <c r="T14" s="39">
        <v>1245900</v>
      </c>
      <c r="U14" s="39">
        <v>1719632</v>
      </c>
      <c r="V14" s="39">
        <v>1551590</v>
      </c>
      <c r="W14" s="39">
        <v>1651526</v>
      </c>
      <c r="X14" s="39">
        <v>2139375</v>
      </c>
      <c r="Y14" s="39">
        <v>2134706</v>
      </c>
      <c r="Z14" s="39">
        <v>2244903</v>
      </c>
      <c r="AA14" s="39">
        <v>2822343</v>
      </c>
      <c r="AB14" s="39">
        <v>2423188</v>
      </c>
      <c r="AC14" s="39">
        <v>1277324</v>
      </c>
      <c r="AE14" s="57"/>
      <c r="AF14" s="44"/>
    </row>
    <row r="15" spans="1:32">
      <c r="A15" s="33" t="s">
        <v>75</v>
      </c>
      <c r="B15" s="39">
        <v>0</v>
      </c>
      <c r="C15" s="39">
        <v>0</v>
      </c>
      <c r="D15" s="39">
        <v>0</v>
      </c>
      <c r="E15" s="39">
        <v>0</v>
      </c>
      <c r="F15" s="39">
        <v>0</v>
      </c>
      <c r="G15" s="39">
        <v>0</v>
      </c>
      <c r="H15" s="39">
        <v>0</v>
      </c>
      <c r="I15" s="39">
        <v>0</v>
      </c>
      <c r="J15" s="39">
        <v>0</v>
      </c>
      <c r="K15" s="39">
        <v>0</v>
      </c>
      <c r="L15" s="39">
        <v>0</v>
      </c>
      <c r="M15" s="39">
        <v>0</v>
      </c>
      <c r="N15" s="39">
        <v>0</v>
      </c>
      <c r="O15" s="39">
        <v>0</v>
      </c>
      <c r="P15" s="39">
        <v>147997</v>
      </c>
      <c r="Q15" s="39">
        <v>135899</v>
      </c>
      <c r="R15" s="39">
        <v>77855</v>
      </c>
      <c r="S15" s="39">
        <v>136476</v>
      </c>
      <c r="T15" s="39">
        <v>221101</v>
      </c>
      <c r="U15" s="39">
        <v>285136</v>
      </c>
      <c r="V15" s="39">
        <v>231949</v>
      </c>
      <c r="W15" s="39">
        <v>242938</v>
      </c>
      <c r="X15" s="39">
        <v>311655</v>
      </c>
      <c r="Y15" s="39">
        <v>295810</v>
      </c>
      <c r="Z15" s="39">
        <v>296941</v>
      </c>
      <c r="AA15" s="39">
        <v>382285</v>
      </c>
      <c r="AB15" s="39">
        <v>321604</v>
      </c>
      <c r="AC15" s="39">
        <v>164760</v>
      </c>
      <c r="AE15" s="57"/>
      <c r="AF15" s="44"/>
    </row>
    <row r="16" spans="1:32">
      <c r="A16" s="33" t="s">
        <v>76</v>
      </c>
      <c r="B16" s="39">
        <v>-11366</v>
      </c>
      <c r="C16" s="39">
        <v>23377</v>
      </c>
      <c r="D16" s="39">
        <v>59271</v>
      </c>
      <c r="E16" s="39">
        <v>85255</v>
      </c>
      <c r="F16" s="39">
        <v>137237</v>
      </c>
      <c r="G16" s="39">
        <v>167253</v>
      </c>
      <c r="H16" s="39">
        <v>204385</v>
      </c>
      <c r="I16" s="39">
        <v>223336</v>
      </c>
      <c r="J16" s="39">
        <v>199149</v>
      </c>
      <c r="K16" s="39">
        <v>422588</v>
      </c>
      <c r="L16" s="39">
        <v>368715</v>
      </c>
      <c r="M16" s="39">
        <v>342993</v>
      </c>
      <c r="N16" s="39">
        <v>475749</v>
      </c>
      <c r="O16" s="39">
        <v>563840</v>
      </c>
      <c r="P16" s="39">
        <v>491239</v>
      </c>
      <c r="Q16" s="39">
        <v>463636</v>
      </c>
      <c r="R16" s="39">
        <v>309407</v>
      </c>
      <c r="S16" s="39">
        <v>617038</v>
      </c>
      <c r="T16" s="39">
        <v>1024799</v>
      </c>
      <c r="U16" s="39">
        <v>1434496</v>
      </c>
      <c r="V16" s="39">
        <v>1319641</v>
      </c>
      <c r="W16" s="39">
        <v>1408588</v>
      </c>
      <c r="X16" s="39">
        <v>1827720</v>
      </c>
      <c r="Y16" s="39">
        <v>1838896</v>
      </c>
      <c r="Z16" s="39">
        <v>1947962</v>
      </c>
      <c r="AA16" s="39">
        <v>2440058</v>
      </c>
      <c r="AB16" s="39">
        <v>2101584</v>
      </c>
      <c r="AC16" s="39">
        <v>1112564</v>
      </c>
      <c r="AE16" s="57"/>
      <c r="AF16" s="44"/>
    </row>
    <row r="17" spans="1:32">
      <c r="A17" s="33" t="s">
        <v>77</v>
      </c>
      <c r="B17" s="39">
        <v>-11366</v>
      </c>
      <c r="C17" s="39">
        <v>23377</v>
      </c>
      <c r="D17" s="39">
        <v>57781</v>
      </c>
      <c r="E17" s="39">
        <v>72561</v>
      </c>
      <c r="F17" s="39">
        <v>107989</v>
      </c>
      <c r="G17" s="39">
        <v>133598</v>
      </c>
      <c r="H17" s="39">
        <v>167314</v>
      </c>
      <c r="I17" s="39">
        <v>186528</v>
      </c>
      <c r="J17" s="39">
        <v>147789</v>
      </c>
      <c r="K17" s="39">
        <v>358387</v>
      </c>
      <c r="L17" s="39">
        <v>313577</v>
      </c>
      <c r="M17" s="39">
        <v>300647</v>
      </c>
      <c r="N17" s="39">
        <v>401895</v>
      </c>
      <c r="O17" s="39">
        <v>486145</v>
      </c>
      <c r="P17" s="39">
        <v>436164</v>
      </c>
      <c r="Q17" s="39">
        <v>422517</v>
      </c>
      <c r="R17" s="39">
        <v>283098</v>
      </c>
      <c r="S17" s="39">
        <v>610424</v>
      </c>
      <c r="T17" s="39">
        <v>1021462</v>
      </c>
      <c r="U17" s="39">
        <v>1431159</v>
      </c>
      <c r="V17" s="39">
        <v>1316304</v>
      </c>
      <c r="W17" s="39">
        <v>1405251</v>
      </c>
      <c r="X17" s="39">
        <v>1824383</v>
      </c>
      <c r="Y17" s="39">
        <v>1835559</v>
      </c>
      <c r="Z17" s="39">
        <v>1944625</v>
      </c>
      <c r="AA17" s="39">
        <v>2436721</v>
      </c>
      <c r="AB17" s="39">
        <v>2098247</v>
      </c>
      <c r="AC17" s="39">
        <v>1109227</v>
      </c>
      <c r="AE17" s="57"/>
      <c r="AF17" s="44"/>
    </row>
    <row r="18" spans="1:32">
      <c r="A18" s="33" t="s">
        <v>78</v>
      </c>
      <c r="B18" s="37" t="s">
        <v>37</v>
      </c>
      <c r="C18" s="39">
        <v>98215</v>
      </c>
      <c r="D18" s="39">
        <v>197909</v>
      </c>
      <c r="E18" s="39">
        <v>281495</v>
      </c>
      <c r="F18" s="39">
        <v>415128</v>
      </c>
      <c r="G18" s="39">
        <v>544481</v>
      </c>
      <c r="H18" s="39">
        <v>704000</v>
      </c>
      <c r="I18" s="39">
        <v>781937</v>
      </c>
      <c r="J18" s="39">
        <v>786635</v>
      </c>
      <c r="K18" s="39">
        <v>936356</v>
      </c>
      <c r="L18" s="39">
        <v>1041105</v>
      </c>
      <c r="M18" s="39">
        <v>1181924</v>
      </c>
      <c r="N18" s="39">
        <v>1411368</v>
      </c>
      <c r="O18" s="39">
        <v>1537223</v>
      </c>
      <c r="P18" s="39">
        <v>1691887</v>
      </c>
      <c r="Q18" s="39">
        <v>1862851</v>
      </c>
      <c r="R18" s="39">
        <v>1812227</v>
      </c>
      <c r="S18" s="39">
        <v>1770491</v>
      </c>
      <c r="T18" s="39">
        <v>2438765</v>
      </c>
      <c r="U18" s="39">
        <v>2884915</v>
      </c>
      <c r="V18" s="39">
        <v>3205693</v>
      </c>
      <c r="W18" s="39">
        <v>3235298</v>
      </c>
      <c r="X18" s="39">
        <v>3571237</v>
      </c>
      <c r="Y18" s="39">
        <v>3792951</v>
      </c>
      <c r="Z18" s="39">
        <v>4020505</v>
      </c>
      <c r="AA18" s="39">
        <v>4324601</v>
      </c>
      <c r="AB18" s="39">
        <v>4272271</v>
      </c>
      <c r="AC18" s="39">
        <v>3236963</v>
      </c>
      <c r="AE18" s="57"/>
      <c r="AF18" s="44"/>
    </row>
    <row r="19" spans="1:32">
      <c r="A19" s="38" t="s">
        <v>109</v>
      </c>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row>
    <row r="20" spans="1:32">
      <c r="A20" s="44" t="s">
        <v>110</v>
      </c>
      <c r="B20" s="57">
        <v>405430</v>
      </c>
      <c r="C20" s="57">
        <v>456520</v>
      </c>
      <c r="D20" s="57">
        <v>1293582</v>
      </c>
      <c r="E20" s="57">
        <v>2976222</v>
      </c>
      <c r="F20" s="57">
        <v>3782314</v>
      </c>
      <c r="G20" s="57">
        <v>2168069</v>
      </c>
      <c r="H20" s="57">
        <v>1474527</v>
      </c>
      <c r="I20" s="57">
        <v>2454994</v>
      </c>
      <c r="J20" s="57">
        <v>2408685</v>
      </c>
      <c r="K20" s="57">
        <v>2536498</v>
      </c>
      <c r="L20" s="57">
        <v>5710886</v>
      </c>
      <c r="M20" s="57">
        <v>3962778</v>
      </c>
      <c r="N20" s="57">
        <v>5507735</v>
      </c>
      <c r="O20" s="57">
        <v>5577083</v>
      </c>
      <c r="P20" s="57">
        <v>4456975</v>
      </c>
      <c r="Q20" s="57">
        <v>3220706</v>
      </c>
      <c r="R20" s="57">
        <v>3858815</v>
      </c>
      <c r="S20" s="57">
        <v>1655203</v>
      </c>
      <c r="T20" s="57">
        <v>6772443</v>
      </c>
      <c r="U20" s="57">
        <v>2919364</v>
      </c>
      <c r="V20" s="57">
        <v>4630289</v>
      </c>
      <c r="W20" s="57">
        <v>10468667</v>
      </c>
      <c r="X20" s="57">
        <v>14866205</v>
      </c>
      <c r="Y20" s="57">
        <v>11668026</v>
      </c>
      <c r="Z20" s="57">
        <v>7973719</v>
      </c>
      <c r="AA20" s="57">
        <v>13312301</v>
      </c>
      <c r="AB20" s="57">
        <v>7954893</v>
      </c>
    </row>
    <row r="21" spans="1:32">
      <c r="A21" s="38" t="s">
        <v>111</v>
      </c>
      <c r="B21" s="168">
        <v>405430</v>
      </c>
      <c r="C21" s="168">
        <v>456520</v>
      </c>
      <c r="D21" s="168">
        <v>1293582</v>
      </c>
      <c r="E21" s="168">
        <v>2976222</v>
      </c>
      <c r="F21" s="168">
        <v>3782314</v>
      </c>
      <c r="G21" s="168">
        <v>2168069</v>
      </c>
      <c r="H21" s="168">
        <v>1474527</v>
      </c>
      <c r="I21" s="168">
        <v>2454994</v>
      </c>
      <c r="J21" s="168">
        <v>2408685</v>
      </c>
      <c r="K21" s="168">
        <v>2536498</v>
      </c>
      <c r="L21" s="168">
        <v>5710886</v>
      </c>
      <c r="M21" s="168">
        <v>3962778</v>
      </c>
      <c r="N21" s="168">
        <v>5507735</v>
      </c>
      <c r="O21" s="168">
        <v>5577083</v>
      </c>
      <c r="P21" s="168">
        <v>4456975</v>
      </c>
      <c r="Q21" s="168">
        <v>3220706</v>
      </c>
      <c r="R21" s="168">
        <v>3858815</v>
      </c>
      <c r="S21" s="168">
        <v>1655203</v>
      </c>
      <c r="T21" s="168">
        <v>6772443</v>
      </c>
      <c r="U21" s="168">
        <v>2919364</v>
      </c>
      <c r="V21" s="168">
        <v>4630289</v>
      </c>
      <c r="W21" s="168">
        <v>10468667</v>
      </c>
      <c r="X21" s="168">
        <v>14866205</v>
      </c>
      <c r="Y21" s="168">
        <v>11668026</v>
      </c>
      <c r="Z21" s="168">
        <v>7973719</v>
      </c>
      <c r="AA21" s="168">
        <v>13312301</v>
      </c>
      <c r="AB21" s="168">
        <v>7954893</v>
      </c>
    </row>
    <row r="22" spans="1:32">
      <c r="A22" s="44" t="s">
        <v>112</v>
      </c>
      <c r="B22" s="57">
        <v>-256081</v>
      </c>
      <c r="C22" s="57">
        <v>-531566</v>
      </c>
      <c r="D22" s="57">
        <v>-1267902</v>
      </c>
      <c r="E22" s="57">
        <v>-2030763</v>
      </c>
      <c r="F22" s="57">
        <v>-1867913</v>
      </c>
      <c r="G22" s="57">
        <v>-1593889</v>
      </c>
      <c r="H22" s="57">
        <v>-1426131</v>
      </c>
      <c r="I22" s="57">
        <v>-2347065</v>
      </c>
      <c r="J22" s="57">
        <v>-2103586</v>
      </c>
      <c r="K22" s="57">
        <v>-1926974</v>
      </c>
      <c r="L22" s="57">
        <v>-3221906</v>
      </c>
      <c r="M22" s="57">
        <v>-4197795</v>
      </c>
      <c r="N22" s="57">
        <v>-4442332</v>
      </c>
      <c r="O22" s="57">
        <v>-4177763</v>
      </c>
      <c r="P22" s="57">
        <v>-3692136</v>
      </c>
      <c r="Q22" s="57">
        <v>-2678639</v>
      </c>
      <c r="R22" s="57">
        <v>-6227814</v>
      </c>
      <c r="S22" s="57">
        <v>-1398697</v>
      </c>
      <c r="T22" s="57">
        <v>-4560562</v>
      </c>
      <c r="U22" s="57">
        <v>-2446191</v>
      </c>
      <c r="V22" s="57">
        <v>-5323186</v>
      </c>
      <c r="W22" s="57">
        <v>-9112020</v>
      </c>
      <c r="X22" s="57">
        <v>-14650168</v>
      </c>
      <c r="Y22" s="57">
        <v>-10585289</v>
      </c>
      <c r="Z22" s="57">
        <v>-9118685</v>
      </c>
      <c r="AA22" s="57">
        <v>-12527674</v>
      </c>
      <c r="AB22" s="57">
        <v>-4864992</v>
      </c>
    </row>
    <row r="23" spans="1:32">
      <c r="A23" s="38" t="s">
        <v>113</v>
      </c>
      <c r="B23" s="168">
        <v>-256081</v>
      </c>
      <c r="C23" s="168">
        <v>-531566</v>
      </c>
      <c r="D23" s="168">
        <v>-1267902</v>
      </c>
      <c r="E23" s="168">
        <v>-2030763</v>
      </c>
      <c r="F23" s="168">
        <v>-1867913</v>
      </c>
      <c r="G23" s="168">
        <v>-1593889</v>
      </c>
      <c r="H23" s="168">
        <v>-1426131</v>
      </c>
      <c r="I23" s="168">
        <v>-2347065</v>
      </c>
      <c r="J23" s="168">
        <v>-2103586</v>
      </c>
      <c r="K23" s="168">
        <v>-1926974</v>
      </c>
      <c r="L23" s="168">
        <v>-3221906</v>
      </c>
      <c r="M23" s="168">
        <v>-4197795</v>
      </c>
      <c r="N23" s="168">
        <v>-4442332</v>
      </c>
      <c r="O23" s="168">
        <v>-4177763</v>
      </c>
      <c r="P23" s="168">
        <v>-3692136</v>
      </c>
      <c r="Q23" s="168">
        <v>-2678639</v>
      </c>
      <c r="R23" s="168">
        <v>-6227814</v>
      </c>
      <c r="S23" s="168">
        <v>-1398697</v>
      </c>
      <c r="T23" s="168">
        <v>-4560562</v>
      </c>
      <c r="U23" s="168">
        <v>-2446191</v>
      </c>
      <c r="V23" s="168">
        <v>-5323186</v>
      </c>
      <c r="W23" s="168">
        <v>-9112020</v>
      </c>
      <c r="X23" s="168">
        <v>-14650168</v>
      </c>
      <c r="Y23" s="168">
        <v>-10585289</v>
      </c>
      <c r="Z23" s="168">
        <v>-9118685</v>
      </c>
      <c r="AA23" s="168">
        <v>-12527674</v>
      </c>
      <c r="AB23" s="168">
        <v>-4864992</v>
      </c>
    </row>
    <row r="24" spans="1:32">
      <c r="A24" s="44" t="s">
        <v>114</v>
      </c>
      <c r="B24" s="57">
        <v>106773</v>
      </c>
      <c r="C24" s="57">
        <v>242377</v>
      </c>
      <c r="D24" s="57">
        <v>201704</v>
      </c>
      <c r="E24" s="57">
        <v>344438</v>
      </c>
      <c r="F24" s="57">
        <v>114570</v>
      </c>
      <c r="G24" s="57">
        <v>2069</v>
      </c>
      <c r="H24" s="57">
        <v>1208</v>
      </c>
      <c r="I24" s="57">
        <v>8085</v>
      </c>
      <c r="J24" s="57">
        <v>341445</v>
      </c>
      <c r="K24" s="57">
        <v>99725</v>
      </c>
      <c r="L24" s="57">
        <v>5756</v>
      </c>
      <c r="M24" s="57">
        <v>13811</v>
      </c>
      <c r="N24" s="57">
        <v>217237</v>
      </c>
      <c r="O24" s="57">
        <v>156710</v>
      </c>
      <c r="P24" s="57">
        <v>11106</v>
      </c>
      <c r="Q24" s="57">
        <v>1642228</v>
      </c>
      <c r="R24" s="57">
        <v>4166</v>
      </c>
      <c r="S24" s="57">
        <v>5313</v>
      </c>
      <c r="T24" s="57">
        <v>1213840</v>
      </c>
      <c r="U24" s="57">
        <v>99</v>
      </c>
      <c r="V24" s="57">
        <v>277</v>
      </c>
      <c r="W24" s="47" t="s">
        <v>37</v>
      </c>
      <c r="X24" s="47" t="s">
        <v>37</v>
      </c>
      <c r="Y24" s="47" t="s">
        <v>37</v>
      </c>
      <c r="Z24" s="47" t="s">
        <v>37</v>
      </c>
      <c r="AA24" s="47" t="s">
        <v>37</v>
      </c>
      <c r="AB24" s="47" t="s">
        <v>37</v>
      </c>
    </row>
    <row r="25" spans="1:32">
      <c r="A25" s="44" t="s">
        <v>115</v>
      </c>
      <c r="B25" s="47" t="s">
        <v>37</v>
      </c>
      <c r="C25" s="47" t="s">
        <v>37</v>
      </c>
      <c r="D25" s="47" t="s">
        <v>37</v>
      </c>
      <c r="E25" s="47" t="s">
        <v>37</v>
      </c>
      <c r="F25" s="47" t="s">
        <v>37</v>
      </c>
      <c r="G25" s="47" t="s">
        <v>37</v>
      </c>
      <c r="H25" s="57">
        <v>-50972</v>
      </c>
      <c r="I25" s="47" t="s">
        <v>37</v>
      </c>
      <c r="J25" s="47" t="s">
        <v>37</v>
      </c>
      <c r="K25" s="57">
        <v>-93954</v>
      </c>
      <c r="L25" s="57">
        <v>-40195</v>
      </c>
      <c r="M25" s="47" t="s">
        <v>37</v>
      </c>
      <c r="N25" s="47" t="s">
        <v>37</v>
      </c>
      <c r="O25" s="47" t="s">
        <v>37</v>
      </c>
      <c r="P25" s="47" t="s">
        <v>37</v>
      </c>
      <c r="Q25" s="47" t="s">
        <v>37</v>
      </c>
      <c r="R25" s="47" t="s">
        <v>37</v>
      </c>
      <c r="S25" s="47" t="s">
        <v>37</v>
      </c>
      <c r="T25" s="47" t="s">
        <v>37</v>
      </c>
      <c r="U25" s="47" t="s">
        <v>37</v>
      </c>
      <c r="V25" s="47" t="s">
        <v>37</v>
      </c>
      <c r="W25" s="57">
        <v>-346308</v>
      </c>
      <c r="X25" s="57">
        <v>-259566</v>
      </c>
      <c r="Y25" s="57">
        <v>-409791</v>
      </c>
      <c r="Z25" s="57">
        <v>-357019</v>
      </c>
      <c r="AA25" s="57">
        <v>-362728</v>
      </c>
      <c r="AB25" s="57">
        <v>-153443</v>
      </c>
    </row>
    <row r="26" spans="1:32">
      <c r="A26" s="44" t="s">
        <v>116</v>
      </c>
      <c r="B26" s="47" t="s">
        <v>37</v>
      </c>
      <c r="C26" s="47" t="s">
        <v>37</v>
      </c>
      <c r="D26" s="47" t="s">
        <v>37</v>
      </c>
      <c r="E26" s="47" t="s">
        <v>37</v>
      </c>
      <c r="F26" s="47" t="s">
        <v>37</v>
      </c>
      <c r="G26" s="47" t="s">
        <v>37</v>
      </c>
      <c r="H26" s="47" t="s">
        <v>37</v>
      </c>
      <c r="I26" s="47" t="s">
        <v>37</v>
      </c>
      <c r="J26" s="47" t="s">
        <v>37</v>
      </c>
      <c r="K26" s="47" t="s">
        <v>37</v>
      </c>
      <c r="L26" s="57">
        <v>-59681</v>
      </c>
      <c r="M26" s="57">
        <v>-579</v>
      </c>
      <c r="N26" s="57">
        <v>-393558</v>
      </c>
      <c r="O26" s="57">
        <v>-300468</v>
      </c>
      <c r="P26" s="57">
        <v>-1845</v>
      </c>
      <c r="Q26" s="57">
        <v>-87689</v>
      </c>
      <c r="R26" s="57">
        <v>-10994</v>
      </c>
      <c r="S26" s="47" t="s">
        <v>37</v>
      </c>
      <c r="T26" s="47" t="s">
        <v>37</v>
      </c>
      <c r="U26" s="47" t="s">
        <v>37</v>
      </c>
      <c r="V26" s="47" t="s">
        <v>37</v>
      </c>
      <c r="W26" s="47" t="s">
        <v>37</v>
      </c>
      <c r="X26" s="57">
        <v>-328</v>
      </c>
      <c r="Y26" s="57">
        <v>-328</v>
      </c>
      <c r="Z26" s="57">
        <v>-329</v>
      </c>
      <c r="AA26" s="57">
        <v>-328</v>
      </c>
      <c r="AB26" s="47" t="s">
        <v>37</v>
      </c>
    </row>
    <row r="27" spans="1:32">
      <c r="A27" s="44" t="s">
        <v>117</v>
      </c>
      <c r="B27" s="47" t="s">
        <v>37</v>
      </c>
      <c r="C27" s="47" t="s">
        <v>37</v>
      </c>
      <c r="D27" s="47" t="s">
        <v>37</v>
      </c>
      <c r="E27" s="47" t="s">
        <v>37</v>
      </c>
      <c r="F27" s="47" t="s">
        <v>37</v>
      </c>
      <c r="G27" s="47" t="s">
        <v>37</v>
      </c>
      <c r="H27" s="47" t="s">
        <v>37</v>
      </c>
      <c r="I27" s="47" t="s">
        <v>37</v>
      </c>
      <c r="J27" s="47" t="s">
        <v>37</v>
      </c>
      <c r="K27" s="47" t="s">
        <v>37</v>
      </c>
      <c r="L27" s="47" t="s">
        <v>37</v>
      </c>
      <c r="M27" s="47" t="s">
        <v>37</v>
      </c>
      <c r="N27" s="47" t="s">
        <v>37</v>
      </c>
      <c r="O27" s="57">
        <v>-804271</v>
      </c>
      <c r="P27" s="57">
        <v>-852446</v>
      </c>
      <c r="Q27" s="47" t="s">
        <v>37</v>
      </c>
      <c r="R27" s="57">
        <v>-763881</v>
      </c>
      <c r="S27" s="57">
        <v>-971844.34299999999</v>
      </c>
      <c r="T27" s="57">
        <v>-1244553</v>
      </c>
      <c r="U27" s="57">
        <v>-1446042</v>
      </c>
      <c r="V27" s="57">
        <v>-1603603</v>
      </c>
      <c r="W27" s="57">
        <v>-1879182</v>
      </c>
      <c r="X27" s="57">
        <v>-2037542</v>
      </c>
      <c r="Y27" s="47" t="s">
        <v>37</v>
      </c>
      <c r="Z27" s="47" t="s">
        <v>37</v>
      </c>
      <c r="AA27" s="47" t="s">
        <v>37</v>
      </c>
      <c r="AB27" s="57">
        <v>-646094</v>
      </c>
    </row>
    <row r="28" spans="1:32">
      <c r="A28" s="44" t="s">
        <v>118</v>
      </c>
      <c r="B28" s="47" t="s">
        <v>37</v>
      </c>
      <c r="C28" s="47" t="s">
        <v>37</v>
      </c>
      <c r="D28" s="47" t="s">
        <v>37</v>
      </c>
      <c r="E28" s="47" t="s">
        <v>37</v>
      </c>
      <c r="F28" s="47" t="s">
        <v>37</v>
      </c>
      <c r="G28" s="47" t="s">
        <v>37</v>
      </c>
      <c r="H28" s="47" t="s">
        <v>37</v>
      </c>
      <c r="I28" s="57">
        <v>-428968</v>
      </c>
      <c r="J28" s="57">
        <v>-457085</v>
      </c>
      <c r="K28" s="57">
        <v>-507569</v>
      </c>
      <c r="L28" s="57">
        <v>-572669</v>
      </c>
      <c r="M28" s="47" t="s">
        <v>37</v>
      </c>
      <c r="N28" s="57">
        <v>-749507</v>
      </c>
      <c r="O28" s="47" t="s">
        <v>37</v>
      </c>
      <c r="P28" s="47" t="s">
        <v>37</v>
      </c>
      <c r="Q28" s="47" t="s">
        <v>37</v>
      </c>
      <c r="R28" s="47" t="s">
        <v>37</v>
      </c>
      <c r="S28" s="47" t="s">
        <v>37</v>
      </c>
      <c r="T28" s="47" t="s">
        <v>37</v>
      </c>
      <c r="U28" s="47" t="s">
        <v>37</v>
      </c>
      <c r="V28" s="47" t="s">
        <v>37</v>
      </c>
      <c r="W28" s="47" t="s">
        <v>37</v>
      </c>
      <c r="X28" s="47" t="s">
        <v>37</v>
      </c>
      <c r="Y28" s="47" t="s">
        <v>37</v>
      </c>
      <c r="Z28" s="47" t="s">
        <v>37</v>
      </c>
      <c r="AA28" s="47" t="s">
        <v>37</v>
      </c>
      <c r="AB28" s="47" t="s">
        <v>37</v>
      </c>
    </row>
    <row r="29" spans="1:32">
      <c r="A29" s="44" t="s">
        <v>119</v>
      </c>
      <c r="B29" s="57">
        <v>-67279</v>
      </c>
      <c r="C29" s="57">
        <v>-104785</v>
      </c>
      <c r="D29" s="57">
        <v>-166640</v>
      </c>
      <c r="E29" s="57">
        <v>-227949</v>
      </c>
      <c r="F29" s="57">
        <v>-272797</v>
      </c>
      <c r="G29" s="57">
        <v>-385878</v>
      </c>
      <c r="H29" s="57">
        <v>-369979</v>
      </c>
      <c r="I29" s="47" t="s">
        <v>37</v>
      </c>
      <c r="J29" s="47" t="s">
        <v>37</v>
      </c>
      <c r="K29" s="47" t="s">
        <v>37</v>
      </c>
      <c r="L29" s="47" t="s">
        <v>37</v>
      </c>
      <c r="M29" s="57">
        <v>-690654</v>
      </c>
      <c r="N29" s="47" t="s">
        <v>37</v>
      </c>
      <c r="O29" s="47" t="s">
        <v>37</v>
      </c>
      <c r="P29" s="47" t="s">
        <v>37</v>
      </c>
      <c r="Q29" s="57">
        <v>-148507</v>
      </c>
      <c r="R29" s="47" t="s">
        <v>37</v>
      </c>
      <c r="S29" s="47" t="s">
        <v>37</v>
      </c>
      <c r="T29" s="47" t="s">
        <v>37</v>
      </c>
      <c r="U29" s="47" t="s">
        <v>37</v>
      </c>
      <c r="V29" s="47" t="s">
        <v>37</v>
      </c>
      <c r="W29" s="47" t="s">
        <v>37</v>
      </c>
      <c r="X29" s="47" t="s">
        <v>37</v>
      </c>
      <c r="Y29" s="57">
        <v>-2231259</v>
      </c>
      <c r="Z29" s="57">
        <v>-2449071</v>
      </c>
      <c r="AA29" s="57">
        <v>-2558944</v>
      </c>
      <c r="AB29" s="47" t="s">
        <v>37</v>
      </c>
    </row>
    <row r="30" spans="1:32">
      <c r="A30" s="38" t="s">
        <v>120</v>
      </c>
      <c r="B30" s="168">
        <v>-67279</v>
      </c>
      <c r="C30" s="168">
        <v>-104785</v>
      </c>
      <c r="D30" s="168">
        <v>-166640</v>
      </c>
      <c r="E30" s="168">
        <v>-227949</v>
      </c>
      <c r="F30" s="168">
        <v>-272797</v>
      </c>
      <c r="G30" s="168">
        <v>-385878</v>
      </c>
      <c r="H30" s="168">
        <v>-369979</v>
      </c>
      <c r="I30" s="168">
        <v>-428968</v>
      </c>
      <c r="J30" s="168">
        <v>-457085</v>
      </c>
      <c r="K30" s="168">
        <v>-507569</v>
      </c>
      <c r="L30" s="168">
        <v>-572669</v>
      </c>
      <c r="M30" s="168">
        <v>-690654</v>
      </c>
      <c r="N30" s="168">
        <v>-749507</v>
      </c>
      <c r="O30" s="168">
        <v>-804271</v>
      </c>
      <c r="P30" s="168">
        <v>-852446</v>
      </c>
      <c r="Q30" s="168">
        <v>-148507</v>
      </c>
      <c r="R30" s="168">
        <v>-763881</v>
      </c>
      <c r="S30" s="168">
        <v>-971844.34299999999</v>
      </c>
      <c r="T30" s="168">
        <v>-1244553</v>
      </c>
      <c r="U30" s="168">
        <v>-1446042</v>
      </c>
      <c r="V30" s="168">
        <v>-1603603</v>
      </c>
      <c r="W30" s="168">
        <v>-1879182</v>
      </c>
      <c r="X30" s="168">
        <v>-2037542</v>
      </c>
      <c r="Y30" s="168">
        <v>-2231259</v>
      </c>
      <c r="Z30" s="168">
        <v>-2449071</v>
      </c>
      <c r="AA30" s="168">
        <v>-2558944</v>
      </c>
      <c r="AB30" s="168">
        <v>-646094</v>
      </c>
    </row>
    <row r="31" spans="1:32">
      <c r="A31" s="44" t="s">
        <v>121</v>
      </c>
      <c r="B31" s="47" t="s">
        <v>37</v>
      </c>
      <c r="C31" s="47" t="s">
        <v>37</v>
      </c>
      <c r="D31" s="47" t="s">
        <v>37</v>
      </c>
      <c r="E31" s="47" t="s">
        <v>37</v>
      </c>
      <c r="F31" s="47" t="s">
        <v>37</v>
      </c>
      <c r="G31" s="47" t="s">
        <v>37</v>
      </c>
      <c r="H31" s="47" t="s">
        <v>37</v>
      </c>
      <c r="I31" s="47" t="s">
        <v>37</v>
      </c>
      <c r="J31" s="47" t="s">
        <v>37</v>
      </c>
      <c r="K31" s="47" t="s">
        <v>37</v>
      </c>
      <c r="L31" s="47" t="s">
        <v>37</v>
      </c>
      <c r="M31" s="47" t="s">
        <v>37</v>
      </c>
      <c r="N31" s="47" t="s">
        <v>37</v>
      </c>
      <c r="O31" s="47" t="s">
        <v>37</v>
      </c>
      <c r="P31" s="47" t="s">
        <v>37</v>
      </c>
      <c r="Q31" s="47" t="s">
        <v>37</v>
      </c>
      <c r="R31" s="47" t="s">
        <v>37</v>
      </c>
      <c r="S31" s="57">
        <v>-58899.656999999999</v>
      </c>
      <c r="T31" s="47" t="s">
        <v>37</v>
      </c>
      <c r="U31" s="47" t="s">
        <v>37</v>
      </c>
      <c r="V31" s="47" t="s">
        <v>37</v>
      </c>
      <c r="W31" s="47" t="s">
        <v>37</v>
      </c>
      <c r="X31" s="47" t="s">
        <v>37</v>
      </c>
      <c r="Y31" s="47" t="s">
        <v>37</v>
      </c>
      <c r="Z31" s="47" t="s">
        <v>37</v>
      </c>
      <c r="AA31" s="47" t="s">
        <v>37</v>
      </c>
      <c r="AB31" s="47" t="s">
        <v>37</v>
      </c>
    </row>
    <row r="32" spans="1:32">
      <c r="A32" s="44" t="s">
        <v>122</v>
      </c>
      <c r="B32" s="57">
        <v>-55580</v>
      </c>
      <c r="C32" s="57">
        <v>-76621</v>
      </c>
      <c r="D32" s="57">
        <v>-95878</v>
      </c>
      <c r="E32" s="57">
        <v>-143661</v>
      </c>
      <c r="F32" s="57">
        <v>-164061</v>
      </c>
      <c r="G32" s="57">
        <v>-176114</v>
      </c>
      <c r="H32" s="57">
        <v>-172456</v>
      </c>
      <c r="I32" s="57">
        <v>-158149</v>
      </c>
      <c r="J32" s="57">
        <v>-149350</v>
      </c>
      <c r="K32" s="57">
        <v>-159536</v>
      </c>
      <c r="L32" s="57">
        <v>-172565</v>
      </c>
      <c r="M32" s="57">
        <v>-388534</v>
      </c>
      <c r="N32" s="57">
        <v>-255979</v>
      </c>
      <c r="O32" s="57">
        <v>-388525</v>
      </c>
      <c r="P32" s="57">
        <v>-263704</v>
      </c>
      <c r="Q32" s="57">
        <v>-65454</v>
      </c>
      <c r="R32" s="57">
        <v>-529807</v>
      </c>
      <c r="S32" s="57">
        <v>-240988</v>
      </c>
      <c r="T32" s="57">
        <v>-727701</v>
      </c>
      <c r="U32" s="57">
        <v>-247793</v>
      </c>
      <c r="V32" s="57">
        <v>-641512</v>
      </c>
      <c r="W32" s="57">
        <v>-604270</v>
      </c>
      <c r="X32" s="57">
        <v>-463344</v>
      </c>
      <c r="Y32" s="57">
        <v>-351430</v>
      </c>
      <c r="Z32" s="57">
        <v>-530879</v>
      </c>
      <c r="AA32" s="57">
        <v>-438713</v>
      </c>
      <c r="AB32" s="57">
        <v>-119391</v>
      </c>
    </row>
    <row r="33" spans="1:32">
      <c r="A33" s="38" t="s">
        <v>123</v>
      </c>
      <c r="B33" s="168">
        <v>133263</v>
      </c>
      <c r="C33" s="168">
        <v>-14075</v>
      </c>
      <c r="D33" s="168">
        <v>-35134</v>
      </c>
      <c r="E33" s="168">
        <v>918287</v>
      </c>
      <c r="F33" s="168">
        <v>1592113</v>
      </c>
      <c r="G33" s="168">
        <v>14257</v>
      </c>
      <c r="H33" s="168">
        <v>-543803</v>
      </c>
      <c r="I33" s="168">
        <v>-471103</v>
      </c>
      <c r="J33" s="168">
        <v>40109</v>
      </c>
      <c r="K33" s="168">
        <v>-51810</v>
      </c>
      <c r="L33" s="168">
        <v>1649626</v>
      </c>
      <c r="M33" s="168">
        <v>-1300973</v>
      </c>
      <c r="N33" s="168">
        <v>-116404</v>
      </c>
      <c r="O33" s="168">
        <v>62766</v>
      </c>
      <c r="P33" s="168">
        <v>-342050</v>
      </c>
      <c r="Q33" s="168">
        <v>1882645</v>
      </c>
      <c r="R33" s="168">
        <v>-3669515</v>
      </c>
      <c r="S33" s="168">
        <v>-1009913</v>
      </c>
      <c r="T33" s="168">
        <v>1453467</v>
      </c>
      <c r="U33" s="168">
        <v>-1220563</v>
      </c>
      <c r="V33" s="168">
        <v>-2937735</v>
      </c>
      <c r="W33" s="168">
        <v>-1473113</v>
      </c>
      <c r="X33" s="168">
        <v>-2544743</v>
      </c>
      <c r="Y33" s="168">
        <v>-1910071</v>
      </c>
      <c r="Z33" s="168">
        <v>-4482264</v>
      </c>
      <c r="AA33" s="168">
        <v>-2576086</v>
      </c>
      <c r="AB33" s="168">
        <v>2170973</v>
      </c>
    </row>
    <row r="34" spans="1:32">
      <c r="A34" s="38" t="s">
        <v>167</v>
      </c>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E34" s="47"/>
      <c r="AF34" s="38"/>
    </row>
    <row r="35" spans="1:32">
      <c r="A35" s="194" t="s">
        <v>447</v>
      </c>
      <c r="B35" s="39">
        <v>40950000</v>
      </c>
      <c r="C35" s="39">
        <v>48412445</v>
      </c>
      <c r="D35" s="39">
        <v>58360195</v>
      </c>
      <c r="E35" s="39">
        <v>96880415</v>
      </c>
      <c r="F35" s="39">
        <v>109643001</v>
      </c>
      <c r="G35" s="39">
        <v>166775031</v>
      </c>
      <c r="H35" s="39">
        <v>173165255</v>
      </c>
      <c r="I35" s="39">
        <v>171945760</v>
      </c>
      <c r="J35" s="39">
        <v>173806306</v>
      </c>
      <c r="K35" s="39">
        <v>185543540</v>
      </c>
      <c r="L35" s="39">
        <v>201981997</v>
      </c>
      <c r="M35" s="39">
        <v>220306495</v>
      </c>
      <c r="N35" s="39">
        <v>220361581</v>
      </c>
      <c r="O35" s="39">
        <v>221431071</v>
      </c>
      <c r="P35" s="39">
        <v>223034282</v>
      </c>
      <c r="Q35" s="39">
        <v>231319644</v>
      </c>
      <c r="R35" s="39">
        <v>285748271</v>
      </c>
      <c r="S35" s="39">
        <v>292961909</v>
      </c>
      <c r="T35" s="39">
        <v>293856250</v>
      </c>
      <c r="U35" s="39">
        <v>309903824</v>
      </c>
      <c r="V35" s="39">
        <v>310608565</v>
      </c>
      <c r="W35" s="39">
        <v>310787910</v>
      </c>
      <c r="X35" s="39">
        <v>309420569</v>
      </c>
      <c r="Y35" s="39">
        <v>313074574</v>
      </c>
      <c r="Z35" s="39">
        <v>311166854</v>
      </c>
      <c r="AA35" s="39">
        <v>309017468</v>
      </c>
      <c r="AB35" s="39">
        <v>306868960</v>
      </c>
      <c r="AC35" s="39">
        <v>328501416</v>
      </c>
      <c r="AD35" s="39"/>
      <c r="AE35" s="57"/>
      <c r="AF35" s="44"/>
    </row>
    <row r="36" spans="1:32">
      <c r="A36" s="33" t="s">
        <v>169</v>
      </c>
      <c r="B36" s="40">
        <v>22.63</v>
      </c>
      <c r="C36" s="40">
        <v>24.25</v>
      </c>
      <c r="D36" s="40">
        <v>24.38</v>
      </c>
      <c r="E36" s="40">
        <v>31</v>
      </c>
      <c r="F36" s="40">
        <v>32.69</v>
      </c>
      <c r="G36" s="40">
        <v>28.5</v>
      </c>
      <c r="H36" s="40">
        <v>22.94</v>
      </c>
      <c r="I36" s="40">
        <v>24</v>
      </c>
      <c r="J36" s="40">
        <v>29.33</v>
      </c>
      <c r="K36" s="40">
        <v>34.07</v>
      </c>
      <c r="L36" s="40">
        <v>46.34</v>
      </c>
      <c r="M36" s="40">
        <v>64.67</v>
      </c>
      <c r="N36" s="40">
        <v>76.63</v>
      </c>
      <c r="O36" s="40">
        <v>101.29</v>
      </c>
      <c r="P36" s="40">
        <v>86.86</v>
      </c>
      <c r="Q36" s="40">
        <v>53.13</v>
      </c>
      <c r="R36" s="40">
        <v>79.8</v>
      </c>
      <c r="S36" s="40">
        <v>99.49</v>
      </c>
      <c r="T36" s="40">
        <v>128.94</v>
      </c>
      <c r="U36" s="40">
        <v>158.09</v>
      </c>
      <c r="V36" s="40">
        <v>152.16</v>
      </c>
      <c r="W36" s="40">
        <v>182.11</v>
      </c>
      <c r="X36" s="40">
        <v>194.44</v>
      </c>
      <c r="Y36" s="40">
        <v>177.67</v>
      </c>
      <c r="Z36" s="40">
        <v>171.74</v>
      </c>
      <c r="AA36" s="40">
        <v>167.99</v>
      </c>
      <c r="AB36" s="40">
        <v>148.96</v>
      </c>
      <c r="AC36" s="40">
        <v>85.28</v>
      </c>
      <c r="AD36" s="40">
        <v>120</v>
      </c>
      <c r="AE36" s="128"/>
      <c r="AF36" s="44"/>
    </row>
    <row r="37" spans="1:32">
      <c r="A37" s="33" t="s">
        <v>170</v>
      </c>
      <c r="B37" s="37" t="s">
        <v>37</v>
      </c>
      <c r="C37" s="40">
        <v>0.71</v>
      </c>
      <c r="D37" s="40">
        <v>1.08</v>
      </c>
      <c r="E37" s="40">
        <v>1.01</v>
      </c>
      <c r="F37" s="40">
        <v>1.08</v>
      </c>
      <c r="G37" s="40">
        <v>1.02</v>
      </c>
      <c r="H37" s="40">
        <v>1</v>
      </c>
      <c r="I37" s="40">
        <v>1.1299999999999999</v>
      </c>
      <c r="J37" s="40">
        <v>0.87</v>
      </c>
      <c r="K37" s="40">
        <v>1.92</v>
      </c>
      <c r="L37" s="40">
        <v>1.53</v>
      </c>
      <c r="M37" s="40">
        <v>1.45</v>
      </c>
      <c r="N37" s="40">
        <v>1.27</v>
      </c>
      <c r="O37" s="40">
        <v>2.2000000000000002</v>
      </c>
      <c r="P37" s="40">
        <v>2.09</v>
      </c>
      <c r="Q37" s="40">
        <v>1.88</v>
      </c>
      <c r="R37" s="40">
        <v>1.06</v>
      </c>
      <c r="S37" s="40">
        <v>2.1</v>
      </c>
      <c r="T37" s="40">
        <v>3.48</v>
      </c>
      <c r="U37" s="40">
        <v>4.72</v>
      </c>
      <c r="V37" s="40">
        <v>4.24</v>
      </c>
      <c r="W37" s="40">
        <v>4.4400000000000004</v>
      </c>
      <c r="X37" s="40">
        <v>5.88</v>
      </c>
      <c r="Y37" s="40">
        <v>5.87</v>
      </c>
      <c r="Z37" s="40">
        <v>6.24</v>
      </c>
      <c r="AA37" s="40">
        <v>7.87</v>
      </c>
      <c r="AB37" s="40">
        <v>6.81</v>
      </c>
      <c r="AC37" s="40">
        <v>3.59</v>
      </c>
      <c r="AE37" s="128"/>
      <c r="AF37" s="44"/>
    </row>
    <row r="38" spans="1:32">
      <c r="A38" s="33" t="s">
        <v>171</v>
      </c>
      <c r="B38" s="37" t="s">
        <v>37</v>
      </c>
      <c r="C38" s="40">
        <v>0.71</v>
      </c>
      <c r="D38" s="40">
        <v>1.08</v>
      </c>
      <c r="E38" s="40">
        <v>1.01</v>
      </c>
      <c r="F38" s="40">
        <v>1.08</v>
      </c>
      <c r="G38" s="40">
        <v>1.02</v>
      </c>
      <c r="H38" s="40">
        <v>1</v>
      </c>
      <c r="I38" s="40">
        <v>1.1299999999999999</v>
      </c>
      <c r="J38" s="40">
        <v>0.86</v>
      </c>
      <c r="K38" s="40">
        <v>1.92</v>
      </c>
      <c r="L38" s="40">
        <v>1.53</v>
      </c>
      <c r="M38" s="40">
        <v>1.44</v>
      </c>
      <c r="N38" s="40">
        <v>1.27</v>
      </c>
      <c r="O38" s="40">
        <v>2.19</v>
      </c>
      <c r="P38" s="40">
        <v>2.08</v>
      </c>
      <c r="Q38" s="40">
        <v>1.87</v>
      </c>
      <c r="R38" s="40">
        <v>1.05</v>
      </c>
      <c r="S38" s="40">
        <v>2.1</v>
      </c>
      <c r="T38" s="40">
        <v>3.48</v>
      </c>
      <c r="U38" s="40">
        <v>4.72</v>
      </c>
      <c r="V38" s="40">
        <v>4.24</v>
      </c>
      <c r="W38" s="40">
        <v>4.4400000000000004</v>
      </c>
      <c r="X38" s="40">
        <v>5.88</v>
      </c>
      <c r="Y38" s="40">
        <v>5.87</v>
      </c>
      <c r="Z38" s="40">
        <v>6.24</v>
      </c>
      <c r="AA38" s="40">
        <v>7.87</v>
      </c>
      <c r="AB38" s="40">
        <v>6.81</v>
      </c>
      <c r="AC38" s="40">
        <v>3.59</v>
      </c>
      <c r="AE38" s="128"/>
      <c r="AF38" s="44"/>
    </row>
    <row r="39" spans="1:32">
      <c r="A39" s="33" t="s">
        <v>172</v>
      </c>
      <c r="B39" s="37" t="s">
        <v>37</v>
      </c>
      <c r="C39" s="40">
        <v>2.09</v>
      </c>
      <c r="D39" s="40">
        <v>2.14</v>
      </c>
      <c r="E39" s="40">
        <v>2.34</v>
      </c>
      <c r="F39" s="40">
        <v>2.58</v>
      </c>
      <c r="G39" s="40">
        <v>2.83</v>
      </c>
      <c r="H39" s="40">
        <v>2.96</v>
      </c>
      <c r="I39" s="40">
        <v>3.23</v>
      </c>
      <c r="J39" s="40">
        <v>3.45</v>
      </c>
      <c r="K39" s="40">
        <v>3.76</v>
      </c>
      <c r="L39" s="40">
        <v>4.04</v>
      </c>
      <c r="M39" s="40">
        <v>4.46</v>
      </c>
      <c r="N39" s="40">
        <v>4.96</v>
      </c>
      <c r="O39" s="40">
        <v>5.39</v>
      </c>
      <c r="P39" s="40">
        <v>5.9</v>
      </c>
      <c r="Q39" s="40">
        <v>6.45</v>
      </c>
      <c r="R39" s="40">
        <v>5.5</v>
      </c>
      <c r="S39" s="40">
        <v>5.03</v>
      </c>
      <c r="T39" s="40">
        <v>6.89</v>
      </c>
      <c r="U39" s="40">
        <v>7.98</v>
      </c>
      <c r="V39" s="40">
        <v>8.85</v>
      </c>
      <c r="W39" s="40">
        <v>8.9</v>
      </c>
      <c r="X39" s="40">
        <v>9.86</v>
      </c>
      <c r="Y39" s="40">
        <v>10.49</v>
      </c>
      <c r="Z39" s="40">
        <v>11.21</v>
      </c>
      <c r="AA39" s="40">
        <v>12.13</v>
      </c>
      <c r="AB39" s="40">
        <v>12.04</v>
      </c>
      <c r="AC39" s="40">
        <v>9.11</v>
      </c>
      <c r="AD39">
        <v>9.8000000000000007</v>
      </c>
      <c r="AE39" s="128"/>
      <c r="AF39" s="44"/>
    </row>
    <row r="40" spans="1:32">
      <c r="A40" s="33" t="s">
        <v>176</v>
      </c>
      <c r="B40" s="41">
        <v>0</v>
      </c>
      <c r="C40" s="41">
        <v>1.9</v>
      </c>
      <c r="D40" s="41">
        <v>1.97</v>
      </c>
      <c r="E40" s="41">
        <v>1.629</v>
      </c>
      <c r="F40" s="41">
        <v>2.0074999999999998</v>
      </c>
      <c r="G40" s="41">
        <v>2.02</v>
      </c>
      <c r="H40" s="41">
        <v>2.02</v>
      </c>
      <c r="I40" s="41">
        <v>2.02</v>
      </c>
      <c r="J40" s="41">
        <v>2.08</v>
      </c>
      <c r="K40" s="41">
        <v>2.1749999999999998</v>
      </c>
      <c r="L40" s="41">
        <v>2.4</v>
      </c>
      <c r="M40" s="41">
        <v>2.6</v>
      </c>
      <c r="N40" s="41">
        <v>2.8</v>
      </c>
      <c r="O40" s="41">
        <v>3.04</v>
      </c>
      <c r="P40" s="41">
        <v>3.36</v>
      </c>
      <c r="Q40" s="41">
        <v>3.6</v>
      </c>
      <c r="R40" s="41">
        <v>0.46060000000000001</v>
      </c>
      <c r="S40" s="41">
        <v>2.6</v>
      </c>
      <c r="T40" s="41">
        <v>3.5</v>
      </c>
      <c r="U40" s="41">
        <v>4.0999999999999996</v>
      </c>
      <c r="V40" s="41">
        <v>4.6500000000000004</v>
      </c>
      <c r="W40" s="41">
        <v>5.15</v>
      </c>
      <c r="X40" s="41">
        <v>6.05</v>
      </c>
      <c r="Y40" s="41">
        <v>6.5</v>
      </c>
      <c r="Z40" s="41">
        <v>7.15</v>
      </c>
      <c r="AA40" s="41">
        <v>7.9</v>
      </c>
      <c r="AB40" s="41">
        <v>8.3000000000000007</v>
      </c>
      <c r="AC40" s="41">
        <v>6</v>
      </c>
      <c r="AE40" s="187"/>
      <c r="AF40" s="44"/>
    </row>
    <row r="41" spans="1:32">
      <c r="A41" s="194" t="s">
        <v>444</v>
      </c>
      <c r="B41" s="40" t="e">
        <f>B36/B39</f>
        <v>#VALUE!</v>
      </c>
      <c r="C41" s="40">
        <f t="shared" ref="C41:AD41" si="1">C36/C39</f>
        <v>11.60287081339713</v>
      </c>
      <c r="D41" s="40">
        <f t="shared" si="1"/>
        <v>11.39252336448598</v>
      </c>
      <c r="E41" s="40">
        <f t="shared" si="1"/>
        <v>13.247863247863249</v>
      </c>
      <c r="F41" s="40">
        <f t="shared" si="1"/>
        <v>12.670542635658913</v>
      </c>
      <c r="G41" s="40">
        <f t="shared" si="1"/>
        <v>10.070671378091873</v>
      </c>
      <c r="H41" s="40">
        <f t="shared" si="1"/>
        <v>7.7500000000000009</v>
      </c>
      <c r="I41" s="40">
        <f t="shared" si="1"/>
        <v>7.4303405572755414</v>
      </c>
      <c r="J41" s="40">
        <f t="shared" si="1"/>
        <v>8.5014492753623188</v>
      </c>
      <c r="K41" s="40">
        <f t="shared" si="1"/>
        <v>9.0611702127659584</v>
      </c>
      <c r="L41" s="40">
        <f t="shared" si="1"/>
        <v>11.470297029702971</v>
      </c>
      <c r="M41" s="40">
        <f t="shared" si="1"/>
        <v>14.5</v>
      </c>
      <c r="N41" s="40">
        <f t="shared" si="1"/>
        <v>15.449596774193548</v>
      </c>
      <c r="O41" s="40">
        <f t="shared" si="1"/>
        <v>18.792207792207794</v>
      </c>
      <c r="P41" s="40">
        <f t="shared" si="1"/>
        <v>14.722033898305083</v>
      </c>
      <c r="Q41" s="40">
        <f t="shared" si="1"/>
        <v>8.2372093023255815</v>
      </c>
      <c r="R41" s="40">
        <f t="shared" si="1"/>
        <v>14.509090909090908</v>
      </c>
      <c r="S41" s="40">
        <f t="shared" si="1"/>
        <v>19.779324055666002</v>
      </c>
      <c r="T41" s="40">
        <f t="shared" si="1"/>
        <v>18.714078374455735</v>
      </c>
      <c r="U41" s="40">
        <f t="shared" si="1"/>
        <v>19.81077694235589</v>
      </c>
      <c r="V41" s="40">
        <f t="shared" si="1"/>
        <v>17.19322033898305</v>
      </c>
      <c r="W41" s="40">
        <f t="shared" si="1"/>
        <v>20.461797752808991</v>
      </c>
      <c r="X41" s="40">
        <f t="shared" si="1"/>
        <v>19.720081135902639</v>
      </c>
      <c r="Y41" s="40">
        <f t="shared" si="1"/>
        <v>16.937082936129645</v>
      </c>
      <c r="Z41" s="40">
        <f t="shared" si="1"/>
        <v>15.320249776984834</v>
      </c>
      <c r="AA41" s="40">
        <f t="shared" si="1"/>
        <v>13.849134377576258</v>
      </c>
      <c r="AB41" s="40">
        <f t="shared" si="1"/>
        <v>12.372093023255815</v>
      </c>
      <c r="AC41" s="40">
        <f t="shared" si="1"/>
        <v>9.3611416026344685</v>
      </c>
      <c r="AD41" s="40">
        <f t="shared" si="1"/>
        <v>12.244897959183673</v>
      </c>
      <c r="AE41" s="187"/>
      <c r="AF41" s="44"/>
    </row>
    <row r="42" spans="1:32">
      <c r="A42" s="194" t="s">
        <v>448</v>
      </c>
      <c r="B42" s="40">
        <f>B40*B35/1000</f>
        <v>0</v>
      </c>
      <c r="C42" s="40">
        <f>C40*C35/1000</f>
        <v>91983.645499999999</v>
      </c>
      <c r="D42" s="40">
        <f t="shared" ref="D42:AC42" si="2">D40*D35/1000</f>
        <v>114969.58415</v>
      </c>
      <c r="E42" s="40">
        <f t="shared" si="2"/>
        <v>157818.196035</v>
      </c>
      <c r="F42" s="40">
        <f t="shared" si="2"/>
        <v>220108.32450749999</v>
      </c>
      <c r="G42" s="40">
        <f t="shared" si="2"/>
        <v>336885.56261999998</v>
      </c>
      <c r="H42" s="40">
        <f t="shared" si="2"/>
        <v>349793.81510000001</v>
      </c>
      <c r="I42" s="40">
        <f t="shared" si="2"/>
        <v>347330.43520000001</v>
      </c>
      <c r="J42" s="40">
        <f t="shared" si="2"/>
        <v>361517.11648000003</v>
      </c>
      <c r="K42" s="40">
        <f t="shared" si="2"/>
        <v>403557.19949999993</v>
      </c>
      <c r="L42" s="40">
        <f t="shared" si="2"/>
        <v>484756.79279999994</v>
      </c>
      <c r="M42" s="40">
        <f t="shared" si="2"/>
        <v>572796.88699999999</v>
      </c>
      <c r="N42" s="40">
        <f t="shared" si="2"/>
        <v>617012.4267999999</v>
      </c>
      <c r="O42" s="40">
        <f t="shared" si="2"/>
        <v>673150.45584000007</v>
      </c>
      <c r="P42" s="40">
        <f t="shared" si="2"/>
        <v>749395.18752000004</v>
      </c>
      <c r="Q42" s="40">
        <f t="shared" si="2"/>
        <v>832750.71840000001</v>
      </c>
      <c r="R42" s="40">
        <f t="shared" si="2"/>
        <v>131615.65362260002</v>
      </c>
      <c r="S42" s="40">
        <f t="shared" si="2"/>
        <v>761700.96340000001</v>
      </c>
      <c r="T42" s="40">
        <f t="shared" si="2"/>
        <v>1028496.875</v>
      </c>
      <c r="U42" s="40">
        <f t="shared" si="2"/>
        <v>1270605.6783999999</v>
      </c>
      <c r="V42" s="40">
        <f t="shared" si="2"/>
        <v>1444329.8272500001</v>
      </c>
      <c r="W42" s="40">
        <f t="shared" si="2"/>
        <v>1600557.7365000001</v>
      </c>
      <c r="X42" s="40">
        <f t="shared" si="2"/>
        <v>1871994.44245</v>
      </c>
      <c r="Y42" s="40">
        <f t="shared" si="2"/>
        <v>2034984.7309999999</v>
      </c>
      <c r="Z42" s="40">
        <f t="shared" si="2"/>
        <v>2224843.0060999999</v>
      </c>
      <c r="AA42" s="40">
        <f t="shared" si="2"/>
        <v>2441237.9972000001</v>
      </c>
      <c r="AB42" s="40">
        <f t="shared" si="2"/>
        <v>2547012.3679999998</v>
      </c>
      <c r="AC42" s="40">
        <f t="shared" si="2"/>
        <v>1971008.496</v>
      </c>
      <c r="AD42" s="40"/>
      <c r="AE42" s="187"/>
      <c r="AF42" s="44"/>
    </row>
    <row r="43" spans="1:32">
      <c r="A43" s="38" t="s">
        <v>160</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E43" s="47"/>
      <c r="AF43" s="38"/>
    </row>
    <row r="44" spans="1:32">
      <c r="A44" s="33" t="s">
        <v>161</v>
      </c>
      <c r="B44" s="37" t="s">
        <v>37</v>
      </c>
      <c r="C44" s="37" t="s">
        <v>37</v>
      </c>
      <c r="D44" s="37" t="s">
        <v>37</v>
      </c>
      <c r="E44" s="37" t="s">
        <v>37</v>
      </c>
      <c r="F44" s="37" t="s">
        <v>37</v>
      </c>
      <c r="G44" s="37" t="s">
        <v>37</v>
      </c>
      <c r="H44" s="37" t="s">
        <v>37</v>
      </c>
      <c r="I44" s="37" t="s">
        <v>37</v>
      </c>
      <c r="J44" s="40">
        <v>4</v>
      </c>
      <c r="K44" s="37" t="s">
        <v>37</v>
      </c>
      <c r="L44" s="37" t="s">
        <v>37</v>
      </c>
      <c r="M44" s="40">
        <v>3</v>
      </c>
      <c r="N44" s="40">
        <v>4</v>
      </c>
      <c r="O44" s="40">
        <v>5.03</v>
      </c>
      <c r="P44" s="40">
        <v>5.12</v>
      </c>
      <c r="Q44" s="40">
        <v>1.77</v>
      </c>
      <c r="R44" s="40">
        <v>1.1000000000000001</v>
      </c>
      <c r="S44" s="40">
        <v>2.9</v>
      </c>
      <c r="T44" s="40">
        <v>3.4</v>
      </c>
      <c r="U44" s="40">
        <v>4.8</v>
      </c>
      <c r="V44" s="40">
        <v>5.2</v>
      </c>
      <c r="W44" s="40">
        <v>5.0999999999999996</v>
      </c>
      <c r="X44" s="40">
        <v>3.7</v>
      </c>
      <c r="Y44" s="40">
        <v>3.6</v>
      </c>
      <c r="Z44" s="40">
        <v>3.2</v>
      </c>
      <c r="AA44" s="40">
        <v>2.2999999999999998</v>
      </c>
      <c r="AB44" s="40">
        <v>1.4</v>
      </c>
      <c r="AC44" s="40" t="s">
        <v>37</v>
      </c>
      <c r="AE44" s="47"/>
      <c r="AF44" s="44"/>
    </row>
    <row r="45" spans="1:32">
      <c r="A45" s="33" t="s">
        <v>162</v>
      </c>
      <c r="B45" s="37" t="s">
        <v>37</v>
      </c>
      <c r="C45" s="37" t="s">
        <v>37</v>
      </c>
      <c r="D45" s="37" t="s">
        <v>37</v>
      </c>
      <c r="E45" s="37" t="s">
        <v>37</v>
      </c>
      <c r="F45" s="37" t="s">
        <v>37</v>
      </c>
      <c r="G45" s="37" t="s">
        <v>37</v>
      </c>
      <c r="H45" s="37" t="s">
        <v>37</v>
      </c>
      <c r="I45" s="37" t="s">
        <v>37</v>
      </c>
      <c r="J45" s="37" t="s">
        <v>37</v>
      </c>
      <c r="K45" s="37" t="s">
        <v>37</v>
      </c>
      <c r="L45" s="37" t="s">
        <v>37</v>
      </c>
      <c r="M45" s="37" t="s">
        <v>37</v>
      </c>
      <c r="N45" s="37" t="s">
        <v>37</v>
      </c>
      <c r="O45" s="37" t="s">
        <v>37</v>
      </c>
      <c r="P45" s="37" t="s">
        <v>37</v>
      </c>
      <c r="Q45" s="37" t="s">
        <v>37</v>
      </c>
      <c r="R45" s="37" t="s">
        <v>37</v>
      </c>
      <c r="S45" s="37" t="s">
        <v>37</v>
      </c>
      <c r="T45" s="37" t="s">
        <v>37</v>
      </c>
      <c r="U45" s="37" t="s">
        <v>37</v>
      </c>
      <c r="V45" s="37" t="s">
        <v>37</v>
      </c>
      <c r="W45" s="37" t="s">
        <v>37</v>
      </c>
      <c r="X45" s="37" t="s">
        <v>37</v>
      </c>
      <c r="Y45" s="37" t="s">
        <v>37</v>
      </c>
      <c r="Z45" s="37" t="s">
        <v>37</v>
      </c>
      <c r="AA45" s="37" t="s">
        <v>37</v>
      </c>
      <c r="AB45" s="37" t="s">
        <v>37</v>
      </c>
      <c r="AC45" s="37" t="s">
        <v>37</v>
      </c>
      <c r="AE45" s="47"/>
      <c r="AF45" s="44"/>
    </row>
    <row r="46" spans="1:32" s="207" customFormat="1" ht="15.5">
      <c r="A46" s="206" t="s">
        <v>196</v>
      </c>
    </row>
    <row r="47" spans="1:32">
      <c r="A47" s="193" t="s">
        <v>246</v>
      </c>
    </row>
    <row r="48" spans="1:32" ht="14.25" customHeight="1">
      <c r="A48" s="202" t="s">
        <v>210</v>
      </c>
      <c r="L48" s="6">
        <v>0.94</v>
      </c>
      <c r="M48" s="6">
        <v>0.89400000000000002</v>
      </c>
      <c r="N48" s="6">
        <v>0.88500000000000001</v>
      </c>
      <c r="O48" s="6">
        <v>0.9</v>
      </c>
      <c r="P48" s="6">
        <v>0.89400000000000002</v>
      </c>
      <c r="Q48" s="6">
        <v>0.84699999999999998</v>
      </c>
      <c r="R48" s="6">
        <v>0.871</v>
      </c>
      <c r="S48" s="6">
        <v>0.879</v>
      </c>
      <c r="T48" s="6">
        <v>0.88300000000000001</v>
      </c>
      <c r="U48" s="6">
        <v>0.81799999999999995</v>
      </c>
      <c r="V48" s="6">
        <v>0.79400000000000004</v>
      </c>
      <c r="W48" s="6">
        <v>0.79900000000000004</v>
      </c>
      <c r="X48" s="6">
        <v>0.80700000000000005</v>
      </c>
      <c r="Y48" s="6">
        <v>0.80400000000000005</v>
      </c>
      <c r="Z48" s="6">
        <v>0.79900000000000004</v>
      </c>
      <c r="AA48" s="6">
        <v>0.79</v>
      </c>
      <c r="AB48" s="6">
        <v>0.79</v>
      </c>
      <c r="AC48" s="6">
        <v>0.79400000000000004</v>
      </c>
    </row>
    <row r="49" spans="1:32" ht="14.5">
      <c r="A49" s="202" t="s">
        <v>199</v>
      </c>
      <c r="I49" s="39"/>
      <c r="J49" s="39"/>
      <c r="K49" s="39"/>
      <c r="L49" s="39">
        <v>1363709.7</v>
      </c>
      <c r="M49" s="39">
        <v>1499883.4680000001</v>
      </c>
      <c r="N49" s="39">
        <v>1837653.825</v>
      </c>
      <c r="O49" s="39">
        <v>1967845.5</v>
      </c>
      <c r="P49" s="39">
        <v>2032464.3</v>
      </c>
      <c r="Q49" s="39">
        <v>2060092.034</v>
      </c>
      <c r="R49" s="39">
        <v>2166124.7400000002</v>
      </c>
      <c r="S49" s="39">
        <v>2309410.764</v>
      </c>
      <c r="T49" s="39">
        <v>2572889.8149999999</v>
      </c>
      <c r="U49" s="39">
        <v>2768555.3559999997</v>
      </c>
      <c r="V49" s="39">
        <v>2907033.2940000002</v>
      </c>
      <c r="W49" s="39">
        <v>2774490.7460000003</v>
      </c>
      <c r="X49" s="39">
        <v>2943904.5270000002</v>
      </c>
      <c r="Y49" s="39">
        <v>3104811.6240000003</v>
      </c>
      <c r="Z49" s="39">
        <v>3146395.6830000002</v>
      </c>
      <c r="AA49" s="39">
        <v>3125660.2800000003</v>
      </c>
      <c r="AB49" s="39">
        <v>3182344.3600000003</v>
      </c>
      <c r="AC49" s="39">
        <v>2601392.5220000003</v>
      </c>
    </row>
    <row r="50" spans="1:32">
      <c r="A50" t="s">
        <v>211</v>
      </c>
      <c r="L50">
        <v>204</v>
      </c>
      <c r="M50">
        <v>203</v>
      </c>
      <c r="N50">
        <v>204</v>
      </c>
      <c r="O50">
        <v>207</v>
      </c>
      <c r="P50">
        <v>206</v>
      </c>
      <c r="Q50">
        <v>204</v>
      </c>
      <c r="R50">
        <v>203</v>
      </c>
      <c r="S50">
        <v>209</v>
      </c>
      <c r="T50" s="197">
        <v>219</v>
      </c>
      <c r="U50" s="197">
        <v>223</v>
      </c>
      <c r="V50">
        <v>178</v>
      </c>
      <c r="W50">
        <v>177</v>
      </c>
      <c r="X50">
        <v>179</v>
      </c>
      <c r="Y50">
        <v>175</v>
      </c>
      <c r="Z50">
        <v>175</v>
      </c>
      <c r="AA50">
        <v>176</v>
      </c>
      <c r="AB50">
        <v>175</v>
      </c>
      <c r="AC50">
        <v>168</v>
      </c>
    </row>
    <row r="51" spans="1:32" ht="14.5">
      <c r="A51" s="202" t="s">
        <v>201</v>
      </c>
      <c r="L51">
        <v>180.8</v>
      </c>
      <c r="M51">
        <v>179.29999999999998</v>
      </c>
      <c r="N51">
        <v>179</v>
      </c>
      <c r="O51">
        <v>180.3</v>
      </c>
      <c r="P51">
        <v>179</v>
      </c>
      <c r="Q51">
        <v>178.6</v>
      </c>
      <c r="R51">
        <v>177.1</v>
      </c>
      <c r="S51">
        <v>182.4</v>
      </c>
      <c r="T51" s="197">
        <v>175.6</v>
      </c>
      <c r="U51" s="197">
        <v>190</v>
      </c>
      <c r="V51">
        <v>152.69999999999999</v>
      </c>
      <c r="W51">
        <v>151.5</v>
      </c>
      <c r="X51">
        <v>153.30000000000001</v>
      </c>
      <c r="Y51">
        <v>152</v>
      </c>
      <c r="Z51">
        <v>151.1</v>
      </c>
      <c r="AA51">
        <v>151.19999999999999</v>
      </c>
      <c r="AB51">
        <v>150.30000000000001</v>
      </c>
      <c r="AC51">
        <v>142.30000000000001</v>
      </c>
    </row>
    <row r="52" spans="1:32" ht="14.5">
      <c r="A52" t="s">
        <v>248</v>
      </c>
      <c r="L52" s="4">
        <v>0.92400000000000004</v>
      </c>
      <c r="M52" s="4">
        <v>0.92700000000000005</v>
      </c>
      <c r="N52" s="4">
        <v>0.93100000000000005</v>
      </c>
      <c r="O52" s="4">
        <v>0.93200000000000005</v>
      </c>
      <c r="P52" s="4">
        <v>0.93500000000000005</v>
      </c>
      <c r="Q52" s="4">
        <v>0.92400000000000004</v>
      </c>
      <c r="R52" s="4">
        <v>0.92100000000000004</v>
      </c>
      <c r="S52" s="4">
        <v>0.94499999999999995</v>
      </c>
      <c r="T52" s="270">
        <v>0.94599999999999995</v>
      </c>
      <c r="U52" s="270">
        <v>0.95299999999999996</v>
      </c>
      <c r="V52" s="4">
        <v>0.96899999999999997</v>
      </c>
      <c r="W52" s="4">
        <v>0.97099999999999997</v>
      </c>
      <c r="X52" s="4">
        <v>0.96099999999999997</v>
      </c>
      <c r="Y52" s="4">
        <v>0.96799999999999997</v>
      </c>
      <c r="Z52" s="271">
        <v>0.95599999999999996</v>
      </c>
      <c r="AA52" s="4">
        <v>0.95899999999999996</v>
      </c>
      <c r="AB52" s="4">
        <v>0.95099999999999996</v>
      </c>
      <c r="AC52" s="4">
        <v>0.91300000000000003</v>
      </c>
    </row>
    <row r="53" spans="1:32">
      <c r="A53" s="245" t="s">
        <v>250</v>
      </c>
      <c r="B53" s="233"/>
      <c r="C53" s="233"/>
      <c r="D53" s="233"/>
      <c r="E53" s="233"/>
      <c r="F53" s="233"/>
      <c r="G53" s="233"/>
      <c r="H53" s="233"/>
      <c r="I53" s="233"/>
      <c r="J53" s="233"/>
      <c r="K53" s="233"/>
      <c r="L53" s="233">
        <v>32.26</v>
      </c>
      <c r="M53" s="252">
        <v>33.5</v>
      </c>
      <c r="N53" s="252">
        <v>34.49</v>
      </c>
      <c r="O53" s="252">
        <v>35.380000000000003</v>
      </c>
      <c r="P53" s="253">
        <v>37.090000000000003</v>
      </c>
      <c r="Q53" s="253">
        <v>39.49</v>
      </c>
      <c r="R53" s="253">
        <v>40.04</v>
      </c>
      <c r="S53" s="233">
        <v>37.770000000000003</v>
      </c>
      <c r="T53" s="254">
        <v>39.4</v>
      </c>
      <c r="U53" s="254">
        <v>40.729999999999997</v>
      </c>
      <c r="V53" s="254">
        <v>47.01</v>
      </c>
      <c r="W53" s="254">
        <v>45.01</v>
      </c>
      <c r="X53" s="253">
        <v>48.96</v>
      </c>
      <c r="Y53" s="254">
        <v>51.59</v>
      </c>
      <c r="Z53" s="254">
        <v>53.11</v>
      </c>
      <c r="AA53" s="254">
        <v>54.18</v>
      </c>
      <c r="AB53" s="254">
        <v>54.59</v>
      </c>
      <c r="AC53" s="254">
        <v>55.8</v>
      </c>
      <c r="AD53" s="200"/>
      <c r="AE53" s="200"/>
      <c r="AF53" s="200"/>
    </row>
    <row r="54" spans="1:32">
      <c r="A54" s="245" t="s">
        <v>251</v>
      </c>
      <c r="B54" s="233"/>
      <c r="C54" s="233"/>
      <c r="D54" s="233"/>
      <c r="E54" s="233"/>
      <c r="F54" s="233"/>
      <c r="G54" s="233"/>
      <c r="H54" s="233"/>
      <c r="I54" s="233"/>
      <c r="J54" s="233"/>
      <c r="K54" s="233"/>
      <c r="L54" s="255">
        <v>402</v>
      </c>
      <c r="M54" s="256">
        <v>427</v>
      </c>
      <c r="N54" s="256">
        <v>450</v>
      </c>
      <c r="O54" s="256">
        <v>476</v>
      </c>
      <c r="P54" s="255">
        <v>491</v>
      </c>
      <c r="Q54" s="255">
        <v>470</v>
      </c>
      <c r="R54" s="255">
        <v>433</v>
      </c>
      <c r="S54" s="254">
        <v>484</v>
      </c>
      <c r="T54" s="254">
        <v>553</v>
      </c>
      <c r="U54" s="254">
        <v>568</v>
      </c>
      <c r="V54" s="254">
        <v>619</v>
      </c>
      <c r="W54" s="254">
        <v>618</v>
      </c>
      <c r="X54" s="254">
        <v>620</v>
      </c>
      <c r="Y54" s="254">
        <v>614</v>
      </c>
      <c r="Z54" s="254">
        <v>628</v>
      </c>
      <c r="AA54" s="254">
        <v>661</v>
      </c>
      <c r="AB54" s="254">
        <v>693</v>
      </c>
      <c r="AC54" s="332" t="s">
        <v>205</v>
      </c>
      <c r="AD54" s="200"/>
      <c r="AE54" s="200"/>
      <c r="AF54" s="200"/>
    </row>
    <row r="55" spans="1:32" ht="14.5">
      <c r="A55" s="202" t="s">
        <v>206</v>
      </c>
      <c r="L55" s="200">
        <f>Everything!L176</f>
        <v>11.806334999808449</v>
      </c>
      <c r="M55" s="200">
        <f>Everything!M176</f>
        <v>12.970288410340826</v>
      </c>
      <c r="N55" s="200">
        <f>Everything!N176</f>
        <v>15.507342918349345</v>
      </c>
      <c r="O55" s="200">
        <f>Everything!O176</f>
        <v>16.406009654867066</v>
      </c>
      <c r="P55" s="200">
        <f>Everything!P176</f>
        <v>17.562601021718997</v>
      </c>
      <c r="Q55" s="200">
        <f>Everything!Q176</f>
        <v>17.748729936543484</v>
      </c>
      <c r="R55" s="200">
        <f>Everything!R176</f>
        <v>18.497635490601073</v>
      </c>
      <c r="S55" s="200">
        <f>Everything!S176</f>
        <v>18.480377332219437</v>
      </c>
      <c r="T55" s="200">
        <f>Everything!T176</f>
        <v>21.170804929760603</v>
      </c>
      <c r="U55" s="200">
        <f>Everything!U176</f>
        <v>20.563612867951623</v>
      </c>
      <c r="V55" s="200">
        <f>Everything!V176</f>
        <v>26.123923974580702</v>
      </c>
      <c r="W55" s="200">
        <f>Everything!W176</f>
        <v>24.614255583539819</v>
      </c>
      <c r="X55" s="200">
        <f>Everything!X176</f>
        <v>26.195168519419799</v>
      </c>
      <c r="Y55" s="200">
        <f>Everything!Y176</f>
        <v>27.402588353632019</v>
      </c>
      <c r="Z55" s="200">
        <f>Everything!Z176</f>
        <v>28.25977767639819</v>
      </c>
      <c r="AA55" s="200">
        <f>Everything!AA176</f>
        <v>28.104340113985582</v>
      </c>
      <c r="AB55" s="200">
        <f>Everything!AB176</f>
        <v>28.982197469764294</v>
      </c>
      <c r="AC55" s="200">
        <f>Everything!AC176</f>
        <v>26.293734816606229</v>
      </c>
      <c r="AD55" s="200"/>
      <c r="AE55" s="200"/>
      <c r="AF55" s="200"/>
    </row>
    <row r="56" spans="1:32" s="6" customFormat="1">
      <c r="A56" s="251" t="s">
        <v>253</v>
      </c>
      <c r="B56" s="247"/>
      <c r="C56" s="247"/>
      <c r="D56" s="247"/>
      <c r="E56" s="247"/>
      <c r="F56" s="247"/>
      <c r="G56" s="247"/>
      <c r="H56" s="247"/>
      <c r="I56" s="247"/>
      <c r="J56" s="247"/>
      <c r="K56" s="247"/>
      <c r="L56" s="247">
        <v>0.251</v>
      </c>
      <c r="M56" s="247">
        <v>0.17100000000000001</v>
      </c>
      <c r="N56" s="247">
        <v>0.20699999999999999</v>
      </c>
      <c r="O56" s="247">
        <v>0.17599999999999999</v>
      </c>
      <c r="P56" s="247">
        <v>0.14399999999999999</v>
      </c>
      <c r="Q56" s="250">
        <v>0.21299999999999999</v>
      </c>
      <c r="R56" s="250">
        <v>0.128</v>
      </c>
      <c r="S56" s="250">
        <f>3%+2.8%+1.2%+5.2%</f>
        <v>0.122</v>
      </c>
      <c r="T56" s="250">
        <v>9.2999999999999999E-2</v>
      </c>
      <c r="U56" s="250">
        <v>0.108</v>
      </c>
      <c r="V56" s="250">
        <v>0.113</v>
      </c>
      <c r="W56" s="250">
        <v>0.11700000000000001</v>
      </c>
      <c r="X56" s="250">
        <v>0.123</v>
      </c>
      <c r="Y56" s="250">
        <v>0.13100000000000001</v>
      </c>
      <c r="Z56" s="250">
        <v>0.13200000000000001</v>
      </c>
      <c r="AA56" s="250">
        <v>0.128</v>
      </c>
      <c r="AB56" s="250">
        <v>0.125</v>
      </c>
      <c r="AC56" s="332" t="s">
        <v>205</v>
      </c>
      <c r="AD56" s="198"/>
      <c r="AE56" s="198"/>
      <c r="AF56" s="198"/>
    </row>
    <row r="57" spans="1:32" s="6" customFormat="1" ht="14.5">
      <c r="A57" s="203" t="s">
        <v>254</v>
      </c>
      <c r="K57" s="198"/>
      <c r="L57" s="198">
        <f t="shared" ref="L57:AA57" si="3">1-L3/L53/1000/L51/L52</f>
        <v>0.61066550369311678</v>
      </c>
      <c r="M57" s="198">
        <f t="shared" si="3"/>
        <v>0.56692081837988495</v>
      </c>
      <c r="N57" s="198">
        <f t="shared" si="3"/>
        <v>0.49195646921815239</v>
      </c>
      <c r="O57" s="198">
        <f>1-O3/O53/1000/O51/O52</f>
        <v>0.48476824147770037</v>
      </c>
      <c r="P57" s="198">
        <f t="shared" si="3"/>
        <v>0.47034328428645378</v>
      </c>
      <c r="Q57" s="198">
        <f t="shared" si="3"/>
        <v>0.46936396742817177</v>
      </c>
      <c r="R57" s="198">
        <f t="shared" si="3"/>
        <v>0.46959941635284697</v>
      </c>
      <c r="S57" s="198">
        <f t="shared" si="3"/>
        <v>0.44335927827885158</v>
      </c>
      <c r="T57" s="198">
        <f t="shared" si="3"/>
        <v>0.39147216946839603</v>
      </c>
      <c r="U57" s="198">
        <f t="shared" si="3"/>
        <v>0.38279177420536026</v>
      </c>
      <c r="V57" s="198">
        <f t="shared" si="3"/>
        <v>0.30011343385911504</v>
      </c>
      <c r="W57" s="198">
        <f t="shared" si="3"/>
        <v>0.31556704313129091</v>
      </c>
      <c r="X57" s="198">
        <f t="shared" si="3"/>
        <v>0.33701110687378533</v>
      </c>
      <c r="Y57" s="198">
        <f t="shared" si="3"/>
        <v>0.33935217415461916</v>
      </c>
      <c r="Z57" s="198">
        <f t="shared" si="3"/>
        <v>0.33404380978958148</v>
      </c>
      <c r="AA57" s="198">
        <f t="shared" si="3"/>
        <v>0.34339029035924362</v>
      </c>
      <c r="AB57" s="198">
        <f>1-AB3/AB53/1000/AB51/AB52</f>
        <v>0.32796618591144822</v>
      </c>
      <c r="AC57" s="198">
        <f>1-AC3/AC53/1000/AC51/AC52</f>
        <v>0.40653163022385119</v>
      </c>
      <c r="AD57" s="198"/>
      <c r="AE57" s="198"/>
      <c r="AF57" s="198"/>
    </row>
    <row r="58" spans="1:32">
      <c r="A58" s="193" t="s">
        <v>209</v>
      </c>
    </row>
    <row r="59" spans="1:32" ht="14.5">
      <c r="A59" s="202" t="s">
        <v>210</v>
      </c>
      <c r="Q59" s="246">
        <f>7.3%</f>
        <v>7.2999999999999995E-2</v>
      </c>
      <c r="R59" s="246">
        <v>4.5999999999999999E-2</v>
      </c>
      <c r="S59" s="246">
        <v>4.4999999999999998E-2</v>
      </c>
      <c r="T59" s="246">
        <v>4.2999999999999997E-2</v>
      </c>
      <c r="U59" s="246">
        <v>7.4999999999999997E-2</v>
      </c>
      <c r="V59" s="247">
        <v>8.3000000000000004E-2</v>
      </c>
      <c r="W59" s="247">
        <v>9.7000000000000003E-2</v>
      </c>
      <c r="X59" s="247">
        <v>0.10299999999999999</v>
      </c>
      <c r="Y59" s="247">
        <v>0.106</v>
      </c>
      <c r="Z59" s="247">
        <v>0.111</v>
      </c>
      <c r="AA59" s="247">
        <v>0.111</v>
      </c>
      <c r="AB59" s="247">
        <v>0.11700000000000001</v>
      </c>
      <c r="AC59" s="335">
        <v>0.113</v>
      </c>
    </row>
    <row r="60" spans="1:32" ht="14.5">
      <c r="A60" s="202" t="s">
        <v>199</v>
      </c>
      <c r="W60" s="210">
        <f>W$53*W59</f>
        <v>4.3659699999999999</v>
      </c>
      <c r="X60" s="211"/>
      <c r="Y60" s="211"/>
      <c r="Z60" s="210">
        <f>Z$53*Z59</f>
        <v>5.8952099999999996</v>
      </c>
      <c r="AA60" s="211"/>
      <c r="AB60" s="210">
        <f>AB$53*AB59</f>
        <v>6.3870300000000011</v>
      </c>
    </row>
    <row r="61" spans="1:32">
      <c r="A61" t="s">
        <v>216</v>
      </c>
      <c r="T61" s="197">
        <v>13</v>
      </c>
      <c r="U61" s="197">
        <v>13</v>
      </c>
      <c r="V61">
        <v>13</v>
      </c>
      <c r="W61">
        <v>13</v>
      </c>
      <c r="Y61">
        <v>14</v>
      </c>
      <c r="Z61">
        <v>14</v>
      </c>
      <c r="AA61">
        <v>14</v>
      </c>
      <c r="AB61" s="195">
        <v>14</v>
      </c>
      <c r="AC61" s="195">
        <v>14</v>
      </c>
    </row>
    <row r="62" spans="1:32">
      <c r="A62" s="245" t="s">
        <v>255</v>
      </c>
      <c r="B62" s="233"/>
      <c r="C62" s="233"/>
      <c r="D62" s="233"/>
      <c r="E62" s="233"/>
      <c r="F62" s="233"/>
      <c r="G62" s="233"/>
      <c r="H62" s="233"/>
      <c r="I62" s="233"/>
      <c r="J62" s="233"/>
      <c r="K62" s="233"/>
      <c r="L62" s="233"/>
      <c r="M62" s="233"/>
      <c r="N62" s="233"/>
      <c r="O62" s="233"/>
      <c r="P62" s="233"/>
      <c r="Q62" s="233">
        <v>22.7</v>
      </c>
      <c r="R62" s="233">
        <v>22.8</v>
      </c>
      <c r="S62" s="233">
        <v>22.8</v>
      </c>
      <c r="T62" s="248">
        <v>19</v>
      </c>
      <c r="U62" s="248">
        <v>19</v>
      </c>
      <c r="V62" s="233">
        <v>19.600000000000001</v>
      </c>
      <c r="W62" s="233">
        <v>19.600000000000001</v>
      </c>
      <c r="X62" s="233">
        <v>20.9</v>
      </c>
      <c r="Y62" s="233">
        <v>21.1</v>
      </c>
      <c r="Z62" s="233">
        <v>21.1</v>
      </c>
      <c r="AA62" s="233">
        <v>21.4</v>
      </c>
      <c r="AB62" s="257">
        <v>21.5</v>
      </c>
      <c r="AC62" s="257">
        <v>21.3</v>
      </c>
    </row>
    <row r="63" spans="1:32">
      <c r="A63" s="233" t="s">
        <v>257</v>
      </c>
      <c r="B63" s="233"/>
      <c r="C63" s="233"/>
      <c r="D63" s="233"/>
      <c r="E63" s="233"/>
      <c r="F63" s="233"/>
      <c r="G63" s="233"/>
      <c r="H63" s="233"/>
      <c r="I63" s="233"/>
      <c r="J63" s="233"/>
      <c r="K63" s="233"/>
      <c r="L63" s="233"/>
      <c r="M63" s="233"/>
      <c r="N63" s="233"/>
      <c r="O63" s="233"/>
      <c r="P63" s="247"/>
      <c r="Q63" s="247">
        <v>0.94499999999999995</v>
      </c>
      <c r="R63" s="247">
        <v>0.93899999999999995</v>
      </c>
      <c r="S63" s="247">
        <v>0.93700000000000006</v>
      </c>
      <c r="T63" s="250">
        <v>0.97</v>
      </c>
      <c r="U63" s="250">
        <v>0.97199999999999998</v>
      </c>
      <c r="V63" s="247">
        <v>0.98499999999999999</v>
      </c>
      <c r="W63" s="247">
        <v>0.98399999999999999</v>
      </c>
      <c r="X63" s="247">
        <v>0.98499999999999999</v>
      </c>
      <c r="Y63" s="247">
        <v>0.98399999999999999</v>
      </c>
      <c r="Z63" s="247">
        <v>0.98399999999999999</v>
      </c>
      <c r="AA63" s="251">
        <v>0.97599999999999998</v>
      </c>
      <c r="AB63" s="258">
        <v>0.97</v>
      </c>
      <c r="AC63" s="258">
        <v>0.95299999999999996</v>
      </c>
    </row>
    <row r="64" spans="1:32">
      <c r="A64" t="s">
        <v>213</v>
      </c>
      <c r="T64" s="200">
        <v>21.67</v>
      </c>
      <c r="U64" s="200">
        <v>22.58</v>
      </c>
      <c r="V64">
        <v>23.79</v>
      </c>
      <c r="W64">
        <v>25.43</v>
      </c>
      <c r="Y64">
        <v>29.07</v>
      </c>
      <c r="Z64">
        <v>30.98</v>
      </c>
      <c r="AA64">
        <v>32.630000000000003</v>
      </c>
      <c r="AB64" s="196">
        <v>33.090000000000003</v>
      </c>
      <c r="AC64" s="196">
        <v>33.770000000000003</v>
      </c>
    </row>
    <row r="65" spans="1:32" ht="14.5">
      <c r="A65" s="202" t="s">
        <v>204</v>
      </c>
      <c r="T65" s="200"/>
      <c r="U65" s="200"/>
      <c r="V65">
        <v>529</v>
      </c>
      <c r="W65">
        <v>541</v>
      </c>
      <c r="Y65">
        <v>614</v>
      </c>
      <c r="Z65">
        <v>628</v>
      </c>
      <c r="AA65">
        <v>614</v>
      </c>
      <c r="AB65" s="196">
        <v>620</v>
      </c>
      <c r="AC65" s="332" t="s">
        <v>205</v>
      </c>
    </row>
    <row r="66" spans="1:32" ht="14.5">
      <c r="A66" s="202" t="s">
        <v>206</v>
      </c>
      <c r="Q66" s="200">
        <f>Everything!Q187</f>
        <v>11.767995431554903</v>
      </c>
      <c r="R66" s="200">
        <f>Everything!R187</f>
        <v>7.4427536759897617</v>
      </c>
      <c r="S66" s="200">
        <f>Everything!S187</f>
        <v>7.6333763972364199</v>
      </c>
      <c r="T66" s="200">
        <f>Everything!T187</f>
        <v>9.2925613130765061</v>
      </c>
      <c r="U66" s="200">
        <f>Everything!U187</f>
        <v>18.485619720597793</v>
      </c>
      <c r="V66" s="200">
        <f>Everything!V187</f>
        <v>20.929869159846678</v>
      </c>
      <c r="W66" s="200">
        <f>Everything!W187</f>
        <v>22.792520480753275</v>
      </c>
      <c r="X66" s="200">
        <f>Everything!X187</f>
        <v>23.925879581278995</v>
      </c>
      <c r="Y66" s="200">
        <f>Everything!Y187</f>
        <v>25.602524756290215</v>
      </c>
      <c r="Z66" s="200">
        <f>Everything!Z187</f>
        <v>27.314279129580395</v>
      </c>
      <c r="AA66" s="200">
        <f>Everything!AA187</f>
        <v>27.414232227669679</v>
      </c>
      <c r="AB66" s="200">
        <f>Everything!AB187</f>
        <v>29.418422776312635</v>
      </c>
      <c r="AC66" s="200">
        <f>Everything!AC187</f>
        <v>23.950434309248287</v>
      </c>
      <c r="AD66" s="200"/>
      <c r="AE66" s="200"/>
      <c r="AF66" s="200"/>
    </row>
    <row r="67" spans="1:32">
      <c r="A67" s="193" t="s">
        <v>214</v>
      </c>
      <c r="B67" s="32"/>
      <c r="C67" s="32"/>
      <c r="D67" s="32"/>
      <c r="E67" s="32"/>
      <c r="F67" s="32"/>
      <c r="G67" s="32"/>
      <c r="H67" s="32"/>
      <c r="I67" s="32"/>
      <c r="J67" s="32"/>
      <c r="K67" s="32"/>
      <c r="L67" s="32"/>
      <c r="M67" s="32"/>
      <c r="N67" s="32"/>
      <c r="O67" s="32"/>
      <c r="P67" s="32"/>
      <c r="Q67" s="32"/>
      <c r="R67" s="32"/>
      <c r="S67" s="32"/>
      <c r="T67" s="32"/>
      <c r="U67" s="32"/>
      <c r="V67" s="32"/>
      <c r="W67" s="32"/>
      <c r="X67" s="32"/>
      <c r="AA67" s="32"/>
      <c r="AB67" s="32"/>
      <c r="AC67" s="32"/>
    </row>
    <row r="68" spans="1:32" ht="14.5">
      <c r="A68" s="202" t="s">
        <v>210</v>
      </c>
      <c r="Q68" s="6">
        <f>1-Q48-Q59</f>
        <v>8.0000000000000029E-2</v>
      </c>
      <c r="R68" s="6">
        <f t="shared" ref="R68:AC68" si="4">1-R48-R59</f>
        <v>8.3000000000000004E-2</v>
      </c>
      <c r="S68" s="6">
        <f t="shared" si="4"/>
        <v>7.5999999999999998E-2</v>
      </c>
      <c r="T68" s="6">
        <f t="shared" si="4"/>
        <v>7.3999999999999996E-2</v>
      </c>
      <c r="U68" s="6">
        <f t="shared" si="4"/>
        <v>0.10700000000000005</v>
      </c>
      <c r="V68" s="6">
        <f t="shared" si="4"/>
        <v>0.12299999999999996</v>
      </c>
      <c r="W68" s="6">
        <f t="shared" si="4"/>
        <v>0.10399999999999995</v>
      </c>
      <c r="X68" s="6">
        <f t="shared" si="4"/>
        <v>8.9999999999999955E-2</v>
      </c>
      <c r="Y68" s="6">
        <f t="shared" si="4"/>
        <v>8.9999999999999955E-2</v>
      </c>
      <c r="Z68" s="6">
        <f t="shared" si="4"/>
        <v>8.9999999999999955E-2</v>
      </c>
      <c r="AA68" s="6">
        <f t="shared" si="4"/>
        <v>9.8999999999999963E-2</v>
      </c>
      <c r="AB68" s="6">
        <f t="shared" si="4"/>
        <v>9.2999999999999958E-2</v>
      </c>
      <c r="AC68" s="6">
        <f t="shared" si="4"/>
        <v>9.2999999999999958E-2</v>
      </c>
    </row>
    <row r="69" spans="1:32" ht="14.5">
      <c r="A69" s="202" t="s">
        <v>199</v>
      </c>
      <c r="W69" s="210">
        <f>W$53*W68</f>
        <v>4.6810399999999976</v>
      </c>
      <c r="X69" s="211"/>
      <c r="Y69" s="211"/>
      <c r="Z69" s="210">
        <f>Z$53*Z68</f>
        <v>4.7798999999999978</v>
      </c>
      <c r="AA69" s="211"/>
      <c r="AB69" s="210">
        <f>AB$53*AB68</f>
        <v>5.0768699999999978</v>
      </c>
    </row>
    <row r="70" spans="1:32">
      <c r="A70" t="s">
        <v>211</v>
      </c>
      <c r="T70">
        <v>12</v>
      </c>
      <c r="U70">
        <v>12</v>
      </c>
      <c r="V70">
        <v>20</v>
      </c>
      <c r="W70">
        <v>21</v>
      </c>
      <c r="Y70">
        <v>23</v>
      </c>
      <c r="Z70">
        <v>27</v>
      </c>
      <c r="AA70">
        <f>19+9</f>
        <v>28</v>
      </c>
      <c r="AB70" s="197">
        <v>29</v>
      </c>
      <c r="AC70" s="197">
        <v>31</v>
      </c>
    </row>
    <row r="71" spans="1:32">
      <c r="A71" t="s">
        <v>225</v>
      </c>
      <c r="T71">
        <v>3.7</v>
      </c>
      <c r="U71">
        <v>3.9</v>
      </c>
      <c r="V71">
        <v>5.9</v>
      </c>
      <c r="W71">
        <v>6.5</v>
      </c>
      <c r="Y71">
        <f>5.9+1.5</f>
        <v>7.4</v>
      </c>
      <c r="Z71">
        <f>6.6+2.2</f>
        <v>8.8000000000000007</v>
      </c>
      <c r="AA71">
        <f>7.3+2.2</f>
        <v>9.5</v>
      </c>
      <c r="AB71" s="197">
        <v>10.9</v>
      </c>
      <c r="AC71" s="197">
        <v>10.1</v>
      </c>
    </row>
    <row r="72" spans="1:32">
      <c r="A72" t="s">
        <v>202</v>
      </c>
      <c r="T72" s="137">
        <v>1</v>
      </c>
      <c r="U72" s="6">
        <v>0.995</v>
      </c>
      <c r="V72" s="6">
        <v>0.99399999999999999</v>
      </c>
      <c r="W72" s="6">
        <v>0.99099999999999999</v>
      </c>
      <c r="Y72" s="6">
        <v>0.995</v>
      </c>
      <c r="Z72" s="6">
        <v>0.999</v>
      </c>
      <c r="AA72" s="6">
        <v>0.997</v>
      </c>
      <c r="AB72" s="198">
        <v>0.995</v>
      </c>
      <c r="AC72" s="198">
        <v>0.995</v>
      </c>
    </row>
    <row r="73" spans="1:32">
      <c r="A73" t="s">
        <v>217</v>
      </c>
      <c r="T73" s="201">
        <v>4834</v>
      </c>
      <c r="U73" s="201">
        <v>4923</v>
      </c>
      <c r="V73" s="201">
        <v>4888</v>
      </c>
      <c r="W73" s="201">
        <v>4810</v>
      </c>
      <c r="X73" s="201"/>
      <c r="Y73" s="201"/>
      <c r="Z73" s="201"/>
      <c r="AA73" s="201">
        <v>5156</v>
      </c>
      <c r="AB73" s="201">
        <v>5447</v>
      </c>
      <c r="AC73" s="201">
        <v>5269</v>
      </c>
      <c r="AD73" s="201"/>
      <c r="AE73" s="201"/>
      <c r="AF73" s="201"/>
    </row>
    <row r="74" spans="1:32" ht="14.5">
      <c r="A74" s="202" t="s">
        <v>204</v>
      </c>
      <c r="Q74" s="199"/>
      <c r="R74" s="199"/>
      <c r="S74" s="199"/>
      <c r="T74" s="199"/>
      <c r="U74" s="199"/>
      <c r="V74" s="201">
        <v>90959</v>
      </c>
      <c r="W74" s="201">
        <v>94993</v>
      </c>
      <c r="X74" s="199"/>
      <c r="Y74" s="199"/>
      <c r="Z74" s="199"/>
      <c r="AA74" s="199">
        <v>107265</v>
      </c>
      <c r="AB74" s="199">
        <v>107866</v>
      </c>
      <c r="AC74" s="199"/>
      <c r="AD74" s="199"/>
      <c r="AE74" s="199"/>
    </row>
    <row r="75" spans="1:32">
      <c r="A75" s="245" t="s">
        <v>206</v>
      </c>
      <c r="Q75" s="345">
        <f>Everything!Q196</f>
        <v>10.412821439325507</v>
      </c>
      <c r="R75" s="345">
        <f>Everything!R196</f>
        <v>11.321452227911536</v>
      </c>
      <c r="S75" s="345">
        <f>Everything!S196</f>
        <v>14.765595078026324</v>
      </c>
      <c r="T75" s="345">
        <f>Everything!T196</f>
        <v>14.339639963996401</v>
      </c>
      <c r="U75" s="345">
        <f>Everything!U196</f>
        <v>73.900177039041367</v>
      </c>
      <c r="V75" s="345">
        <f>Everything!V196</f>
        <v>69.730312723800438</v>
      </c>
      <c r="W75" s="345">
        <f>Everything!W196</f>
        <v>63.318014437630978</v>
      </c>
      <c r="X75" s="345" t="e">
        <f>Everything!X196</f>
        <v>#DIV/0!</v>
      </c>
      <c r="Y75" s="345">
        <f>Everything!Y196</f>
        <v>57.210924894743997</v>
      </c>
      <c r="Z75" s="345">
        <f>Everything!Z196</f>
        <v>52.304453316953314</v>
      </c>
      <c r="AA75" s="345">
        <f>Everything!AA196</f>
        <v>54.462545531330839</v>
      </c>
      <c r="AB75" s="345">
        <f>Everything!AB196</f>
        <v>44.965257756673275</v>
      </c>
      <c r="AC75" s="345">
        <f>Everything!AC196</f>
        <v>39.814929200457733</v>
      </c>
      <c r="AD75" s="199"/>
      <c r="AE75" s="199"/>
    </row>
    <row r="76" spans="1:32">
      <c r="A76" s="193" t="s">
        <v>224</v>
      </c>
    </row>
    <row r="77" spans="1:32">
      <c r="A77" t="s">
        <v>211</v>
      </c>
      <c r="T77" s="197">
        <v>69</v>
      </c>
      <c r="U77" s="197">
        <v>68</v>
      </c>
    </row>
    <row r="78" spans="1:32">
      <c r="A78" t="s">
        <v>225</v>
      </c>
      <c r="T78" s="197">
        <v>21</v>
      </c>
      <c r="U78" s="197">
        <v>21</v>
      </c>
    </row>
    <row r="79" spans="1:32">
      <c r="A79" t="s">
        <v>202</v>
      </c>
      <c r="T79" s="198">
        <v>0.93500000000000005</v>
      </c>
      <c r="U79" s="198">
        <v>0.94699999999999995</v>
      </c>
    </row>
    <row r="80" spans="1:32">
      <c r="A80" t="s">
        <v>213</v>
      </c>
      <c r="T80" s="200">
        <v>13.71</v>
      </c>
      <c r="U80" s="200">
        <v>14.04</v>
      </c>
    </row>
    <row r="81" spans="1:29" s="205" customFormat="1" ht="15.5">
      <c r="A81" s="204" t="s">
        <v>449</v>
      </c>
    </row>
    <row r="82" spans="1:29">
      <c r="A82" s="33" t="s">
        <v>450</v>
      </c>
      <c r="B82" s="3">
        <f>B7/B11</f>
        <v>0.59136464597215455</v>
      </c>
      <c r="C82" s="3">
        <f t="shared" ref="C82:AC82" si="5">C7/C11</f>
        <v>0.61580966577915541</v>
      </c>
      <c r="D82" s="3">
        <f t="shared" si="5"/>
        <v>0.62826180953410438</v>
      </c>
      <c r="E82" s="3">
        <f t="shared" si="5"/>
        <v>0.62440095662060957</v>
      </c>
      <c r="F82" s="3">
        <f t="shared" si="5"/>
        <v>0.63717003790959648</v>
      </c>
      <c r="G82" s="3">
        <f t="shared" si="5"/>
        <v>0.63903402312091162</v>
      </c>
      <c r="H82" s="3">
        <f t="shared" si="5"/>
        <v>0.63550892506150702</v>
      </c>
      <c r="I82" s="3">
        <f t="shared" si="5"/>
        <v>0.64730641410527257</v>
      </c>
      <c r="J82" s="3">
        <f t="shared" si="5"/>
        <v>0.64551355945357114</v>
      </c>
      <c r="K82" s="3">
        <f t="shared" si="5"/>
        <v>0.62840515590790968</v>
      </c>
      <c r="L82" s="3">
        <f t="shared" si="5"/>
        <v>0.60115037595854304</v>
      </c>
      <c r="M82" s="3">
        <f t="shared" si="5"/>
        <v>0.61616077776929001</v>
      </c>
      <c r="N82" s="3">
        <f t="shared" si="5"/>
        <v>0.63916968842538158</v>
      </c>
      <c r="O82" s="3">
        <f t="shared" si="5"/>
        <v>0.64084475049789047</v>
      </c>
      <c r="P82" s="3">
        <f t="shared" si="5"/>
        <v>0.61819807409457894</v>
      </c>
      <c r="Q82" s="3">
        <f t="shared" si="5"/>
        <v>0.63936588684467033</v>
      </c>
      <c r="R82" s="3">
        <f t="shared" si="5"/>
        <v>0.65486425524048875</v>
      </c>
      <c r="S82" s="3">
        <f t="shared" si="5"/>
        <v>0.65223044921778994</v>
      </c>
      <c r="T82" s="3">
        <f t="shared" si="5"/>
        <v>0.66476842882395193</v>
      </c>
      <c r="U82" s="3">
        <f t="shared" si="5"/>
        <v>0.61522786870405843</v>
      </c>
      <c r="V82" s="3">
        <f t="shared" si="5"/>
        <v>0.66966308616881121</v>
      </c>
      <c r="W82" s="3">
        <f t="shared" si="5"/>
        <v>0.68348262878085553</v>
      </c>
      <c r="X82" s="3">
        <f t="shared" si="5"/>
        <v>0.6342783103187648</v>
      </c>
      <c r="Y82" s="3">
        <f t="shared" si="5"/>
        <v>0.6639953520225631</v>
      </c>
      <c r="Z82" s="3">
        <f t="shared" si="5"/>
        <v>0.66566746825672929</v>
      </c>
      <c r="AA82" s="3">
        <f t="shared" si="5"/>
        <v>0.64679061056932152</v>
      </c>
      <c r="AB82" s="3">
        <f t="shared" si="5"/>
        <v>0.65121629671900982</v>
      </c>
      <c r="AC82" s="3">
        <f t="shared" si="5"/>
        <v>0.67990070579651285</v>
      </c>
    </row>
    <row r="83" spans="1:29">
      <c r="A83" s="33" t="s">
        <v>451</v>
      </c>
      <c r="B83" s="3" t="e" cm="1">
        <f t="array" ref="B83">IFERROR(B18/B11,nil)</f>
        <v>#NAME?</v>
      </c>
      <c r="C83" s="3" cm="1">
        <f t="array" ref="C83">IFERROR(C18/C11,nil)</f>
        <v>0.20737570443129247</v>
      </c>
      <c r="D83" s="3" cm="1">
        <f t="array" ref="D83">IFERROR(D18/D11,nil)</f>
        <v>0.35655424638777788</v>
      </c>
      <c r="E83" s="3" cm="1">
        <f t="array" ref="E83">IFERROR(E18/E11,nil)</f>
        <v>0.37173373619509564</v>
      </c>
      <c r="F83" s="3" cm="1">
        <f t="array" ref="F83">IFERROR(F18/F11,nil)</f>
        <v>0.38676173413345033</v>
      </c>
      <c r="G83" s="3" cm="1">
        <f t="array" ref="G83">IFERROR(G18/G11,nil)</f>
        <v>0.37966394558866701</v>
      </c>
      <c r="H83" s="3" cm="1">
        <f t="array" ref="H83">IFERROR(H18/H11,nil)</f>
        <v>0.36129281242847272</v>
      </c>
      <c r="I83" s="3" cm="1">
        <f t="array" ref="I83">IFERROR(I18/I11,nil)</f>
        <v>0.37155158568375274</v>
      </c>
      <c r="J83" s="3" cm="1">
        <f t="array" ref="J83">IFERROR(J18/J11,nil)</f>
        <v>0.37224613526707212</v>
      </c>
      <c r="K83" s="3" cm="1">
        <f t="array" ref="K83">IFERROR(K18/K11,nil)</f>
        <v>0.42584903206206298</v>
      </c>
      <c r="L83" s="3" cm="1">
        <f t="array" ref="L83">IFERROR(L18/L11,nil)</f>
        <v>0.43140341557486889</v>
      </c>
      <c r="M83" s="3" cm="1">
        <f t="array" ref="M83">IFERROR(M18/M11,nil)</f>
        <v>0.43407382814565837</v>
      </c>
      <c r="N83" s="3" cm="1">
        <f t="array" ref="N83">IFERROR(N18/N11,nil)</f>
        <v>0.43444620243423443</v>
      </c>
      <c r="O83" s="3" cm="1">
        <f t="array" ref="O83">IFERROR(O18/O11,nil)</f>
        <v>0.45054815579025731</v>
      </c>
      <c r="P83" s="3" cm="1">
        <f t="array" ref="P83">IFERROR(P18/P11,nil)</f>
        <v>0.460059066610506</v>
      </c>
      <c r="Q83" s="3" cm="1">
        <f t="array" ref="Q83">IFERROR(Q18/Q11,nil)</f>
        <v>0.4896935319532843</v>
      </c>
      <c r="R83" s="3" cm="1">
        <f t="array" ref="R83">IFERROR(R18/R11,nil)</f>
        <v>0.47719795599479886</v>
      </c>
      <c r="S83" s="3" cm="1">
        <f t="array" ref="S83">IFERROR(S18/S11,nil)</f>
        <v>0.43952388683586374</v>
      </c>
      <c r="T83" s="3" cm="1">
        <f t="array" ref="T83">IFERROR(T18/T11,nil)</f>
        <v>0.55639069097652216</v>
      </c>
      <c r="U83" s="3" cm="1">
        <f t="array" ref="U83">IFERROR(U18/U11,nil)</f>
        <v>0.52440776531724786</v>
      </c>
      <c r="V83" s="3" cm="1">
        <f t="array" ref="V83">IFERROR(V18/V11,nil)</f>
        <v>0.58633900480730627</v>
      </c>
      <c r="W83" s="3" cm="1">
        <f t="array" ref="W83">IFERROR(W18/W11,nil)</f>
        <v>0.63680324690534251</v>
      </c>
      <c r="X83" s="3" cm="1">
        <f t="array" ref="X83">IFERROR(X18/X11,nil)</f>
        <v>0.62093815424777143</v>
      </c>
      <c r="Y83" s="3" cm="1">
        <f t="array" ref="Y83">IFERROR(Y18/Y11,nil)</f>
        <v>0.65217337478547899</v>
      </c>
      <c r="Z83" s="3" cm="1">
        <f t="array" ref="Z83">IFERROR(Z18/Z11,nil)</f>
        <v>0.67962818527244762</v>
      </c>
      <c r="AA83" s="3" cm="1">
        <f t="array" ref="AA83">IFERROR(AA18/AA11,nil)</f>
        <v>0.706960368640693</v>
      </c>
      <c r="AB83" s="3" cm="1">
        <f t="array" ref="AB83">IFERROR(AB18/AB11,nil)</f>
        <v>0.69065947167578567</v>
      </c>
      <c r="AC83" s="3" cm="1">
        <f t="array" ref="AC83">IFERROR(AC18/AC11,nil)</f>
        <v>0.6717347910096495</v>
      </c>
    </row>
    <row r="84" spans="1:29">
      <c r="A84" s="33" t="s">
        <v>452</v>
      </c>
      <c r="B84" s="3">
        <f>B16/B11</f>
        <v>-0.61574299799555776</v>
      </c>
      <c r="C84" s="3">
        <f t="shared" ref="C84:AC84" si="6">C16/C11</f>
        <v>4.9359281601489835E-2</v>
      </c>
      <c r="D84" s="3">
        <f t="shared" si="6"/>
        <v>0.10678305048102908</v>
      </c>
      <c r="E84" s="3">
        <f t="shared" si="6"/>
        <v>0.11258516023131097</v>
      </c>
      <c r="F84" s="3">
        <f t="shared" si="6"/>
        <v>0.12785940747738608</v>
      </c>
      <c r="G84" s="3">
        <f t="shared" si="6"/>
        <v>0.11662470112187812</v>
      </c>
      <c r="H84" s="3">
        <f t="shared" si="6"/>
        <v>0.10489038560822926</v>
      </c>
      <c r="I84" s="3">
        <f t="shared" si="6"/>
        <v>0.10612216193921839</v>
      </c>
      <c r="J84" s="3">
        <f t="shared" si="6"/>
        <v>9.4239953208670027E-2</v>
      </c>
      <c r="K84" s="3">
        <f t="shared" si="6"/>
        <v>0.19219046042428636</v>
      </c>
      <c r="L84" s="3">
        <f t="shared" si="6"/>
        <v>0.15278469546653584</v>
      </c>
      <c r="M84" s="3">
        <f t="shared" si="6"/>
        <v>0.12596773103614428</v>
      </c>
      <c r="N84" s="3">
        <f t="shared" si="6"/>
        <v>0.1464446879636527</v>
      </c>
      <c r="O84" s="3">
        <f t="shared" si="6"/>
        <v>0.16525713716277904</v>
      </c>
      <c r="P84" s="3">
        <f t="shared" si="6"/>
        <v>0.13357804381893018</v>
      </c>
      <c r="Q84" s="3">
        <f t="shared" si="6"/>
        <v>0.12187746114997544</v>
      </c>
      <c r="R84" s="3">
        <f t="shared" si="6"/>
        <v>8.1473451157323407E-2</v>
      </c>
      <c r="S84" s="3">
        <f t="shared" si="6"/>
        <v>0.15317950787969423</v>
      </c>
      <c r="T84" s="3">
        <f t="shared" si="6"/>
        <v>0.23380220059007278</v>
      </c>
      <c r="U84" s="3">
        <f t="shared" si="6"/>
        <v>0.26075667453513562</v>
      </c>
      <c r="V84" s="3">
        <f t="shared" si="6"/>
        <v>0.24136964788671855</v>
      </c>
      <c r="W84" s="3">
        <f t="shared" si="6"/>
        <v>0.27725217644615818</v>
      </c>
      <c r="X84" s="3">
        <f t="shared" si="6"/>
        <v>0.31778934953959559</v>
      </c>
      <c r="Y84" s="3">
        <f t="shared" si="6"/>
        <v>0.31618626504785274</v>
      </c>
      <c r="Z84" s="3">
        <f t="shared" si="6"/>
        <v>0.32928447521883136</v>
      </c>
      <c r="AA84" s="3">
        <f t="shared" si="6"/>
        <v>0.39888634886424718</v>
      </c>
      <c r="AB84" s="3">
        <f t="shared" si="6"/>
        <v>0.33974410685143436</v>
      </c>
      <c r="AC84" s="3">
        <f t="shared" si="6"/>
        <v>0.23087936007450802</v>
      </c>
    </row>
    <row r="85" spans="1:29">
      <c r="B85" s="213" t="s">
        <v>453</v>
      </c>
      <c r="C85" s="213" t="s">
        <v>454</v>
      </c>
    </row>
    <row r="86" spans="1:29" ht="14.5">
      <c r="A86" s="33" t="s">
        <v>455</v>
      </c>
      <c r="B86" s="202" t="s">
        <v>456</v>
      </c>
      <c r="C86" s="189">
        <f>AB2-W2</f>
        <v>6827722</v>
      </c>
      <c r="D86" s="189">
        <f t="shared" ref="D86:W86" si="7">D2-C2</f>
        <v>223460</v>
      </c>
      <c r="E86" s="189">
        <f t="shared" si="7"/>
        <v>3110407</v>
      </c>
      <c r="F86" s="189">
        <f t="shared" si="7"/>
        <v>1494185</v>
      </c>
      <c r="G86" s="189">
        <f t="shared" si="7"/>
        <v>4956394</v>
      </c>
      <c r="H86" s="189">
        <f t="shared" si="7"/>
        <v>935564</v>
      </c>
      <c r="I86" s="189">
        <f t="shared" si="7"/>
        <v>322146</v>
      </c>
      <c r="J86" s="189">
        <f t="shared" si="7"/>
        <v>160329</v>
      </c>
      <c r="K86" s="189">
        <f t="shared" si="7"/>
        <v>1028652</v>
      </c>
      <c r="L86" s="189">
        <f t="shared" si="7"/>
        <v>616040</v>
      </c>
      <c r="M86" s="189">
        <f>M2-L2</f>
        <v>6132122</v>
      </c>
      <c r="N86" s="189">
        <f t="shared" si="7"/>
        <v>501221</v>
      </c>
      <c r="O86" s="189">
        <f t="shared" si="7"/>
        <v>972452</v>
      </c>
      <c r="P86" s="189">
        <f t="shared" si="7"/>
        <v>1434057</v>
      </c>
      <c r="Q86" s="189">
        <f t="shared" si="7"/>
        <v>1079739</v>
      </c>
      <c r="R86" s="189">
        <f t="shared" si="7"/>
        <v>207045</v>
      </c>
      <c r="S86" s="189">
        <f t="shared" si="7"/>
        <v>2329002</v>
      </c>
      <c r="T86" s="189">
        <f t="shared" si="7"/>
        <v>1809462</v>
      </c>
      <c r="U86" s="189">
        <f t="shared" si="7"/>
        <v>4729888</v>
      </c>
      <c r="V86" s="189">
        <f t="shared" si="7"/>
        <v>838944</v>
      </c>
      <c r="W86" s="189">
        <f t="shared" si="7"/>
        <v>-4083351</v>
      </c>
      <c r="X86" s="189">
        <f t="shared" ref="X86:AC86" si="8">X2-W2</f>
        <v>2121402</v>
      </c>
      <c r="Y86" s="189">
        <f t="shared" si="8"/>
        <v>1920025</v>
      </c>
      <c r="Z86" s="189">
        <f t="shared" si="8"/>
        <v>1169894</v>
      </c>
      <c r="AA86" s="189">
        <f t="shared" si="8"/>
        <v>641342</v>
      </c>
      <c r="AB86" s="189">
        <f t="shared" si="8"/>
        <v>975059</v>
      </c>
      <c r="AC86" s="189">
        <f t="shared" si="8"/>
        <v>1056937</v>
      </c>
    </row>
    <row r="87" spans="1:29">
      <c r="A87" s="33" t="s">
        <v>457</v>
      </c>
      <c r="C87" s="189">
        <f>AB3-W3</f>
        <v>711960</v>
      </c>
    </row>
    <row r="88" spans="1:29" ht="14.5">
      <c r="A88" s="33" t="s">
        <v>458</v>
      </c>
      <c r="B88" s="202" t="s">
        <v>459</v>
      </c>
      <c r="C88" s="189">
        <f>AB18-W18</f>
        <v>1036973</v>
      </c>
      <c r="D88" s="189">
        <f t="shared" ref="D88:W88" si="9">D18-C18</f>
        <v>99694</v>
      </c>
      <c r="E88" s="189">
        <f t="shared" si="9"/>
        <v>83586</v>
      </c>
      <c r="F88" s="189">
        <f t="shared" si="9"/>
        <v>133633</v>
      </c>
      <c r="G88" s="189">
        <f t="shared" si="9"/>
        <v>129353</v>
      </c>
      <c r="H88" s="189">
        <f t="shared" si="9"/>
        <v>159519</v>
      </c>
      <c r="I88" s="189">
        <f t="shared" si="9"/>
        <v>77937</v>
      </c>
      <c r="J88" s="189">
        <f t="shared" si="9"/>
        <v>4698</v>
      </c>
      <c r="K88" s="189">
        <f t="shared" si="9"/>
        <v>149721</v>
      </c>
      <c r="L88" s="189">
        <f t="shared" si="9"/>
        <v>104749</v>
      </c>
      <c r="M88" s="189">
        <f t="shared" si="9"/>
        <v>140819</v>
      </c>
      <c r="N88" s="189">
        <f t="shared" si="9"/>
        <v>229444</v>
      </c>
      <c r="O88" s="189">
        <f t="shared" si="9"/>
        <v>125855</v>
      </c>
      <c r="P88" s="189">
        <f t="shared" si="9"/>
        <v>154664</v>
      </c>
      <c r="Q88" s="189">
        <f t="shared" si="9"/>
        <v>170964</v>
      </c>
      <c r="R88" s="189">
        <f t="shared" si="9"/>
        <v>-50624</v>
      </c>
      <c r="S88" s="189">
        <f t="shared" si="9"/>
        <v>-41736</v>
      </c>
      <c r="T88" s="189">
        <f t="shared" si="9"/>
        <v>668274</v>
      </c>
      <c r="U88" s="189">
        <f t="shared" si="9"/>
        <v>446150</v>
      </c>
      <c r="V88" s="189">
        <f t="shared" si="9"/>
        <v>320778</v>
      </c>
      <c r="W88" s="189">
        <f t="shared" si="9"/>
        <v>29605</v>
      </c>
      <c r="X88" s="189">
        <f t="shared" ref="X88:AC88" si="10">X18-W18</f>
        <v>335939</v>
      </c>
      <c r="Y88" s="189">
        <f t="shared" si="10"/>
        <v>221714</v>
      </c>
      <c r="Z88" s="189">
        <f t="shared" si="10"/>
        <v>227554</v>
      </c>
      <c r="AA88" s="189">
        <f t="shared" si="10"/>
        <v>304096</v>
      </c>
      <c r="AB88" s="189">
        <f t="shared" si="10"/>
        <v>-52330</v>
      </c>
      <c r="AC88" s="189">
        <f t="shared" si="10"/>
        <v>-1035308</v>
      </c>
    </row>
    <row r="89" spans="1:29" ht="14.5">
      <c r="A89" s="33" t="s">
        <v>460</v>
      </c>
      <c r="B89" s="202" t="s">
        <v>461</v>
      </c>
      <c r="C89" s="3">
        <f>C88/C86</f>
        <v>0.15187686317632734</v>
      </c>
      <c r="D89" s="3">
        <f t="shared" ref="D89:W89" si="11">D88/D86</f>
        <v>0.44613801127718605</v>
      </c>
      <c r="E89" s="3">
        <f t="shared" si="11"/>
        <v>2.6873010509557111E-2</v>
      </c>
      <c r="F89" s="3">
        <f t="shared" si="11"/>
        <v>8.9435377814661501E-2</v>
      </c>
      <c r="G89" s="3">
        <f t="shared" si="11"/>
        <v>2.6098207688896403E-2</v>
      </c>
      <c r="H89" s="3">
        <f t="shared" si="11"/>
        <v>0.17050570564921266</v>
      </c>
      <c r="I89" s="3">
        <f t="shared" si="11"/>
        <v>0.24193067739472165</v>
      </c>
      <c r="J89" s="3">
        <f t="shared" si="11"/>
        <v>2.9302247254083789E-2</v>
      </c>
      <c r="K89" s="3">
        <f t="shared" si="11"/>
        <v>0.14555068186325404</v>
      </c>
      <c r="L89" s="3">
        <f>L88/L86</f>
        <v>0.17003603662099864</v>
      </c>
      <c r="M89" s="3">
        <f t="shared" si="11"/>
        <v>2.2964154985827091E-2</v>
      </c>
      <c r="N89" s="3">
        <f t="shared" si="11"/>
        <v>0.45777012535388584</v>
      </c>
      <c r="O89" s="3">
        <f t="shared" si="11"/>
        <v>0.12942026958657085</v>
      </c>
      <c r="P89" s="3">
        <f t="shared" si="11"/>
        <v>0.1078506642344063</v>
      </c>
      <c r="Q89" s="3">
        <f t="shared" si="11"/>
        <v>0.15833826508072785</v>
      </c>
      <c r="R89" s="3">
        <f t="shared" si="11"/>
        <v>-0.24450723272718491</v>
      </c>
      <c r="S89" s="3">
        <f t="shared" si="11"/>
        <v>-1.792012200934134E-2</v>
      </c>
      <c r="T89" s="3">
        <f t="shared" si="11"/>
        <v>0.36932193104911848</v>
      </c>
      <c r="U89" s="3">
        <f t="shared" si="11"/>
        <v>9.4325700735408538E-2</v>
      </c>
      <c r="V89" s="3">
        <f t="shared" si="11"/>
        <v>0.38235925163062134</v>
      </c>
      <c r="W89" s="3">
        <f t="shared" si="11"/>
        <v>-7.2501727135384636E-3</v>
      </c>
      <c r="X89" s="3">
        <f t="shared" ref="X89:AC89" si="12">X88/X86</f>
        <v>0.1583570676373455</v>
      </c>
      <c r="Y89" s="3">
        <f t="shared" si="12"/>
        <v>0.11547453809195193</v>
      </c>
      <c r="Z89" s="3">
        <f t="shared" si="12"/>
        <v>0.1945082204028741</v>
      </c>
      <c r="AA89" s="3">
        <f t="shared" si="12"/>
        <v>0.47415575465196419</v>
      </c>
      <c r="AB89" s="3">
        <f t="shared" si="12"/>
        <v>-5.3668547236628755E-2</v>
      </c>
      <c r="AC89" s="3">
        <f t="shared" si="12"/>
        <v>-0.97953615021519735</v>
      </c>
    </row>
    <row r="90" spans="1:29">
      <c r="A90" s="38" t="s">
        <v>462</v>
      </c>
    </row>
    <row r="91" spans="1:29" ht="14.5">
      <c r="C91" s="202"/>
    </row>
    <row r="92" spans="1:29">
      <c r="A92" s="194" t="s">
        <v>463</v>
      </c>
      <c r="B92" s="191">
        <f>C36</f>
        <v>24.25</v>
      </c>
    </row>
    <row r="93" spans="1:29">
      <c r="A93" s="194" t="s">
        <v>464</v>
      </c>
      <c r="B93" s="190">
        <f>AD36-B36</f>
        <v>97.37</v>
      </c>
    </row>
    <row r="94" spans="1:29">
      <c r="A94" s="33" t="s">
        <v>465</v>
      </c>
      <c r="B94" s="192">
        <f>SUM(C40:AC40)</f>
        <v>97.982100000000017</v>
      </c>
    </row>
    <row r="95" spans="1:29">
      <c r="A95" s="194" t="s">
        <v>466</v>
      </c>
      <c r="B95" s="3">
        <f>(B93+B94)/B92</f>
        <v>8.0557567010309281</v>
      </c>
    </row>
    <row r="96" spans="1:29">
      <c r="A96" s="33" t="s">
        <v>44</v>
      </c>
      <c r="B96" s="3">
        <f>B95^(1/27)-1</f>
        <v>8.0337606489478297E-2</v>
      </c>
    </row>
    <row r="97" spans="1:3">
      <c r="A97" s="194" t="s">
        <v>467</v>
      </c>
      <c r="B97" s="3">
        <f>AC41/C41-1</f>
        <v>-0.19320470311315308</v>
      </c>
    </row>
    <row r="98" spans="1:3" ht="14.5">
      <c r="A98" s="209" t="s">
        <v>468</v>
      </c>
      <c r="C98" s="202"/>
    </row>
    <row r="99" spans="1:3" ht="14.5">
      <c r="A99" s="208" t="s">
        <v>197</v>
      </c>
      <c r="C99" s="202"/>
    </row>
    <row r="100" spans="1:3">
      <c r="A100" s="194" t="s">
        <v>469</v>
      </c>
      <c r="B100" s="194" t="s">
        <v>469</v>
      </c>
      <c r="C100" s="15">
        <f>(AB53/W53)^0.2-1</f>
        <v>3.9347596961556208E-2</v>
      </c>
    </row>
    <row r="101" spans="1:3">
      <c r="A101" s="194" t="s">
        <v>470</v>
      </c>
      <c r="B101" s="194" t="s">
        <v>470</v>
      </c>
      <c r="C101" s="15">
        <f>(AB51*AB52/(W51*W52))^0.2-1</f>
        <v>-5.7364302769640219E-3</v>
      </c>
    </row>
    <row r="102" spans="1:3" ht="14.5">
      <c r="A102" s="208" t="s">
        <v>209</v>
      </c>
      <c r="C102" s="202"/>
    </row>
    <row r="103" spans="1:3">
      <c r="A103" s="194" t="s">
        <v>471</v>
      </c>
      <c r="B103" s="194" t="s">
        <v>471</v>
      </c>
      <c r="C103" s="15">
        <f>(AB64/W64)^0.2-1</f>
        <v>5.4071525160050538E-2</v>
      </c>
    </row>
    <row r="104" spans="1:3">
      <c r="A104" s="194" t="s">
        <v>472</v>
      </c>
      <c r="B104" s="194" t="s">
        <v>472</v>
      </c>
      <c r="C104" s="15">
        <f>((AB62*AB63)/(W62*W63))^0.2-1</f>
        <v>1.5761633230710004E-2</v>
      </c>
    </row>
    <row r="105" spans="1:3">
      <c r="A105" s="208" t="s">
        <v>473</v>
      </c>
      <c r="C105" s="15"/>
    </row>
    <row r="106" spans="1:3">
      <c r="A106" s="194" t="s">
        <v>474</v>
      </c>
      <c r="C106" s="15">
        <f>0.9*C100+0.1*C103</f>
        <v>4.0819989781405643E-2</v>
      </c>
    </row>
    <row r="107" spans="1:3">
      <c r="A107" s="194" t="s">
        <v>475</v>
      </c>
      <c r="C107" s="15">
        <f>0.9*C101+0.1*C104</f>
        <v>-3.5866239261966191E-3</v>
      </c>
    </row>
    <row r="108" spans="1:3" ht="14.5">
      <c r="A108" s="202" t="s">
        <v>476</v>
      </c>
      <c r="C108" s="15">
        <f>(AB83-W83)/5</f>
        <v>1.0771244954088632E-2</v>
      </c>
    </row>
    <row r="109" spans="1:3">
      <c r="A109" s="194" t="s">
        <v>477</v>
      </c>
      <c r="C109" s="15">
        <f>(1-AB35/W35)/5</f>
        <v>2.5219449495316624E-3</v>
      </c>
    </row>
    <row r="110" spans="1:3">
      <c r="A110" s="194" t="s">
        <v>478</v>
      </c>
      <c r="C110" s="15">
        <f>C111-C106-C107-C108-C109</f>
        <v>1.1773724502171113E-2</v>
      </c>
    </row>
    <row r="111" spans="1:3" ht="14.5">
      <c r="A111" s="202" t="s">
        <v>479</v>
      </c>
      <c r="C111" s="15">
        <f>(AB39/W39)^0.2-1</f>
        <v>6.2300280261000429E-2</v>
      </c>
    </row>
    <row r="112" spans="1:3" ht="14.5">
      <c r="A112" s="212" t="s">
        <v>480</v>
      </c>
      <c r="C112" s="15"/>
    </row>
    <row r="113" spans="1:3" ht="14.5">
      <c r="A113" s="202" t="s">
        <v>481</v>
      </c>
      <c r="B113" s="202" t="s">
        <v>482</v>
      </c>
      <c r="C113">
        <f>AB51-W51+AB62-W62+AB71-W71</f>
        <v>5.1000000000000103</v>
      </c>
    </row>
    <row r="114" spans="1:3" ht="14.5">
      <c r="A114" s="202" t="s">
        <v>483</v>
      </c>
      <c r="B114" s="202" t="s">
        <v>456</v>
      </c>
      <c r="C114" s="189">
        <f>AB2-W2</f>
        <v>6827722</v>
      </c>
    </row>
    <row r="115" spans="1:3" ht="14.5">
      <c r="A115" s="202" t="s">
        <v>484</v>
      </c>
      <c r="B115" s="202" t="s">
        <v>485</v>
      </c>
      <c r="C115" s="15">
        <v>0.5</v>
      </c>
    </row>
    <row r="116" spans="1:3" ht="14.5">
      <c r="A116" s="202" t="s">
        <v>486</v>
      </c>
      <c r="B116" s="202" t="s">
        <v>487</v>
      </c>
      <c r="C116" s="189">
        <f>C114*C115/1000/C113</f>
        <v>669.3845098039202</v>
      </c>
    </row>
    <row r="117" spans="1:3" ht="14.5">
      <c r="A117" s="202" t="s">
        <v>488</v>
      </c>
      <c r="B117" s="202" t="s">
        <v>489</v>
      </c>
      <c r="C117" s="15">
        <f>AVERAGE(W44:AB44)/100</f>
        <v>3.216666666666667E-2</v>
      </c>
    </row>
    <row r="118" spans="1:3" ht="14.5">
      <c r="A118" s="194" t="s">
        <v>490</v>
      </c>
      <c r="B118" s="202" t="s">
        <v>433</v>
      </c>
      <c r="C118" s="214">
        <f>W18*(1+C117)^5-W18</f>
        <v>554913.43377829948</v>
      </c>
    </row>
    <row r="119" spans="1:3" ht="14.5">
      <c r="A119" s="194" t="s">
        <v>491</v>
      </c>
      <c r="B119" s="202" t="s">
        <v>492</v>
      </c>
      <c r="C119" s="214">
        <f>C88-C118</f>
        <v>482059.56622170052</v>
      </c>
    </row>
    <row r="120" spans="1:3" ht="14.5">
      <c r="A120" s="194" t="s">
        <v>493</v>
      </c>
      <c r="B120" s="202" t="s">
        <v>494</v>
      </c>
      <c r="C120" s="215">
        <f>C118/C86/C115</f>
        <v>0.16254716691110138</v>
      </c>
    </row>
    <row r="121" spans="1:3" ht="14.5">
      <c r="A121" s="194" t="s">
        <v>495</v>
      </c>
      <c r="B121" s="202" t="s">
        <v>496</v>
      </c>
      <c r="C121" s="215">
        <f>C119/C114/(1-C115)</f>
        <v>0.14120655944155328</v>
      </c>
    </row>
    <row r="122" spans="1:3" ht="14.5">
      <c r="A122" s="194" t="s">
        <v>497</v>
      </c>
      <c r="B122" s="202"/>
      <c r="C122" s="214">
        <f>SUM(C118:C119)</f>
        <v>1036973</v>
      </c>
    </row>
    <row r="123" spans="1:3" ht="14.5">
      <c r="A123" s="194" t="s">
        <v>498</v>
      </c>
      <c r="B123" s="202" t="s">
        <v>499</v>
      </c>
      <c r="C123" s="214">
        <f>SUM(W18:AB18)</f>
        <v>23216863</v>
      </c>
    </row>
    <row r="124" spans="1:3">
      <c r="A124" s="194" t="str">
        <f>A114</f>
        <v>Total Capex</v>
      </c>
      <c r="B124" s="194" t="s">
        <v>500</v>
      </c>
      <c r="C124" s="189">
        <f>C114</f>
        <v>6827722</v>
      </c>
    </row>
    <row r="125" spans="1:3" ht="14.5">
      <c r="A125" s="194" t="s">
        <v>501</v>
      </c>
      <c r="B125" s="202" t="s">
        <v>502</v>
      </c>
      <c r="C125" s="214">
        <f>SUM(W42:AB42)</f>
        <v>12720630.28125</v>
      </c>
    </row>
    <row r="126" spans="1:3" ht="14.5">
      <c r="A126" s="194" t="s">
        <v>503</v>
      </c>
      <c r="B126" s="202" t="s">
        <v>504</v>
      </c>
      <c r="C126" s="214">
        <f>-SUM(W25:AB25)</f>
        <v>1888855</v>
      </c>
    </row>
    <row r="127" spans="1:3" ht="14.5">
      <c r="A127" s="194" t="s">
        <v>505</v>
      </c>
      <c r="B127" s="202" t="s">
        <v>506</v>
      </c>
      <c r="C127" s="214">
        <f>C123-C125-C126-C114</f>
        <v>1779655.71875</v>
      </c>
    </row>
    <row r="128" spans="1:3" ht="14.5">
      <c r="A128" s="212" t="s">
        <v>507</v>
      </c>
    </row>
  </sheetData>
  <phoneticPr fontId="45"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BF3C-E781-0946-8799-CA85AEB360D0}">
  <dimension ref="A1:W84"/>
  <sheetViews>
    <sheetView zoomScale="160" zoomScaleNormal="160" workbookViewId="0">
      <pane xSplit="2" ySplit="1" topLeftCell="J2" activePane="bottomRight" state="frozen"/>
      <selection pane="topRight" activeCell="C1" sqref="C1"/>
      <selection pane="bottomLeft" activeCell="A2" sqref="A2"/>
      <selection pane="bottomRight" activeCell="O18" sqref="O18"/>
    </sheetView>
  </sheetViews>
  <sheetFormatPr defaultColWidth="10.83203125" defaultRowHeight="13.5" customHeight="1"/>
  <cols>
    <col min="1" max="1" width="34.08203125" style="482" customWidth="1"/>
    <col min="2" max="2" width="18" style="484" customWidth="1"/>
    <col min="3" max="9" width="13.33203125" style="482" hidden="1" customWidth="1"/>
    <col min="10" max="10" width="13.33203125" style="482" customWidth="1"/>
    <col min="11" max="16" width="13.33203125" style="482" bestFit="1" customWidth="1"/>
    <col min="17" max="17" width="13.08203125" style="482" customWidth="1"/>
    <col min="18" max="16384" width="10.83203125" style="482"/>
  </cols>
  <sheetData>
    <row r="1" spans="1:23" ht="13.5" customHeight="1">
      <c r="A1" s="482" t="s">
        <v>508</v>
      </c>
      <c r="B1" s="481" t="s">
        <v>509</v>
      </c>
      <c r="C1" s="469" t="s">
        <v>13</v>
      </c>
      <c r="D1" s="469" t="s">
        <v>14</v>
      </c>
      <c r="E1" s="469" t="s">
        <v>15</v>
      </c>
      <c r="F1" s="469" t="s">
        <v>16</v>
      </c>
      <c r="G1" s="469" t="s">
        <v>17</v>
      </c>
      <c r="H1" s="469" t="s">
        <v>18</v>
      </c>
      <c r="I1" s="469" t="s">
        <v>19</v>
      </c>
      <c r="J1" s="469" t="s">
        <v>20</v>
      </c>
      <c r="K1" s="469" t="s">
        <v>21</v>
      </c>
      <c r="L1" s="469" t="s">
        <v>22</v>
      </c>
      <c r="M1" s="469" t="s">
        <v>23</v>
      </c>
      <c r="N1" s="469" t="s">
        <v>24</v>
      </c>
      <c r="O1" s="469" t="s">
        <v>25</v>
      </c>
      <c r="P1" s="469" t="s">
        <v>26</v>
      </c>
      <c r="Q1" s="469" t="s">
        <v>27</v>
      </c>
      <c r="R1" s="469" t="s">
        <v>28</v>
      </c>
      <c r="S1" s="193"/>
      <c r="T1"/>
      <c r="U1"/>
      <c r="V1"/>
      <c r="W1"/>
    </row>
    <row r="2" spans="1:23" ht="13.5" customHeight="1">
      <c r="A2" s="485"/>
      <c r="B2" s="483"/>
      <c r="C2" s="484"/>
      <c r="D2" s="484"/>
      <c r="E2" s="484"/>
      <c r="F2" s="484"/>
      <c r="G2" s="484"/>
      <c r="H2" s="484"/>
      <c r="I2" s="484"/>
      <c r="J2" s="484"/>
      <c r="K2" s="484"/>
      <c r="L2" s="484"/>
      <c r="M2" s="484"/>
      <c r="N2" s="484"/>
      <c r="O2" s="484"/>
      <c r="P2" s="484"/>
      <c r="S2"/>
      <c r="T2"/>
      <c r="U2"/>
      <c r="V2"/>
      <c r="W2"/>
    </row>
    <row r="3" spans="1:23" ht="13.5" customHeight="1">
      <c r="A3" s="482" t="s">
        <v>510</v>
      </c>
      <c r="B3" s="480"/>
      <c r="C3" s="470" t="s">
        <v>511</v>
      </c>
      <c r="D3" s="470" t="s">
        <v>512</v>
      </c>
      <c r="E3" s="470" t="s">
        <v>513</v>
      </c>
      <c r="F3" s="470" t="s">
        <v>514</v>
      </c>
      <c r="G3" s="470" t="s">
        <v>515</v>
      </c>
      <c r="H3" s="470" t="s">
        <v>516</v>
      </c>
      <c r="I3" s="470" t="s">
        <v>517</v>
      </c>
      <c r="J3" s="470" t="s">
        <v>518</v>
      </c>
      <c r="K3" s="470" t="s">
        <v>519</v>
      </c>
      <c r="L3" s="470" t="s">
        <v>520</v>
      </c>
      <c r="M3" s="470" t="s">
        <v>521</v>
      </c>
      <c r="N3" s="470" t="s">
        <v>522</v>
      </c>
      <c r="O3" s="470" t="s">
        <v>523</v>
      </c>
      <c r="P3" s="470" t="s">
        <v>524</v>
      </c>
      <c r="Q3" s="470" t="s">
        <v>525</v>
      </c>
      <c r="R3" s="470" t="s">
        <v>526</v>
      </c>
      <c r="S3"/>
      <c r="T3"/>
      <c r="U3"/>
      <c r="V3"/>
      <c r="W3"/>
    </row>
    <row r="4" spans="1:23" ht="13.5" customHeight="1">
      <c r="A4" s="482" t="s">
        <v>527</v>
      </c>
      <c r="B4" s="480"/>
      <c r="C4" s="470" t="s">
        <v>528</v>
      </c>
      <c r="D4" s="470" t="s">
        <v>529</v>
      </c>
      <c r="E4" s="470" t="s">
        <v>530</v>
      </c>
      <c r="F4" s="470" t="s">
        <v>531</v>
      </c>
      <c r="G4" s="470" t="s">
        <v>532</v>
      </c>
      <c r="H4" s="470" t="s">
        <v>533</v>
      </c>
      <c r="I4" s="470" t="s">
        <v>534</v>
      </c>
      <c r="J4" s="470" t="s">
        <v>535</v>
      </c>
      <c r="K4" s="470" t="s">
        <v>536</v>
      </c>
      <c r="L4" s="470" t="s">
        <v>537</v>
      </c>
      <c r="M4" s="470" t="s">
        <v>538</v>
      </c>
      <c r="N4" s="470" t="s">
        <v>539</v>
      </c>
      <c r="O4" s="470" t="s">
        <v>540</v>
      </c>
      <c r="P4" s="470" t="s">
        <v>541</v>
      </c>
      <c r="Q4" s="470" t="s">
        <v>542</v>
      </c>
      <c r="R4" s="470" t="s">
        <v>543</v>
      </c>
      <c r="S4"/>
      <c r="T4"/>
      <c r="U4"/>
      <c r="V4"/>
      <c r="W4"/>
    </row>
    <row r="5" spans="1:23" ht="13.5" customHeight="1">
      <c r="A5" s="482" t="s">
        <v>544</v>
      </c>
      <c r="B5" s="480"/>
      <c r="C5" s="470" t="s">
        <v>41</v>
      </c>
      <c r="D5" s="470" t="s">
        <v>41</v>
      </c>
      <c r="E5" s="470" t="s">
        <v>41</v>
      </c>
      <c r="F5" s="470" t="s">
        <v>41</v>
      </c>
      <c r="G5" s="470" t="s">
        <v>41</v>
      </c>
      <c r="H5" s="470" t="s">
        <v>41</v>
      </c>
      <c r="I5" s="470" t="s">
        <v>41</v>
      </c>
      <c r="J5" s="470" t="s">
        <v>41</v>
      </c>
      <c r="K5" s="470" t="s">
        <v>41</v>
      </c>
      <c r="L5" s="470" t="s">
        <v>41</v>
      </c>
      <c r="M5" s="470" t="s">
        <v>41</v>
      </c>
      <c r="N5" s="470" t="s">
        <v>41</v>
      </c>
      <c r="O5" s="470" t="s">
        <v>41</v>
      </c>
      <c r="P5" s="470" t="s">
        <v>41</v>
      </c>
      <c r="Q5" s="470" t="s">
        <v>41</v>
      </c>
      <c r="R5" s="470" t="s">
        <v>41</v>
      </c>
      <c r="S5"/>
      <c r="T5"/>
      <c r="U5"/>
      <c r="V5"/>
      <c r="W5"/>
    </row>
    <row r="6" spans="1:23" ht="13.5" customHeight="1">
      <c r="B6" s="480"/>
      <c r="C6" s="470"/>
      <c r="D6" s="470"/>
      <c r="F6" s="470"/>
      <c r="G6" s="470"/>
      <c r="H6" s="470"/>
      <c r="I6" s="470"/>
      <c r="J6" s="470"/>
      <c r="K6" s="470"/>
      <c r="L6" s="470"/>
      <c r="M6" s="470"/>
      <c r="N6" s="470"/>
      <c r="O6" s="470"/>
      <c r="P6" s="470"/>
      <c r="S6"/>
      <c r="T6"/>
      <c r="U6"/>
      <c r="V6"/>
      <c r="W6"/>
    </row>
    <row r="7" spans="1:23" ht="13.5" customHeight="1">
      <c r="A7" s="485" t="s">
        <v>545</v>
      </c>
      <c r="B7" s="483"/>
      <c r="C7" s="484"/>
      <c r="D7" s="484"/>
      <c r="E7" s="484"/>
      <c r="F7" s="484"/>
      <c r="G7" s="484"/>
      <c r="H7" s="484"/>
      <c r="I7" s="484"/>
      <c r="J7" s="484"/>
      <c r="K7" s="484"/>
      <c r="L7" s="484"/>
      <c r="M7" s="484"/>
      <c r="N7" s="484"/>
      <c r="O7" s="484"/>
      <c r="P7" s="484"/>
      <c r="S7"/>
      <c r="T7"/>
      <c r="U7"/>
      <c r="V7"/>
      <c r="W7"/>
    </row>
    <row r="8" spans="1:23" ht="13.5" customHeight="1">
      <c r="A8" s="482" t="s">
        <v>546</v>
      </c>
      <c r="B8" s="480"/>
      <c r="C8" s="470">
        <v>22863963</v>
      </c>
      <c r="D8" s="470">
        <v>24415025</v>
      </c>
      <c r="E8" s="470">
        <v>25205715</v>
      </c>
      <c r="F8" s="470">
        <v>25336189</v>
      </c>
      <c r="G8" s="470">
        <v>27508735</v>
      </c>
      <c r="H8" s="470">
        <v>29657046</v>
      </c>
      <c r="I8" s="470">
        <v>34252521</v>
      </c>
      <c r="J8" s="470">
        <v>30336639</v>
      </c>
      <c r="K8" s="470">
        <v>31318532</v>
      </c>
      <c r="L8" s="470">
        <v>33463124</v>
      </c>
      <c r="M8" s="470">
        <v>35226089</v>
      </c>
      <c r="N8" s="470">
        <v>36393464</v>
      </c>
      <c r="O8" s="470">
        <v>37092670</v>
      </c>
      <c r="P8" s="470">
        <v>37804495</v>
      </c>
      <c r="Q8" s="470">
        <v>38050196</v>
      </c>
      <c r="R8" s="1">
        <v>37932366</v>
      </c>
      <c r="S8" s="1"/>
      <c r="T8" s="1"/>
      <c r="U8" s="1"/>
      <c r="V8" s="1"/>
      <c r="W8" s="1"/>
    </row>
    <row r="9" spans="1:23" ht="13.5" customHeight="1">
      <c r="A9" s="482" t="s">
        <v>547</v>
      </c>
      <c r="B9" s="480"/>
      <c r="C9" s="470">
        <v>4606130</v>
      </c>
      <c r="D9" s="470">
        <v>5312095</v>
      </c>
      <c r="E9" s="470">
        <v>6184285</v>
      </c>
      <c r="F9" s="470">
        <v>7004534</v>
      </c>
      <c r="G9" s="470">
        <v>7711304</v>
      </c>
      <c r="H9" s="470">
        <v>8388130</v>
      </c>
      <c r="I9" s="470">
        <v>9068388</v>
      </c>
      <c r="J9" s="470">
        <v>8092794</v>
      </c>
      <c r="K9" s="470">
        <v>8950747</v>
      </c>
      <c r="L9" s="470">
        <v>9915386</v>
      </c>
      <c r="M9" s="470">
        <v>10865754</v>
      </c>
      <c r="N9" s="470">
        <v>11935949</v>
      </c>
      <c r="O9" s="470">
        <v>12884539</v>
      </c>
      <c r="P9" s="470">
        <v>13905776</v>
      </c>
      <c r="Q9" s="470">
        <v>14891937</v>
      </c>
      <c r="R9" s="1">
        <v>15621127</v>
      </c>
      <c r="S9" s="1"/>
      <c r="T9" s="1"/>
      <c r="U9" s="1"/>
      <c r="V9" s="1"/>
      <c r="W9" s="1"/>
    </row>
    <row r="10" spans="1:23" ht="13.5" customHeight="1">
      <c r="A10" s="482" t="s">
        <v>548</v>
      </c>
      <c r="B10" s="75" t="s">
        <v>331</v>
      </c>
      <c r="C10" s="470">
        <v>18257833</v>
      </c>
      <c r="D10" s="470">
        <v>19102930</v>
      </c>
      <c r="E10" s="470">
        <v>19021430</v>
      </c>
      <c r="F10" s="470">
        <v>18331655</v>
      </c>
      <c r="G10" s="470">
        <v>19797431</v>
      </c>
      <c r="H10" s="470">
        <v>21268916</v>
      </c>
      <c r="I10" s="470">
        <v>25184133</v>
      </c>
      <c r="J10" s="470">
        <v>22243845</v>
      </c>
      <c r="K10" s="470">
        <v>22367785</v>
      </c>
      <c r="L10" s="470">
        <v>23547738</v>
      </c>
      <c r="M10" s="470">
        <v>24360335</v>
      </c>
      <c r="N10" s="470">
        <v>24457515</v>
      </c>
      <c r="O10" s="470">
        <v>24208131</v>
      </c>
      <c r="P10" s="470">
        <v>23898719</v>
      </c>
      <c r="Q10" s="470">
        <v>23158259</v>
      </c>
      <c r="R10" s="1">
        <v>22311239</v>
      </c>
      <c r="S10" s="1"/>
      <c r="T10" s="1"/>
      <c r="U10" s="1"/>
      <c r="V10" s="1"/>
      <c r="W10" s="1"/>
    </row>
    <row r="11" spans="1:23" ht="13.5" customHeight="1">
      <c r="A11" s="482" t="s">
        <v>549</v>
      </c>
      <c r="B11" s="75" t="s">
        <v>321</v>
      </c>
      <c r="C11" s="470">
        <v>929360</v>
      </c>
      <c r="D11" s="470">
        <v>501982</v>
      </c>
      <c r="E11" s="470">
        <v>773544</v>
      </c>
      <c r="F11" s="470">
        <v>3957718</v>
      </c>
      <c r="G11" s="470">
        <v>796718</v>
      </c>
      <c r="H11" s="470">
        <v>798650</v>
      </c>
      <c r="I11" s="470">
        <v>1184518</v>
      </c>
      <c r="J11" s="470">
        <v>1691006</v>
      </c>
      <c r="K11" s="470">
        <v>612282</v>
      </c>
      <c r="L11" s="470">
        <v>701134</v>
      </c>
      <c r="M11" s="470">
        <v>560059</v>
      </c>
      <c r="N11" s="470">
        <v>1482309</v>
      </c>
      <c r="O11" s="470">
        <v>514335</v>
      </c>
      <c r="P11" s="470">
        <v>669373</v>
      </c>
      <c r="Q11" s="470">
        <v>1011613</v>
      </c>
      <c r="R11" s="1">
        <v>533936</v>
      </c>
      <c r="S11" s="1"/>
      <c r="T11" s="1"/>
      <c r="U11" s="1"/>
      <c r="V11" s="1"/>
      <c r="W11" s="1"/>
    </row>
    <row r="12" spans="1:23" ht="13.5" customHeight="1">
      <c r="A12" s="482" t="s">
        <v>550</v>
      </c>
      <c r="B12" s="75" t="s">
        <v>323</v>
      </c>
      <c r="C12" s="470">
        <v>380128</v>
      </c>
      <c r="D12" s="470">
        <v>447224</v>
      </c>
      <c r="E12" s="470">
        <v>414856</v>
      </c>
      <c r="F12" s="470">
        <v>402729</v>
      </c>
      <c r="G12" s="470">
        <v>426736</v>
      </c>
      <c r="H12" s="470">
        <v>486731</v>
      </c>
      <c r="I12" s="470">
        <v>521301</v>
      </c>
      <c r="J12" s="470">
        <v>520361</v>
      </c>
      <c r="K12" s="470">
        <v>580197</v>
      </c>
      <c r="L12" s="470">
        <v>624605</v>
      </c>
      <c r="M12" s="470">
        <v>664619</v>
      </c>
      <c r="N12" s="470">
        <v>742672</v>
      </c>
      <c r="O12" s="470">
        <v>763815</v>
      </c>
      <c r="P12" s="470">
        <v>832151</v>
      </c>
      <c r="Q12" s="470">
        <v>1236734</v>
      </c>
      <c r="R12" s="1">
        <v>919654</v>
      </c>
      <c r="S12" s="1"/>
      <c r="T12" s="1"/>
      <c r="U12" s="1"/>
      <c r="V12" s="1"/>
      <c r="W12" s="1"/>
    </row>
    <row r="13" spans="1:23" ht="13.5" customHeight="1">
      <c r="A13" s="482" t="s">
        <v>551</v>
      </c>
      <c r="B13" s="98" t="s">
        <v>340</v>
      </c>
      <c r="C13" s="470">
        <v>1526235</v>
      </c>
      <c r="D13" s="470">
        <v>1886891</v>
      </c>
      <c r="E13" s="470">
        <v>1663886</v>
      </c>
      <c r="F13" s="470">
        <v>1468577</v>
      </c>
      <c r="G13" s="470">
        <v>1390105</v>
      </c>
      <c r="H13" s="470">
        <v>1378084</v>
      </c>
      <c r="I13" s="470">
        <v>2108966</v>
      </c>
      <c r="J13" s="470">
        <v>2429845</v>
      </c>
      <c r="K13" s="470">
        <v>2378800</v>
      </c>
      <c r="L13" s="470">
        <v>2481574</v>
      </c>
      <c r="M13" s="470">
        <v>2367583</v>
      </c>
      <c r="N13" s="470">
        <v>2266483</v>
      </c>
      <c r="O13" s="470">
        <v>2220414</v>
      </c>
      <c r="P13" s="470">
        <v>2371053</v>
      </c>
      <c r="Q13" s="470">
        <v>2603571</v>
      </c>
      <c r="R13" s="1">
        <v>3075375</v>
      </c>
      <c r="S13" s="1"/>
      <c r="T13" s="1"/>
      <c r="U13" s="1"/>
      <c r="V13" s="1"/>
      <c r="W13" s="1"/>
    </row>
    <row r="14" spans="1:23" ht="13.5" customHeight="1">
      <c r="A14" s="482" t="s">
        <v>552</v>
      </c>
      <c r="B14" s="98" t="s">
        <v>340</v>
      </c>
      <c r="C14" s="470" t="s">
        <v>37</v>
      </c>
      <c r="D14" s="470" t="s">
        <v>37</v>
      </c>
      <c r="E14" s="470" t="s">
        <v>37</v>
      </c>
      <c r="F14" s="470" t="s">
        <v>37</v>
      </c>
      <c r="G14" s="470" t="s">
        <v>37</v>
      </c>
      <c r="H14" s="470">
        <v>0</v>
      </c>
      <c r="I14" s="470">
        <v>2016954</v>
      </c>
      <c r="J14" s="470">
        <v>2014415</v>
      </c>
      <c r="K14" s="470">
        <v>1786477</v>
      </c>
      <c r="L14" s="470">
        <v>1943363</v>
      </c>
      <c r="M14" s="470">
        <v>1797394</v>
      </c>
      <c r="N14" s="470">
        <v>1934676</v>
      </c>
      <c r="O14" s="470">
        <v>1769488</v>
      </c>
      <c r="P14" s="470">
        <v>1731649</v>
      </c>
      <c r="Q14" s="470">
        <v>1729690</v>
      </c>
      <c r="R14" s="1">
        <v>1661943</v>
      </c>
      <c r="S14" s="1"/>
      <c r="T14" s="1"/>
      <c r="U14" s="1"/>
      <c r="V14" s="1"/>
      <c r="W14" s="1"/>
    </row>
    <row r="15" spans="1:23" ht="13.5" customHeight="1">
      <c r="A15" s="486" t="s">
        <v>553</v>
      </c>
      <c r="B15" s="98" t="s">
        <v>340</v>
      </c>
      <c r="C15" s="470"/>
      <c r="D15" s="470"/>
      <c r="E15" s="470"/>
      <c r="F15" s="470"/>
      <c r="G15" s="470"/>
      <c r="H15" s="470"/>
      <c r="I15" s="470"/>
      <c r="J15" s="470"/>
      <c r="K15" s="470"/>
      <c r="L15" s="470"/>
      <c r="M15" s="470"/>
      <c r="N15" s="470"/>
      <c r="O15" s="470"/>
      <c r="P15" s="470"/>
      <c r="Q15" s="470">
        <v>3451897</v>
      </c>
      <c r="R15" s="1">
        <v>3305102</v>
      </c>
      <c r="S15"/>
      <c r="T15"/>
      <c r="U15"/>
      <c r="V15" s="1"/>
      <c r="W15" s="1"/>
    </row>
    <row r="16" spans="1:23" ht="13.5" customHeight="1">
      <c r="A16" s="482" t="s">
        <v>554</v>
      </c>
      <c r="B16" s="75" t="s">
        <v>339</v>
      </c>
      <c r="C16" s="470" t="s">
        <v>37</v>
      </c>
      <c r="D16" s="470" t="s">
        <v>37</v>
      </c>
      <c r="E16" s="470" t="s">
        <v>37</v>
      </c>
      <c r="F16" s="470" t="s">
        <v>37</v>
      </c>
      <c r="G16" s="470" t="s">
        <v>37</v>
      </c>
      <c r="H16" s="470" t="s">
        <v>37</v>
      </c>
      <c r="I16" s="470" t="s">
        <v>37</v>
      </c>
      <c r="J16" s="470" t="s">
        <v>37</v>
      </c>
      <c r="K16" s="470" t="s">
        <v>37</v>
      </c>
      <c r="L16" s="470" t="s">
        <v>37</v>
      </c>
      <c r="M16" s="470" t="s">
        <v>37</v>
      </c>
      <c r="N16" s="470">
        <v>0</v>
      </c>
      <c r="O16" s="470">
        <v>0</v>
      </c>
      <c r="P16" s="470">
        <v>514660</v>
      </c>
      <c r="Q16" s="470">
        <v>512914</v>
      </c>
      <c r="R16" s="1">
        <v>504119</v>
      </c>
      <c r="S16"/>
      <c r="T16"/>
      <c r="U16" s="1"/>
      <c r="V16" s="1"/>
      <c r="W16" s="1"/>
    </row>
    <row r="17" spans="1:23" ht="13.5" customHeight="1">
      <c r="A17" s="482" t="s">
        <v>555</v>
      </c>
      <c r="B17" s="75" t="s">
        <v>339</v>
      </c>
      <c r="C17" s="470">
        <v>990899</v>
      </c>
      <c r="D17" s="470">
        <v>955439</v>
      </c>
      <c r="E17" s="470">
        <v>1028333</v>
      </c>
      <c r="F17" s="470">
        <v>1155587</v>
      </c>
      <c r="G17" s="470">
        <v>1795439</v>
      </c>
      <c r="H17" s="470">
        <v>1633544</v>
      </c>
      <c r="I17" s="470">
        <v>1570734</v>
      </c>
      <c r="J17" s="470">
        <v>1422788</v>
      </c>
      <c r="K17" s="470">
        <v>1806789</v>
      </c>
      <c r="L17" s="470">
        <v>1266768</v>
      </c>
      <c r="M17" s="470">
        <v>1353588</v>
      </c>
      <c r="N17" s="470">
        <v>1373983</v>
      </c>
      <c r="O17" s="470">
        <v>1210040</v>
      </c>
      <c r="P17" s="470">
        <v>1214025</v>
      </c>
      <c r="Q17" s="470">
        <v>1082168</v>
      </c>
      <c r="R17" s="1">
        <v>1121011</v>
      </c>
      <c r="S17" s="1"/>
      <c r="T17" s="1"/>
      <c r="U17" s="1"/>
      <c r="V17" s="1"/>
      <c r="W17" s="1"/>
    </row>
    <row r="18" spans="1:23" ht="13.5" customHeight="1">
      <c r="A18" s="482" t="s">
        <v>556</v>
      </c>
      <c r="B18" s="75" t="s">
        <v>339</v>
      </c>
      <c r="C18" s="470">
        <v>0</v>
      </c>
      <c r="D18" s="470">
        <v>548000</v>
      </c>
      <c r="E18" s="470">
        <v>520700</v>
      </c>
      <c r="F18" s="470">
        <v>632000</v>
      </c>
      <c r="G18" s="470">
        <v>651000</v>
      </c>
      <c r="H18" s="470">
        <v>651000</v>
      </c>
      <c r="I18" s="470" t="s">
        <v>37</v>
      </c>
      <c r="J18" s="470" t="s">
        <v>37</v>
      </c>
      <c r="K18" s="470" t="s">
        <v>37</v>
      </c>
      <c r="L18" s="470" t="s">
        <v>37</v>
      </c>
      <c r="M18" s="470" t="s">
        <v>37</v>
      </c>
      <c r="N18" s="470" t="s">
        <v>37</v>
      </c>
      <c r="O18" s="470">
        <v>0</v>
      </c>
      <c r="P18" s="470">
        <v>0</v>
      </c>
      <c r="Q18" s="470"/>
      <c r="R18" s="1">
        <v>345000</v>
      </c>
      <c r="S18"/>
      <c r="T18"/>
      <c r="U18"/>
      <c r="V18"/>
      <c r="W18" s="1"/>
    </row>
    <row r="19" spans="1:23" ht="13.5" customHeight="1">
      <c r="A19" s="482" t="s">
        <v>557</v>
      </c>
      <c r="B19" s="75" t="s">
        <v>339</v>
      </c>
      <c r="C19" s="470" t="s">
        <v>37</v>
      </c>
      <c r="D19" s="470" t="s">
        <v>37</v>
      </c>
      <c r="E19" s="470" t="s">
        <v>37</v>
      </c>
      <c r="F19" s="470" t="s">
        <v>37</v>
      </c>
      <c r="G19" s="470" t="s">
        <v>37</v>
      </c>
      <c r="H19" s="470" t="s">
        <v>37</v>
      </c>
      <c r="I19" s="470" t="s">
        <v>37</v>
      </c>
      <c r="J19" s="470">
        <v>3002314</v>
      </c>
      <c r="K19" s="470" t="s">
        <v>37</v>
      </c>
      <c r="L19" s="470" t="s">
        <v>37</v>
      </c>
      <c r="M19" s="470" t="s">
        <v>37</v>
      </c>
      <c r="N19" s="470" t="s">
        <v>37</v>
      </c>
      <c r="O19" s="470" t="s">
        <v>37</v>
      </c>
      <c r="P19" s="470" t="s">
        <v>37</v>
      </c>
      <c r="Q19" s="470"/>
    </row>
    <row r="20" spans="1:23" ht="13.5" customHeight="1">
      <c r="A20" s="487" t="s">
        <v>558</v>
      </c>
      <c r="B20" s="480"/>
      <c r="C20" s="470">
        <v>22084455</v>
      </c>
      <c r="D20" s="470">
        <v>23442466</v>
      </c>
      <c r="E20" s="470">
        <v>23422749</v>
      </c>
      <c r="F20" s="470">
        <v>25948266</v>
      </c>
      <c r="G20" s="470">
        <v>24857429</v>
      </c>
      <c r="H20" s="470">
        <v>26216925</v>
      </c>
      <c r="I20" s="470">
        <v>32586606</v>
      </c>
      <c r="J20" s="470">
        <v>33324574</v>
      </c>
      <c r="K20" s="470">
        <v>29532330</v>
      </c>
      <c r="L20" s="470">
        <v>30565182</v>
      </c>
      <c r="M20" s="470">
        <v>31103578</v>
      </c>
      <c r="N20" s="470">
        <v>32257638</v>
      </c>
      <c r="O20" s="470">
        <v>30686223</v>
      </c>
      <c r="P20" s="470">
        <v>31231630</v>
      </c>
      <c r="Q20" s="470">
        <v>34786846</v>
      </c>
      <c r="R20" s="1">
        <v>33777379</v>
      </c>
      <c r="S20" s="1"/>
      <c r="T20" s="1"/>
      <c r="U20" s="1"/>
      <c r="V20" s="1"/>
      <c r="W20" s="1"/>
    </row>
    <row r="21" spans="1:23" ht="13.5" customHeight="1">
      <c r="A21" s="485" t="s">
        <v>559</v>
      </c>
      <c r="B21" s="483"/>
      <c r="C21" s="484"/>
      <c r="D21" s="484"/>
      <c r="E21" s="484"/>
      <c r="F21" s="484"/>
      <c r="G21" s="484"/>
      <c r="H21" s="484"/>
      <c r="I21" s="484"/>
      <c r="J21" s="484"/>
      <c r="K21" s="484"/>
      <c r="L21" s="484"/>
      <c r="M21" s="484"/>
      <c r="N21" s="484"/>
      <c r="O21" s="484"/>
      <c r="P21" s="484"/>
      <c r="Q21" s="470"/>
    </row>
    <row r="22" spans="1:23" ht="13.5" customHeight="1">
      <c r="A22" s="482" t="s">
        <v>560</v>
      </c>
      <c r="B22" s="480"/>
      <c r="C22" s="470">
        <v>15394489</v>
      </c>
      <c r="D22" s="470">
        <v>17218674</v>
      </c>
      <c r="E22" s="470">
        <v>18042532</v>
      </c>
      <c r="F22" s="470">
        <v>18630302</v>
      </c>
      <c r="G22" s="470">
        <v>17473760</v>
      </c>
      <c r="H22" s="470">
        <v>18446440</v>
      </c>
      <c r="I22" s="470">
        <v>23113007</v>
      </c>
      <c r="J22" s="470">
        <v>22669917</v>
      </c>
      <c r="K22" s="470">
        <v>20852993</v>
      </c>
      <c r="L22" s="470">
        <v>22416682</v>
      </c>
      <c r="M22" s="470">
        <v>22977104</v>
      </c>
      <c r="N22" s="470">
        <v>24632463</v>
      </c>
      <c r="O22" s="470">
        <v>23305535</v>
      </c>
      <c r="P22" s="470">
        <v>24163230</v>
      </c>
      <c r="Q22" s="470">
        <v>26723361</v>
      </c>
      <c r="R22" s="1">
        <v>25321022</v>
      </c>
      <c r="S22" s="1"/>
      <c r="T22" s="1"/>
      <c r="U22" s="1"/>
      <c r="V22" s="1"/>
      <c r="W22" s="1"/>
    </row>
    <row r="23" spans="1:23" ht="13.5" customHeight="1">
      <c r="A23" s="482" t="s">
        <v>561</v>
      </c>
      <c r="B23" s="75" t="s">
        <v>342</v>
      </c>
      <c r="C23" s="470">
        <v>1109190</v>
      </c>
      <c r="D23" s="470">
        <v>1251044</v>
      </c>
      <c r="E23" s="470">
        <v>1086248</v>
      </c>
      <c r="F23" s="470">
        <v>987530</v>
      </c>
      <c r="G23" s="470">
        <v>993738</v>
      </c>
      <c r="H23" s="470">
        <v>1091712</v>
      </c>
      <c r="I23" s="470">
        <v>1374172</v>
      </c>
      <c r="J23" s="470">
        <v>1223102</v>
      </c>
      <c r="K23" s="470">
        <v>1259681</v>
      </c>
      <c r="L23" s="470">
        <v>1323801</v>
      </c>
      <c r="M23" s="470">
        <v>1214022</v>
      </c>
      <c r="N23" s="470">
        <v>1269190</v>
      </c>
      <c r="O23" s="470">
        <v>1316861</v>
      </c>
      <c r="P23" s="470">
        <v>1390682</v>
      </c>
      <c r="Q23" s="470">
        <v>1311925</v>
      </c>
      <c r="R23" s="1">
        <v>1433216</v>
      </c>
      <c r="S23" s="1"/>
      <c r="T23" s="1"/>
      <c r="U23" s="1"/>
      <c r="V23" s="1"/>
      <c r="W23" s="1"/>
    </row>
    <row r="24" spans="1:23" ht="13.5" customHeight="1">
      <c r="A24" s="482" t="s">
        <v>562</v>
      </c>
      <c r="B24" s="75" t="s">
        <v>348</v>
      </c>
      <c r="C24" s="470">
        <v>227588</v>
      </c>
      <c r="D24" s="470">
        <v>352798</v>
      </c>
      <c r="E24" s="470">
        <v>380730</v>
      </c>
      <c r="F24" s="470">
        <v>457754</v>
      </c>
      <c r="G24" s="470">
        <v>485855</v>
      </c>
      <c r="H24" s="470">
        <v>695569</v>
      </c>
      <c r="I24" s="470">
        <v>724744</v>
      </c>
      <c r="J24" s="470">
        <v>1050278</v>
      </c>
      <c r="K24" s="470">
        <v>1167163</v>
      </c>
      <c r="L24" s="470">
        <v>1368544</v>
      </c>
      <c r="M24" s="470">
        <v>1359738</v>
      </c>
      <c r="N24" s="470">
        <v>1406378</v>
      </c>
      <c r="O24" s="470">
        <v>1536111</v>
      </c>
      <c r="P24" s="470">
        <v>1566294</v>
      </c>
      <c r="Q24" s="470">
        <v>1577393</v>
      </c>
      <c r="R24" s="1">
        <v>1573105</v>
      </c>
      <c r="S24" s="1"/>
      <c r="T24" s="1"/>
      <c r="U24" s="1"/>
      <c r="V24" s="1"/>
      <c r="W24" s="1"/>
    </row>
    <row r="25" spans="1:23" ht="13.5" customHeight="1">
      <c r="A25" s="482" t="s">
        <v>563</v>
      </c>
      <c r="B25" s="75" t="s">
        <v>348</v>
      </c>
      <c r="C25" s="470" t="s">
        <v>37</v>
      </c>
      <c r="D25" s="470" t="s">
        <v>37</v>
      </c>
      <c r="E25" s="470" t="s">
        <v>37</v>
      </c>
      <c r="F25" s="470" t="s">
        <v>37</v>
      </c>
      <c r="G25" s="470" t="s">
        <v>37</v>
      </c>
      <c r="H25" s="470" t="s">
        <v>37</v>
      </c>
      <c r="I25" s="470" t="s">
        <v>37</v>
      </c>
      <c r="J25" s="470" t="s">
        <v>37</v>
      </c>
      <c r="K25" s="470" t="s">
        <v>37</v>
      </c>
      <c r="L25" s="470" t="s">
        <v>37</v>
      </c>
      <c r="M25" s="470" t="s">
        <v>37</v>
      </c>
      <c r="N25" s="470" t="s">
        <v>37</v>
      </c>
      <c r="O25" s="470">
        <v>0</v>
      </c>
      <c r="P25" s="470">
        <v>0</v>
      </c>
      <c r="Q25" s="470">
        <v>486922</v>
      </c>
      <c r="R25" s="1">
        <v>1468</v>
      </c>
      <c r="S25"/>
      <c r="T25"/>
      <c r="U25"/>
      <c r="V25" s="1"/>
      <c r="W25" s="1"/>
    </row>
    <row r="26" spans="1:23" ht="13.5" customHeight="1">
      <c r="A26" s="482" t="s">
        <v>564</v>
      </c>
      <c r="B26" s="75" t="s">
        <v>348</v>
      </c>
      <c r="C26" s="470" t="s">
        <v>37</v>
      </c>
      <c r="D26" s="470" t="s">
        <v>37</v>
      </c>
      <c r="E26" s="470" t="s">
        <v>37</v>
      </c>
      <c r="F26" s="470" t="s">
        <v>37</v>
      </c>
      <c r="G26" s="470" t="s">
        <v>37</v>
      </c>
      <c r="H26" s="470" t="s">
        <v>37</v>
      </c>
      <c r="I26" s="470" t="s">
        <v>37</v>
      </c>
      <c r="J26" s="470" t="s">
        <v>37</v>
      </c>
      <c r="K26" s="470" t="s">
        <v>37</v>
      </c>
      <c r="L26" s="470" t="s">
        <v>37</v>
      </c>
      <c r="M26" s="470" t="s">
        <v>37</v>
      </c>
      <c r="N26" s="470" t="s">
        <v>37</v>
      </c>
      <c r="O26" s="470">
        <v>0</v>
      </c>
      <c r="P26" s="470">
        <v>516809</v>
      </c>
      <c r="Q26" s="470">
        <v>515492</v>
      </c>
      <c r="R26" s="1">
        <v>506931</v>
      </c>
      <c r="S26"/>
      <c r="T26"/>
      <c r="U26" s="1"/>
      <c r="V26" s="1"/>
      <c r="W26" s="1"/>
    </row>
    <row r="27" spans="1:23" ht="13.5" customHeight="1">
      <c r="A27" s="482" t="s">
        <v>565</v>
      </c>
      <c r="B27" s="75" t="s">
        <v>348</v>
      </c>
      <c r="C27" s="470">
        <v>178250</v>
      </c>
      <c r="D27" s="470">
        <v>155937</v>
      </c>
      <c r="E27" s="470">
        <v>155151</v>
      </c>
      <c r="F27" s="470">
        <v>159345</v>
      </c>
      <c r="G27" s="470">
        <v>184855</v>
      </c>
      <c r="H27" s="470">
        <v>170971</v>
      </c>
      <c r="I27" s="470">
        <v>303588</v>
      </c>
      <c r="J27" s="470">
        <v>250371</v>
      </c>
      <c r="K27" s="470">
        <v>275451</v>
      </c>
      <c r="L27" s="470">
        <v>214249</v>
      </c>
      <c r="M27" s="470">
        <v>455040</v>
      </c>
      <c r="N27" s="470">
        <v>520363</v>
      </c>
      <c r="O27" s="470">
        <v>500597</v>
      </c>
      <c r="P27" s="470">
        <v>464304</v>
      </c>
      <c r="Q27" s="470">
        <v>513515</v>
      </c>
      <c r="R27" s="1">
        <v>540912</v>
      </c>
      <c r="S27" s="1"/>
      <c r="T27" s="1"/>
      <c r="U27" s="1"/>
      <c r="V27" s="1"/>
      <c r="W27" s="1"/>
    </row>
    <row r="28" spans="1:23" ht="13.5" customHeight="1">
      <c r="A28" s="482" t="s">
        <v>566</v>
      </c>
      <c r="B28" s="75" t="s">
        <v>348</v>
      </c>
      <c r="C28" s="470" t="s">
        <v>37</v>
      </c>
      <c r="D28" s="470" t="s">
        <v>37</v>
      </c>
      <c r="E28" s="470" t="s">
        <v>37</v>
      </c>
      <c r="F28" s="470" t="s">
        <v>37</v>
      </c>
      <c r="G28" s="470" t="s">
        <v>37</v>
      </c>
      <c r="H28" s="470" t="s">
        <v>37</v>
      </c>
      <c r="I28" s="470" t="s">
        <v>37</v>
      </c>
      <c r="J28" s="470">
        <v>1117789</v>
      </c>
      <c r="K28" s="470" t="s">
        <v>37</v>
      </c>
      <c r="L28" s="470" t="s">
        <v>37</v>
      </c>
      <c r="M28" s="470" t="s">
        <v>37</v>
      </c>
      <c r="N28" s="470" t="s">
        <v>37</v>
      </c>
      <c r="O28" s="470" t="s">
        <v>37</v>
      </c>
      <c r="P28" s="470" t="s">
        <v>37</v>
      </c>
      <c r="Q28" s="470"/>
    </row>
    <row r="29" spans="1:23" ht="13.5" customHeight="1">
      <c r="A29" s="487" t="s">
        <v>567</v>
      </c>
      <c r="B29" s="480"/>
      <c r="C29" s="470">
        <v>16909517</v>
      </c>
      <c r="D29" s="470">
        <v>18978453</v>
      </c>
      <c r="E29" s="470">
        <v>19664661</v>
      </c>
      <c r="F29" s="470">
        <v>20234931</v>
      </c>
      <c r="G29" s="470">
        <v>19138208</v>
      </c>
      <c r="H29" s="470">
        <v>20404692</v>
      </c>
      <c r="I29" s="470">
        <v>25515511</v>
      </c>
      <c r="J29" s="470">
        <v>26311457</v>
      </c>
      <c r="K29" s="470">
        <v>23555288</v>
      </c>
      <c r="L29" s="470">
        <v>25323276</v>
      </c>
      <c r="M29" s="470">
        <v>26005904</v>
      </c>
      <c r="N29" s="470">
        <v>27828394</v>
      </c>
      <c r="O29" s="470">
        <v>26659104</v>
      </c>
      <c r="P29" s="470">
        <v>28101319</v>
      </c>
      <c r="Q29" s="470">
        <v>31128608</v>
      </c>
      <c r="R29" s="1">
        <v>29376654</v>
      </c>
      <c r="S29" s="1"/>
      <c r="T29" s="1"/>
      <c r="U29" s="1"/>
      <c r="V29" s="1"/>
      <c r="W29" s="1"/>
    </row>
    <row r="30" spans="1:23" ht="13.5" customHeight="1">
      <c r="A30" s="482" t="s">
        <v>568</v>
      </c>
      <c r="B30" s="480"/>
      <c r="C30" s="470">
        <v>837836</v>
      </c>
      <c r="D30" s="470" t="s">
        <v>37</v>
      </c>
      <c r="E30" s="470" t="s">
        <v>37</v>
      </c>
      <c r="F30" s="470" t="s">
        <v>37</v>
      </c>
      <c r="G30" s="470" t="s">
        <v>37</v>
      </c>
      <c r="H30" s="470" t="s">
        <v>37</v>
      </c>
      <c r="I30" s="470" t="s">
        <v>37</v>
      </c>
      <c r="J30" s="470" t="s">
        <v>37</v>
      </c>
      <c r="K30" s="470" t="s">
        <v>37</v>
      </c>
      <c r="L30" s="470" t="s">
        <v>37</v>
      </c>
      <c r="M30" s="470" t="s">
        <v>37</v>
      </c>
      <c r="N30" s="470" t="s">
        <v>37</v>
      </c>
      <c r="O30" s="470" t="s">
        <v>37</v>
      </c>
      <c r="P30" s="470" t="s">
        <v>37</v>
      </c>
      <c r="Q30" s="470"/>
    </row>
    <row r="31" spans="1:23" ht="13.5" customHeight="1">
      <c r="A31" s="482" t="s">
        <v>569</v>
      </c>
      <c r="B31" s="75" t="s">
        <v>357</v>
      </c>
      <c r="C31" s="470">
        <v>357460</v>
      </c>
      <c r="D31" s="470">
        <v>349154</v>
      </c>
      <c r="E31" s="470">
        <v>276608</v>
      </c>
      <c r="F31" s="470">
        <v>125815</v>
      </c>
      <c r="G31" s="470">
        <v>85469</v>
      </c>
      <c r="H31" s="470">
        <v>267945</v>
      </c>
      <c r="I31" s="470">
        <v>178006</v>
      </c>
      <c r="J31" s="470">
        <v>190485</v>
      </c>
      <c r="K31" s="470">
        <v>25537</v>
      </c>
      <c r="L31" s="470">
        <v>25537</v>
      </c>
      <c r="M31" s="470">
        <v>137762</v>
      </c>
      <c r="N31" s="470">
        <v>190480</v>
      </c>
      <c r="O31" s="470">
        <v>230163</v>
      </c>
      <c r="P31" s="470">
        <v>219061</v>
      </c>
      <c r="Q31" s="470">
        <v>185892</v>
      </c>
      <c r="R31" s="1">
        <v>547740</v>
      </c>
      <c r="S31" s="1"/>
      <c r="T31" s="1"/>
      <c r="U31" s="1"/>
      <c r="V31" s="1"/>
      <c r="W31" s="1"/>
    </row>
    <row r="32" spans="1:23" ht="13.5" customHeight="1">
      <c r="A32" s="482" t="s">
        <v>570</v>
      </c>
      <c r="B32" s="480"/>
      <c r="C32" s="470" t="s">
        <v>37</v>
      </c>
      <c r="D32" s="470">
        <v>700247</v>
      </c>
      <c r="E32" s="470">
        <v>379513</v>
      </c>
      <c r="F32" s="470">
        <v>404558</v>
      </c>
      <c r="G32" s="470" t="s">
        <v>37</v>
      </c>
      <c r="H32" s="470" t="s">
        <v>37</v>
      </c>
      <c r="I32" s="470" t="s">
        <v>37</v>
      </c>
      <c r="J32" s="470" t="s">
        <v>37</v>
      </c>
      <c r="K32" s="470" t="s">
        <v>37</v>
      </c>
      <c r="L32" s="470" t="s">
        <v>37</v>
      </c>
      <c r="M32" s="470" t="s">
        <v>37</v>
      </c>
      <c r="N32" s="470" t="s">
        <v>37</v>
      </c>
      <c r="O32" s="470" t="s">
        <v>37</v>
      </c>
      <c r="P32" s="470" t="s">
        <v>37</v>
      </c>
      <c r="Q32" s="470"/>
    </row>
    <row r="33" spans="1:23" ht="13.5" customHeight="1">
      <c r="A33" s="485" t="s">
        <v>571</v>
      </c>
      <c r="B33" s="483"/>
      <c r="C33" s="484"/>
      <c r="D33" s="484"/>
      <c r="E33" s="484"/>
      <c r="F33" s="484"/>
      <c r="G33" s="484"/>
      <c r="H33" s="484"/>
      <c r="I33" s="484"/>
      <c r="J33" s="484"/>
      <c r="K33" s="484"/>
      <c r="L33" s="484"/>
      <c r="M33" s="484"/>
      <c r="N33" s="484"/>
      <c r="O33" s="484"/>
      <c r="P33" s="484"/>
      <c r="Q33" s="470"/>
    </row>
    <row r="34" spans="1:23" ht="13.5" customHeight="1">
      <c r="A34" s="482" t="s">
        <v>572</v>
      </c>
      <c r="B34" s="480"/>
      <c r="C34" s="470"/>
      <c r="D34" s="470"/>
      <c r="E34" s="470"/>
      <c r="F34" s="470"/>
      <c r="G34" s="470"/>
      <c r="H34" s="470"/>
      <c r="I34" s="470"/>
      <c r="J34" s="470"/>
      <c r="K34" s="470"/>
      <c r="L34" s="470"/>
      <c r="M34" s="470"/>
      <c r="N34" s="470"/>
      <c r="O34" s="470"/>
      <c r="P34" s="470"/>
      <c r="Q34" s="470"/>
    </row>
    <row r="35" spans="1:23" ht="13.5" customHeight="1">
      <c r="A35" s="482" t="s">
        <v>573</v>
      </c>
      <c r="B35" s="480"/>
      <c r="C35" s="470"/>
      <c r="D35" s="470"/>
      <c r="E35" s="470"/>
      <c r="F35" s="470"/>
      <c r="G35" s="470"/>
      <c r="H35" s="470"/>
      <c r="I35" s="470"/>
      <c r="J35" s="470"/>
      <c r="K35" s="470"/>
      <c r="L35" s="470"/>
      <c r="M35" s="470"/>
      <c r="N35" s="470"/>
      <c r="O35" s="470"/>
      <c r="P35" s="470"/>
      <c r="Q35" s="470"/>
    </row>
    <row r="36" spans="1:23" ht="13.5" customHeight="1">
      <c r="A36" s="482" t="s">
        <v>574</v>
      </c>
      <c r="B36" s="75" t="s">
        <v>357</v>
      </c>
      <c r="C36" s="470">
        <v>884620</v>
      </c>
      <c r="D36" s="470">
        <v>46361</v>
      </c>
      <c r="E36" s="470">
        <v>46032</v>
      </c>
      <c r="F36" s="470">
        <v>45704</v>
      </c>
      <c r="G36" s="470">
        <v>45375</v>
      </c>
      <c r="H36" s="470">
        <v>45047</v>
      </c>
      <c r="I36" s="470">
        <v>44719</v>
      </c>
      <c r="J36" s="470">
        <v>44390</v>
      </c>
      <c r="K36" s="470">
        <v>44062</v>
      </c>
      <c r="L36" s="470">
        <v>43733</v>
      </c>
      <c r="M36" s="470">
        <v>43405</v>
      </c>
      <c r="N36" s="470">
        <v>43077</v>
      </c>
      <c r="O36" s="470">
        <v>42748</v>
      </c>
      <c r="P36" s="470">
        <v>42420</v>
      </c>
      <c r="Q36" s="470">
        <v>42091</v>
      </c>
      <c r="R36" s="1">
        <v>41763</v>
      </c>
      <c r="S36" s="1"/>
      <c r="T36" s="1"/>
      <c r="U36" s="1"/>
      <c r="V36" s="1"/>
      <c r="W36" s="1"/>
    </row>
    <row r="37" spans="1:23" ht="13.5" customHeight="1">
      <c r="A37" s="482" t="s">
        <v>575</v>
      </c>
      <c r="B37" s="75" t="s">
        <v>351</v>
      </c>
      <c r="C37" s="470">
        <v>23</v>
      </c>
      <c r="D37" s="470">
        <v>23</v>
      </c>
      <c r="E37" s="470">
        <v>24</v>
      </c>
      <c r="F37" s="470">
        <v>29</v>
      </c>
      <c r="G37" s="470">
        <v>30</v>
      </c>
      <c r="H37" s="470">
        <v>30</v>
      </c>
      <c r="I37" s="470">
        <v>31</v>
      </c>
      <c r="J37" s="470">
        <v>31</v>
      </c>
      <c r="K37" s="470">
        <v>31</v>
      </c>
      <c r="L37" s="470">
        <v>31</v>
      </c>
      <c r="M37" s="470">
        <v>32</v>
      </c>
      <c r="N37" s="470">
        <v>32</v>
      </c>
      <c r="O37" s="470">
        <v>32</v>
      </c>
      <c r="P37" s="470">
        <v>32</v>
      </c>
      <c r="Q37" s="470">
        <v>34</v>
      </c>
      <c r="R37">
        <v>34</v>
      </c>
      <c r="S37"/>
      <c r="T37"/>
      <c r="U37"/>
      <c r="V37"/>
      <c r="W37"/>
    </row>
    <row r="38" spans="1:23" ht="13.5" customHeight="1">
      <c r="A38" s="482" t="s">
        <v>576</v>
      </c>
      <c r="B38" s="480"/>
      <c r="C38" s="470">
        <v>0</v>
      </c>
      <c r="D38" s="470">
        <v>0</v>
      </c>
      <c r="E38" s="470">
        <v>0</v>
      </c>
      <c r="F38" s="470">
        <v>0</v>
      </c>
      <c r="G38" s="470">
        <v>0</v>
      </c>
      <c r="H38" s="470">
        <v>0</v>
      </c>
      <c r="I38" s="470">
        <v>0</v>
      </c>
      <c r="J38" s="470">
        <v>0</v>
      </c>
      <c r="K38" s="470">
        <v>0</v>
      </c>
      <c r="L38" s="470">
        <v>0</v>
      </c>
      <c r="M38" s="470">
        <v>0</v>
      </c>
      <c r="N38" s="470">
        <v>0</v>
      </c>
      <c r="O38" s="470">
        <v>0</v>
      </c>
      <c r="P38" s="470">
        <v>0</v>
      </c>
      <c r="Q38" s="470"/>
      <c r="R38">
        <v>0</v>
      </c>
      <c r="S38"/>
      <c r="T38"/>
      <c r="U38"/>
      <c r="V38"/>
      <c r="W38"/>
    </row>
    <row r="39" spans="1:23" ht="13.5" customHeight="1">
      <c r="A39" s="482" t="s">
        <v>577</v>
      </c>
      <c r="B39" s="480"/>
      <c r="C39" s="470">
        <v>0</v>
      </c>
      <c r="D39" s="470">
        <v>0</v>
      </c>
      <c r="E39" s="470" t="s">
        <v>37</v>
      </c>
      <c r="F39" s="470" t="s">
        <v>37</v>
      </c>
      <c r="G39" s="470" t="s">
        <v>37</v>
      </c>
      <c r="H39" s="470" t="s">
        <v>37</v>
      </c>
      <c r="I39" s="470" t="s">
        <v>37</v>
      </c>
      <c r="J39" s="470" t="s">
        <v>37</v>
      </c>
      <c r="K39" s="470" t="s">
        <v>37</v>
      </c>
      <c r="L39" s="470" t="s">
        <v>37</v>
      </c>
      <c r="M39" s="470" t="s">
        <v>37</v>
      </c>
      <c r="N39" s="470" t="s">
        <v>37</v>
      </c>
      <c r="O39" s="470" t="s">
        <v>37</v>
      </c>
      <c r="P39" s="470" t="s">
        <v>37</v>
      </c>
      <c r="Q39" s="470"/>
    </row>
    <row r="40" spans="1:23" ht="13.5" customHeight="1">
      <c r="A40" s="482" t="s">
        <v>578</v>
      </c>
      <c r="B40" s="75" t="s">
        <v>351</v>
      </c>
      <c r="C40" s="470">
        <v>5010256</v>
      </c>
      <c r="D40" s="470">
        <v>5067718</v>
      </c>
      <c r="E40" s="470">
        <v>5410147</v>
      </c>
      <c r="F40" s="470">
        <v>7547959</v>
      </c>
      <c r="G40" s="470">
        <v>8059852</v>
      </c>
      <c r="H40" s="470">
        <v>8103133</v>
      </c>
      <c r="I40" s="470">
        <v>9175724</v>
      </c>
      <c r="J40" s="470">
        <v>9217363</v>
      </c>
      <c r="K40" s="470">
        <v>9422237</v>
      </c>
      <c r="L40" s="470">
        <v>9384450</v>
      </c>
      <c r="M40" s="470">
        <v>9523086</v>
      </c>
      <c r="N40" s="470">
        <v>9614748</v>
      </c>
      <c r="O40" s="470">
        <v>9700418</v>
      </c>
      <c r="P40" s="470">
        <v>9756073</v>
      </c>
      <c r="Q40" s="470">
        <v>11179688</v>
      </c>
      <c r="R40" s="1">
        <v>11212990</v>
      </c>
      <c r="S40" s="1"/>
      <c r="T40" s="1"/>
      <c r="U40" s="1"/>
      <c r="V40" s="1"/>
      <c r="W40" s="1"/>
    </row>
    <row r="41" spans="1:23" ht="13.5" customHeight="1">
      <c r="A41" s="482" t="s">
        <v>579</v>
      </c>
      <c r="B41" s="75" t="s">
        <v>355</v>
      </c>
      <c r="C41" s="470">
        <v>-1740897</v>
      </c>
      <c r="D41" s="470">
        <v>-2096949</v>
      </c>
      <c r="E41" s="470">
        <v>-2491929</v>
      </c>
      <c r="F41" s="470">
        <v>-2955671</v>
      </c>
      <c r="G41" s="470">
        <v>-3114571</v>
      </c>
      <c r="H41" s="470">
        <v>-3251740</v>
      </c>
      <c r="I41" s="470">
        <v>-3083190</v>
      </c>
      <c r="J41" s="470">
        <v>-3218686</v>
      </c>
      <c r="K41" s="470">
        <v>-4208183</v>
      </c>
      <c r="L41" s="470">
        <v>-4266930</v>
      </c>
      <c r="M41" s="470">
        <v>-4459387</v>
      </c>
      <c r="N41" s="470">
        <v>-4782173</v>
      </c>
      <c r="O41" s="470">
        <v>-4893069</v>
      </c>
      <c r="P41" s="470">
        <v>-5379952</v>
      </c>
      <c r="Q41" s="470">
        <v>-6102314</v>
      </c>
      <c r="R41" s="1">
        <v>-5823708</v>
      </c>
      <c r="S41" s="1"/>
      <c r="T41" s="1"/>
      <c r="U41" s="1"/>
      <c r="V41" s="1"/>
      <c r="W41" s="1"/>
    </row>
    <row r="42" spans="1:23" ht="13.5" customHeight="1">
      <c r="A42" s="482" t="s">
        <v>580</v>
      </c>
      <c r="B42" s="75" t="s">
        <v>359</v>
      </c>
      <c r="C42" s="470">
        <v>19239</v>
      </c>
      <c r="D42" s="470">
        <v>18087</v>
      </c>
      <c r="E42" s="470">
        <v>-165066</v>
      </c>
      <c r="F42" s="470">
        <v>-3088</v>
      </c>
      <c r="G42" s="470">
        <v>6530</v>
      </c>
      <c r="H42" s="470">
        <v>-94263</v>
      </c>
      <c r="I42" s="470">
        <v>-90900</v>
      </c>
      <c r="J42" s="470">
        <v>-75795</v>
      </c>
      <c r="K42" s="470">
        <v>-61041</v>
      </c>
      <c r="L42" s="470">
        <v>-252686</v>
      </c>
      <c r="M42" s="470">
        <v>-114126</v>
      </c>
      <c r="N42" s="470">
        <v>-110453</v>
      </c>
      <c r="O42" s="470">
        <v>-126017</v>
      </c>
      <c r="P42" s="470">
        <v>-118604</v>
      </c>
      <c r="Q42" s="470">
        <v>-188675</v>
      </c>
      <c r="R42" s="1">
        <v>-185186</v>
      </c>
      <c r="S42" s="1"/>
      <c r="T42" s="1"/>
      <c r="U42" s="1"/>
      <c r="V42" s="1"/>
      <c r="W42" s="1"/>
    </row>
    <row r="43" spans="1:23" ht="13.5" customHeight="1">
      <c r="A43" s="482" t="s">
        <v>581</v>
      </c>
      <c r="B43" s="75" t="s">
        <v>353</v>
      </c>
      <c r="C43" s="470">
        <v>-193599</v>
      </c>
      <c r="D43" s="470">
        <v>-213606</v>
      </c>
      <c r="E43" s="470">
        <v>-186210</v>
      </c>
      <c r="F43" s="470">
        <v>-176796</v>
      </c>
      <c r="G43" s="470">
        <v>-166436</v>
      </c>
      <c r="H43" s="470">
        <v>-152541</v>
      </c>
      <c r="I43" s="470">
        <v>-135781</v>
      </c>
      <c r="J43" s="470">
        <v>-117897</v>
      </c>
      <c r="K43" s="470">
        <v>-103929</v>
      </c>
      <c r="L43" s="470">
        <v>-437134</v>
      </c>
      <c r="M43" s="470">
        <v>-682562</v>
      </c>
      <c r="N43" s="470">
        <v>-1079063</v>
      </c>
      <c r="O43" s="470">
        <v>-1427431</v>
      </c>
      <c r="P43" s="470">
        <v>-1773571</v>
      </c>
      <c r="Q43" s="470">
        <v>-1891352</v>
      </c>
      <c r="R43" s="1">
        <v>-1884441</v>
      </c>
      <c r="S43" s="1"/>
      <c r="T43" s="1"/>
      <c r="U43" s="1"/>
      <c r="V43" s="1"/>
      <c r="W43" s="1"/>
    </row>
    <row r="44" spans="1:23" ht="13.5" customHeight="1">
      <c r="A44" s="487" t="s">
        <v>582</v>
      </c>
      <c r="B44" s="480"/>
      <c r="C44" s="470" t="s">
        <v>37</v>
      </c>
      <c r="D44" s="470">
        <v>2821634</v>
      </c>
      <c r="E44" s="470">
        <v>2612998</v>
      </c>
      <c r="F44" s="470">
        <v>4458137</v>
      </c>
      <c r="G44" s="470">
        <v>4830780</v>
      </c>
      <c r="H44" s="470">
        <v>4649666</v>
      </c>
      <c r="I44" s="470">
        <v>5910603</v>
      </c>
      <c r="J44" s="470">
        <v>5849406</v>
      </c>
      <c r="K44" s="470">
        <v>5093177</v>
      </c>
      <c r="L44" s="470">
        <v>4471464</v>
      </c>
      <c r="M44" s="470">
        <v>4310448</v>
      </c>
      <c r="N44" s="470">
        <v>3686168</v>
      </c>
      <c r="O44" s="470">
        <v>3296681</v>
      </c>
      <c r="P44" s="470">
        <v>2526398</v>
      </c>
      <c r="Q44" s="470">
        <v>3039472</v>
      </c>
      <c r="R44" s="1">
        <v>3361452</v>
      </c>
      <c r="S44" s="1"/>
      <c r="T44" s="1"/>
      <c r="U44" s="1"/>
      <c r="V44" s="1"/>
      <c r="W44" s="1"/>
    </row>
    <row r="45" spans="1:23" ht="13.5" customHeight="1">
      <c r="A45" s="482" t="s">
        <v>583</v>
      </c>
      <c r="B45" s="75" t="s">
        <v>357</v>
      </c>
      <c r="C45" s="470" t="s">
        <v>37</v>
      </c>
      <c r="D45" s="470">
        <v>592978</v>
      </c>
      <c r="E45" s="470">
        <v>488969</v>
      </c>
      <c r="F45" s="470">
        <v>724825</v>
      </c>
      <c r="G45" s="470">
        <v>802972</v>
      </c>
      <c r="H45" s="470">
        <v>894622</v>
      </c>
      <c r="I45" s="470">
        <v>982486</v>
      </c>
      <c r="J45" s="470">
        <v>973226</v>
      </c>
      <c r="K45" s="470">
        <v>858328</v>
      </c>
      <c r="L45" s="470">
        <v>744905</v>
      </c>
      <c r="M45" s="470">
        <v>649464</v>
      </c>
      <c r="N45" s="470">
        <v>552596</v>
      </c>
      <c r="O45" s="470">
        <v>500275</v>
      </c>
      <c r="P45" s="470">
        <v>384852</v>
      </c>
      <c r="Q45" s="470">
        <v>432874</v>
      </c>
      <c r="R45" s="1">
        <v>491533</v>
      </c>
      <c r="S45" s="1"/>
      <c r="T45" s="1"/>
      <c r="U45" s="1"/>
      <c r="V45" s="1"/>
      <c r="W45" s="1"/>
    </row>
    <row r="46" spans="1:23" ht="13.5" customHeight="1">
      <c r="A46" s="487" t="s">
        <v>584</v>
      </c>
      <c r="B46" s="480"/>
      <c r="C46" s="470">
        <v>3979642</v>
      </c>
      <c r="D46" s="470">
        <v>3414612</v>
      </c>
      <c r="E46" s="470">
        <v>3101967</v>
      </c>
      <c r="F46" s="470">
        <v>5182962</v>
      </c>
      <c r="G46" s="470">
        <v>5633752</v>
      </c>
      <c r="H46" s="470">
        <v>5544288</v>
      </c>
      <c r="I46" s="470">
        <v>6893089</v>
      </c>
      <c r="J46" s="470">
        <v>6822632</v>
      </c>
      <c r="K46" s="470">
        <v>5951505</v>
      </c>
      <c r="L46" s="470">
        <v>5216369</v>
      </c>
      <c r="M46" s="470">
        <v>4959912</v>
      </c>
      <c r="N46" s="470">
        <v>4238764</v>
      </c>
      <c r="O46" s="470">
        <v>3796956</v>
      </c>
      <c r="P46" s="470">
        <v>2911250</v>
      </c>
      <c r="Q46" s="470">
        <v>3472346</v>
      </c>
      <c r="R46" s="1">
        <v>3852985</v>
      </c>
      <c r="S46" s="1"/>
      <c r="T46" s="1"/>
      <c r="U46" s="1"/>
      <c r="V46" s="1"/>
      <c r="W46" s="1"/>
    </row>
    <row r="47" spans="1:23" ht="13.5" customHeight="1">
      <c r="A47" s="482" t="s">
        <v>585</v>
      </c>
      <c r="B47" s="480"/>
      <c r="C47" s="470">
        <v>22084455</v>
      </c>
      <c r="D47" s="470">
        <v>23442466</v>
      </c>
      <c r="E47" s="470">
        <v>23422749</v>
      </c>
      <c r="F47" s="470">
        <v>25948266</v>
      </c>
      <c r="G47" s="470">
        <v>24857429</v>
      </c>
      <c r="H47" s="470">
        <v>26216925</v>
      </c>
      <c r="I47" s="470">
        <v>32586606</v>
      </c>
      <c r="J47" s="470">
        <v>33324574</v>
      </c>
      <c r="K47" s="470">
        <v>29532330</v>
      </c>
      <c r="L47" s="470">
        <v>30565182</v>
      </c>
      <c r="M47" s="470">
        <v>31103578</v>
      </c>
      <c r="N47" s="470">
        <v>32257638</v>
      </c>
      <c r="O47" s="470">
        <v>30686223</v>
      </c>
      <c r="P47" s="470">
        <v>31231630</v>
      </c>
      <c r="Q47" s="470">
        <v>34786846</v>
      </c>
      <c r="R47" s="1">
        <v>33777379</v>
      </c>
      <c r="S47" s="1"/>
      <c r="T47" s="1"/>
      <c r="U47" s="1"/>
      <c r="V47" s="1"/>
      <c r="W47" s="1"/>
    </row>
    <row r="48" spans="1:23" ht="13.5" customHeight="1">
      <c r="Q48" s="470"/>
      <c r="S48"/>
      <c r="T48"/>
      <c r="U48"/>
      <c r="V48"/>
      <c r="W48"/>
    </row>
    <row r="49" spans="17:23" ht="13.5" customHeight="1">
      <c r="Q49" s="470"/>
      <c r="S49"/>
      <c r="T49"/>
      <c r="U49"/>
      <c r="V49"/>
      <c r="W49"/>
    </row>
    <row r="50" spans="17:23" ht="13.5" customHeight="1">
      <c r="Q50" s="470"/>
      <c r="S50" s="1"/>
      <c r="T50" s="1"/>
      <c r="U50" s="1"/>
      <c r="V50" s="1"/>
      <c r="W50" s="1"/>
    </row>
    <row r="51" spans="17:23" ht="13.5" customHeight="1">
      <c r="Q51" s="470"/>
      <c r="S51" s="1"/>
      <c r="T51" s="1"/>
      <c r="U51" s="1"/>
      <c r="V51" s="1"/>
      <c r="W51" s="1"/>
    </row>
    <row r="52" spans="17:23" ht="13.5" customHeight="1">
      <c r="Q52" s="470"/>
      <c r="S52" s="1"/>
      <c r="T52" s="1"/>
      <c r="U52" s="1"/>
      <c r="V52" s="1"/>
      <c r="W52" s="1"/>
    </row>
    <row r="53" spans="17:23" ht="13.5" customHeight="1">
      <c r="S53" s="1"/>
      <c r="T53" s="1"/>
      <c r="U53" s="1"/>
      <c r="V53" s="1"/>
      <c r="W53" s="1"/>
    </row>
    <row r="54" spans="17:23" ht="13.5" customHeight="1">
      <c r="S54" s="1"/>
      <c r="T54" s="1"/>
      <c r="U54" s="1"/>
      <c r="V54" s="1"/>
      <c r="W54" s="1"/>
    </row>
    <row r="55" spans="17:23" ht="13.5" customHeight="1">
      <c r="S55"/>
      <c r="T55"/>
      <c r="U55"/>
      <c r="V55" s="1"/>
      <c r="W55" s="1"/>
    </row>
    <row r="56" spans="17:23" ht="13.5" customHeight="1">
      <c r="S56" s="1"/>
      <c r="T56" s="1"/>
      <c r="U56" s="1"/>
      <c r="V56" s="1"/>
      <c r="W56" s="1"/>
    </row>
    <row r="57" spans="17:23" ht="13.5" customHeight="1">
      <c r="S57" s="1"/>
      <c r="T57" s="1"/>
      <c r="U57" s="1"/>
      <c r="V57" s="1"/>
      <c r="W57" s="1"/>
    </row>
    <row r="58" spans="17:23" ht="13.5" customHeight="1">
      <c r="S58"/>
      <c r="T58"/>
      <c r="U58" s="1"/>
      <c r="V58" s="1"/>
      <c r="W58" s="1"/>
    </row>
    <row r="59" spans="17:23" ht="13.5" customHeight="1">
      <c r="S59"/>
      <c r="T59"/>
      <c r="U59"/>
      <c r="V59"/>
      <c r="W59" s="1"/>
    </row>
    <row r="60" spans="17:23" ht="13.5" customHeight="1">
      <c r="S60" s="1"/>
      <c r="T60" s="1"/>
      <c r="U60" s="1"/>
      <c r="V60" s="1"/>
      <c r="W60" s="1"/>
    </row>
    <row r="61" spans="17:23" ht="13.5" customHeight="1">
      <c r="S61" s="1"/>
      <c r="T61" s="1"/>
      <c r="U61" s="1"/>
      <c r="V61" s="1"/>
      <c r="W61" s="1"/>
    </row>
    <row r="62" spans="17:23" ht="13.5" customHeight="1">
      <c r="S62"/>
      <c r="T62"/>
      <c r="U62"/>
      <c r="V62"/>
      <c r="W62"/>
    </row>
    <row r="63" spans="17:23" ht="13.5" customHeight="1">
      <c r="S63" s="1"/>
      <c r="T63" s="1"/>
      <c r="U63" s="1"/>
      <c r="V63" s="1"/>
      <c r="W63" s="1"/>
    </row>
    <row r="64" spans="17:23" ht="13.5" customHeight="1">
      <c r="S64" s="1"/>
      <c r="T64" s="1"/>
      <c r="U64" s="1"/>
      <c r="V64" s="1"/>
      <c r="W64" s="1"/>
    </row>
    <row r="65" spans="19:23" ht="13.5" customHeight="1">
      <c r="S65" s="1"/>
      <c r="T65" s="1"/>
      <c r="U65" s="1"/>
      <c r="V65" s="1"/>
      <c r="W65" s="1"/>
    </row>
    <row r="66" spans="19:23" ht="13.5" customHeight="1">
      <c r="S66"/>
      <c r="T66"/>
      <c r="U66"/>
      <c r="V66" s="1"/>
      <c r="W66" s="1"/>
    </row>
    <row r="67" spans="19:23" ht="13.5" customHeight="1">
      <c r="S67"/>
      <c r="T67"/>
      <c r="U67" s="1"/>
      <c r="V67" s="1"/>
      <c r="W67" s="1"/>
    </row>
    <row r="68" spans="19:23" ht="13.5" customHeight="1">
      <c r="S68" s="1"/>
      <c r="T68" s="1"/>
      <c r="U68" s="1"/>
      <c r="V68" s="1"/>
      <c r="W68" s="1"/>
    </row>
    <row r="69" spans="19:23" ht="13.5" customHeight="1">
      <c r="S69" s="1"/>
      <c r="T69" s="1"/>
      <c r="U69" s="1"/>
      <c r="V69" s="1"/>
      <c r="W69" s="1"/>
    </row>
    <row r="70" spans="19:23" ht="13.5" customHeight="1">
      <c r="S70" s="1"/>
      <c r="T70" s="1"/>
      <c r="U70" s="1"/>
      <c r="V70" s="1"/>
      <c r="W70" s="1"/>
    </row>
    <row r="71" spans="19:23" ht="13.5" customHeight="1">
      <c r="S71"/>
      <c r="T71"/>
      <c r="U71"/>
      <c r="V71"/>
      <c r="W71"/>
    </row>
    <row r="72" spans="19:23" ht="13.5" customHeight="1">
      <c r="S72"/>
      <c r="T72"/>
      <c r="U72"/>
      <c r="V72"/>
      <c r="W72"/>
    </row>
    <row r="73" spans="19:23" ht="13.5" customHeight="1">
      <c r="S73"/>
      <c r="T73"/>
      <c r="U73"/>
      <c r="V73"/>
      <c r="W73"/>
    </row>
    <row r="74" spans="19:23" ht="13.5" customHeight="1">
      <c r="S74" s="1"/>
      <c r="T74" s="1"/>
      <c r="U74" s="1"/>
      <c r="V74" s="1"/>
      <c r="W74" s="1"/>
    </row>
    <row r="75" spans="19:23" ht="13.5" customHeight="1">
      <c r="S75"/>
      <c r="T75"/>
      <c r="U75"/>
      <c r="V75"/>
      <c r="W75"/>
    </row>
    <row r="76" spans="19:23" ht="13.5" customHeight="1">
      <c r="S76"/>
      <c r="T76"/>
      <c r="U76"/>
      <c r="V76"/>
      <c r="W76"/>
    </row>
    <row r="77" spans="19:23" ht="13.5" customHeight="1">
      <c r="S77" s="1"/>
      <c r="T77" s="1"/>
      <c r="U77" s="1"/>
      <c r="V77" s="1"/>
      <c r="W77" s="1"/>
    </row>
    <row r="78" spans="19:23" ht="13.5" customHeight="1">
      <c r="S78" s="1"/>
      <c r="T78" s="1"/>
      <c r="U78" s="1"/>
      <c r="V78" s="1"/>
      <c r="W78" s="1"/>
    </row>
    <row r="79" spans="19:23" ht="13.5" customHeight="1">
      <c r="S79" s="1"/>
      <c r="T79" s="1"/>
      <c r="U79" s="1"/>
      <c r="V79" s="1"/>
      <c r="W79" s="1"/>
    </row>
    <row r="80" spans="19:23" ht="13.5" customHeight="1">
      <c r="S80" s="1"/>
      <c r="T80" s="1"/>
      <c r="U80" s="1"/>
      <c r="V80" s="1"/>
      <c r="W80" s="1"/>
    </row>
    <row r="81" spans="19:23" ht="13.5" customHeight="1">
      <c r="S81" s="1"/>
      <c r="T81" s="1"/>
      <c r="U81" s="1"/>
      <c r="V81" s="1"/>
      <c r="W81" s="1"/>
    </row>
    <row r="82" spans="19:23" ht="13.5" customHeight="1">
      <c r="S82" s="1"/>
      <c r="T82" s="1"/>
      <c r="U82" s="1"/>
      <c r="V82" s="1"/>
      <c r="W82" s="1"/>
    </row>
    <row r="83" spans="19:23" ht="13.5" customHeight="1">
      <c r="S83" s="1"/>
      <c r="T83" s="1"/>
      <c r="U83" s="1"/>
      <c r="V83" s="1"/>
      <c r="W83" s="1"/>
    </row>
    <row r="84" spans="19:23" ht="13.5" customHeight="1">
      <c r="S84" s="1"/>
      <c r="T84" s="1"/>
      <c r="U84" s="1"/>
      <c r="V84" s="1"/>
      <c r="W84" s="1"/>
    </row>
  </sheetData>
  <phoneticPr fontId="4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DEE1F-D92A-3340-8EE9-5509FB91E5B0}">
  <dimension ref="A1:V68"/>
  <sheetViews>
    <sheetView zoomScale="150" zoomScaleNormal="150" workbookViewId="0">
      <pane xSplit="2" ySplit="1" topLeftCell="K2" activePane="bottomRight" state="frozen"/>
      <selection pane="topRight" activeCell="C1" sqref="C1"/>
      <selection pane="bottomLeft" activeCell="A2" sqref="A2"/>
      <selection pane="bottomRight" activeCell="Q3" sqref="Q3"/>
    </sheetView>
  </sheetViews>
  <sheetFormatPr defaultColWidth="10.58203125" defaultRowHeight="13.5" customHeight="1"/>
  <cols>
    <col min="1" max="1" width="35" style="468" customWidth="1"/>
    <col min="2" max="2" width="16.08203125" style="468" customWidth="1"/>
    <col min="3" max="6" width="12.33203125" style="13" hidden="1" customWidth="1"/>
    <col min="7" max="7" width="13" style="13" hidden="1" customWidth="1"/>
    <col min="8" max="8" width="12.33203125" style="13" hidden="1" customWidth="1"/>
    <col min="9" max="10" width="13" style="13" hidden="1" customWidth="1"/>
    <col min="11" max="16" width="12.33203125" style="13" bestFit="1" customWidth="1"/>
    <col min="17" max="17" width="12.75" style="13" customWidth="1"/>
    <col min="18" max="22" width="10.58203125" style="13"/>
    <col min="23" max="23" width="9" style="13"/>
    <col min="24" max="16384" width="10.58203125" style="13"/>
  </cols>
  <sheetData>
    <row r="1" spans="1:22" s="309" customFormat="1" ht="13.5" customHeight="1">
      <c r="A1" s="466"/>
      <c r="B1" s="170" t="s">
        <v>509</v>
      </c>
      <c r="C1" s="131" t="s">
        <v>13</v>
      </c>
      <c r="D1" s="131" t="s">
        <v>14</v>
      </c>
      <c r="E1" s="131" t="s">
        <v>15</v>
      </c>
      <c r="F1" s="131" t="s">
        <v>16</v>
      </c>
      <c r="G1" s="131" t="s">
        <v>17</v>
      </c>
      <c r="H1" s="131" t="s">
        <v>18</v>
      </c>
      <c r="I1" s="131" t="s">
        <v>19</v>
      </c>
      <c r="J1" s="131" t="s">
        <v>20</v>
      </c>
      <c r="K1" s="469" t="s">
        <v>21</v>
      </c>
      <c r="L1" s="469" t="s">
        <v>22</v>
      </c>
      <c r="M1" s="469" t="s">
        <v>23</v>
      </c>
      <c r="N1" s="469" t="s">
        <v>24</v>
      </c>
      <c r="O1" s="469" t="s">
        <v>25</v>
      </c>
      <c r="P1" s="469" t="s">
        <v>26</v>
      </c>
      <c r="Q1" s="469" t="s">
        <v>27</v>
      </c>
      <c r="R1" s="469" t="s">
        <v>28</v>
      </c>
    </row>
    <row r="2" spans="1:22" s="309" customFormat="1" ht="13.5" customHeight="1">
      <c r="A2" s="171"/>
      <c r="B2" s="171"/>
      <c r="C2" s="465"/>
      <c r="D2" s="465"/>
      <c r="E2" s="465"/>
      <c r="F2" s="465"/>
      <c r="G2" s="465"/>
      <c r="H2" s="465"/>
      <c r="I2" s="465"/>
      <c r="J2" s="465"/>
    </row>
    <row r="3" spans="1:22" s="309" customFormat="1" ht="13.5" customHeight="1">
      <c r="A3" s="132" t="s">
        <v>510</v>
      </c>
      <c r="B3" s="133"/>
      <c r="C3" s="134" t="s">
        <v>511</v>
      </c>
      <c r="D3" s="134" t="s">
        <v>512</v>
      </c>
      <c r="E3" s="134" t="s">
        <v>513</v>
      </c>
      <c r="F3" s="134" t="s">
        <v>514</v>
      </c>
      <c r="G3" s="134" t="s">
        <v>515</v>
      </c>
      <c r="H3" s="134" t="s">
        <v>516</v>
      </c>
      <c r="I3" s="134" t="s">
        <v>517</v>
      </c>
      <c r="J3" s="134" t="s">
        <v>518</v>
      </c>
      <c r="K3" s="470" t="s">
        <v>519</v>
      </c>
      <c r="L3" s="470" t="s">
        <v>520</v>
      </c>
      <c r="M3" s="470" t="s">
        <v>521</v>
      </c>
      <c r="N3" s="470" t="s">
        <v>522</v>
      </c>
      <c r="O3" s="470" t="s">
        <v>523</v>
      </c>
      <c r="P3" s="470" t="s">
        <v>524</v>
      </c>
      <c r="Q3" s="470" t="s">
        <v>525</v>
      </c>
      <c r="R3" s="470" t="s">
        <v>526</v>
      </c>
    </row>
    <row r="4" spans="1:22" s="309" customFormat="1" ht="13.5" customHeight="1">
      <c r="A4" s="482" t="s">
        <v>527</v>
      </c>
      <c r="B4" s="133"/>
      <c r="C4" s="134" t="s">
        <v>529</v>
      </c>
      <c r="D4" s="134" t="s">
        <v>530</v>
      </c>
      <c r="E4" s="134" t="s">
        <v>531</v>
      </c>
      <c r="F4" s="134" t="s">
        <v>532</v>
      </c>
      <c r="G4" s="134" t="s">
        <v>533</v>
      </c>
      <c r="H4" s="134" t="s">
        <v>534</v>
      </c>
      <c r="I4" s="134" t="s">
        <v>535</v>
      </c>
      <c r="J4" s="134" t="s">
        <v>536</v>
      </c>
      <c r="K4" s="470" t="s">
        <v>537</v>
      </c>
      <c r="L4" s="470" t="s">
        <v>538</v>
      </c>
      <c r="M4" s="470" t="s">
        <v>539</v>
      </c>
      <c r="N4" s="470" t="s">
        <v>540</v>
      </c>
      <c r="O4" s="470" t="s">
        <v>540</v>
      </c>
      <c r="P4" s="470" t="s">
        <v>540</v>
      </c>
      <c r="Q4" s="470" t="s">
        <v>540</v>
      </c>
      <c r="R4" s="470" t="s">
        <v>540</v>
      </c>
    </row>
    <row r="5" spans="1:22" s="309" customFormat="1" ht="13.5" customHeight="1">
      <c r="A5" s="132" t="s">
        <v>544</v>
      </c>
      <c r="B5" s="133"/>
      <c r="C5" s="134" t="s">
        <v>41</v>
      </c>
      <c r="D5" s="134" t="s">
        <v>41</v>
      </c>
      <c r="E5" s="134" t="s">
        <v>41</v>
      </c>
      <c r="F5" s="134" t="s">
        <v>41</v>
      </c>
      <c r="G5" s="134" t="s">
        <v>41</v>
      </c>
      <c r="H5" s="134" t="s">
        <v>41</v>
      </c>
      <c r="I5" s="134" t="s">
        <v>41</v>
      </c>
      <c r="J5" s="134" t="s">
        <v>41</v>
      </c>
      <c r="K5" s="470" t="s">
        <v>41</v>
      </c>
      <c r="L5" s="470" t="s">
        <v>41</v>
      </c>
      <c r="M5" s="470" t="s">
        <v>41</v>
      </c>
      <c r="N5" s="470" t="s">
        <v>41</v>
      </c>
      <c r="O5" s="470" t="s">
        <v>41</v>
      </c>
      <c r="P5" s="470" t="s">
        <v>41</v>
      </c>
      <c r="Q5" s="470" t="s">
        <v>41</v>
      </c>
      <c r="R5" s="470" t="s">
        <v>41</v>
      </c>
    </row>
    <row r="6" spans="1:22" s="309" customFormat="1" ht="13.5" customHeight="1">
      <c r="A6" s="132" t="s">
        <v>508</v>
      </c>
      <c r="B6" s="133"/>
      <c r="C6" s="134"/>
      <c r="D6" s="134"/>
      <c r="E6" s="134"/>
      <c r="F6" s="134"/>
      <c r="G6" s="134"/>
      <c r="H6" s="134"/>
      <c r="I6" s="134"/>
      <c r="J6" s="134"/>
      <c r="K6" s="470"/>
      <c r="L6" s="470"/>
      <c r="M6" s="470"/>
      <c r="N6" s="470"/>
      <c r="O6" s="470"/>
      <c r="P6" s="470"/>
    </row>
    <row r="7" spans="1:22" s="309" customFormat="1" ht="13.5" customHeight="1">
      <c r="A7" s="171" t="s">
        <v>586</v>
      </c>
      <c r="B7" s="171"/>
      <c r="C7" s="465"/>
      <c r="D7" s="465"/>
      <c r="E7" s="465"/>
      <c r="F7" s="465"/>
      <c r="G7" s="465"/>
      <c r="H7" s="465"/>
      <c r="I7" s="465"/>
      <c r="J7" s="465"/>
    </row>
    <row r="8" spans="1:22" s="309" customFormat="1" ht="13.5" customHeight="1">
      <c r="A8" s="132" t="s">
        <v>587</v>
      </c>
      <c r="B8" s="83" t="s">
        <v>279</v>
      </c>
      <c r="C8" s="134" t="s">
        <v>37</v>
      </c>
      <c r="D8" s="134" t="s">
        <v>37</v>
      </c>
      <c r="E8" s="134" t="s">
        <v>37</v>
      </c>
      <c r="F8" s="134" t="s">
        <v>37</v>
      </c>
      <c r="G8" s="134" t="s">
        <v>37</v>
      </c>
      <c r="H8" s="134" t="s">
        <v>37</v>
      </c>
      <c r="I8" s="134" t="s">
        <v>37</v>
      </c>
      <c r="J8" s="134" t="s">
        <v>37</v>
      </c>
      <c r="K8" s="470" t="s">
        <v>37</v>
      </c>
      <c r="L8" s="470" t="s">
        <v>37</v>
      </c>
      <c r="M8" s="470" t="s">
        <v>37</v>
      </c>
      <c r="N8" s="470">
        <v>5109099</v>
      </c>
      <c r="O8" s="470">
        <v>5158420</v>
      </c>
      <c r="P8" s="470">
        <v>5243771</v>
      </c>
      <c r="Q8" s="470">
        <v>4302367</v>
      </c>
      <c r="R8" s="1">
        <v>4736719</v>
      </c>
      <c r="S8" s="288"/>
      <c r="T8" s="288"/>
      <c r="U8" s="288"/>
      <c r="V8" s="288"/>
    </row>
    <row r="9" spans="1:22" s="309" customFormat="1" ht="13.5" customHeight="1">
      <c r="A9" s="132" t="s">
        <v>588</v>
      </c>
      <c r="B9" s="133"/>
      <c r="C9" s="134">
        <v>2020856</v>
      </c>
      <c r="D9" s="134">
        <v>2154713</v>
      </c>
      <c r="E9" s="134">
        <v>2291919</v>
      </c>
      <c r="F9" s="134">
        <v>2316838</v>
      </c>
      <c r="G9" s="134">
        <v>2429519</v>
      </c>
      <c r="H9" s="134">
        <v>2664724</v>
      </c>
      <c r="I9" s="134">
        <v>2593909</v>
      </c>
      <c r="J9" s="134">
        <v>2775919</v>
      </c>
      <c r="K9" s="470">
        <v>2962295</v>
      </c>
      <c r="L9" s="470">
        <v>3142347</v>
      </c>
      <c r="M9" s="470">
        <v>3358498</v>
      </c>
      <c r="N9" s="470" t="s">
        <v>37</v>
      </c>
      <c r="O9" s="470" t="s">
        <v>37</v>
      </c>
      <c r="P9" s="470" t="s">
        <v>37</v>
      </c>
      <c r="Q9" s="470" t="s">
        <v>37</v>
      </c>
      <c r="R9" s="288"/>
      <c r="S9" s="288"/>
      <c r="T9" s="288"/>
      <c r="U9" s="288"/>
      <c r="V9" s="288"/>
    </row>
    <row r="10" spans="1:22" s="309" customFormat="1" ht="13.5" customHeight="1">
      <c r="A10" s="132" t="s">
        <v>589</v>
      </c>
      <c r="B10" s="133"/>
      <c r="C10" s="134">
        <v>95767</v>
      </c>
      <c r="D10" s="134">
        <v>110003</v>
      </c>
      <c r="E10" s="134">
        <v>100222</v>
      </c>
      <c r="F10" s="134">
        <v>84922</v>
      </c>
      <c r="G10" s="134">
        <v>110621</v>
      </c>
      <c r="H10" s="134">
        <v>140842</v>
      </c>
      <c r="I10" s="134">
        <v>187613</v>
      </c>
      <c r="J10" s="134">
        <v>214758</v>
      </c>
      <c r="K10" s="470">
        <v>207104</v>
      </c>
      <c r="L10" s="470">
        <v>194070</v>
      </c>
      <c r="M10" s="470">
        <v>161508</v>
      </c>
      <c r="N10" s="470" t="s">
        <v>37</v>
      </c>
      <c r="O10" s="470" t="s">
        <v>37</v>
      </c>
      <c r="P10" s="470" t="s">
        <v>37</v>
      </c>
      <c r="Q10" s="470" t="s">
        <v>37</v>
      </c>
      <c r="R10" s="288"/>
      <c r="S10" s="288"/>
      <c r="T10" s="288"/>
      <c r="U10" s="288"/>
      <c r="V10" s="288"/>
    </row>
    <row r="11" spans="1:22" s="309" customFormat="1" ht="13.5" customHeight="1">
      <c r="A11" s="132" t="s">
        <v>590</v>
      </c>
      <c r="B11" s="133"/>
      <c r="C11" s="134">
        <v>946554</v>
      </c>
      <c r="D11" s="134">
        <v>1023164</v>
      </c>
      <c r="E11" s="134">
        <v>1065957</v>
      </c>
      <c r="F11" s="134">
        <v>1062227</v>
      </c>
      <c r="G11" s="134">
        <v>1083780</v>
      </c>
      <c r="H11" s="134">
        <v>1177269</v>
      </c>
      <c r="I11" s="134">
        <v>1157333</v>
      </c>
      <c r="J11" s="134">
        <v>1258165</v>
      </c>
      <c r="K11" s="470">
        <v>1362412</v>
      </c>
      <c r="L11" s="470">
        <v>1445623</v>
      </c>
      <c r="M11" s="470">
        <v>1494804</v>
      </c>
      <c r="N11" s="470" t="s">
        <v>37</v>
      </c>
      <c r="O11" s="470" t="s">
        <v>37</v>
      </c>
      <c r="P11" s="470" t="s">
        <v>37</v>
      </c>
      <c r="Q11" s="470" t="s">
        <v>37</v>
      </c>
      <c r="R11" s="288"/>
      <c r="S11" s="288"/>
      <c r="T11" s="288"/>
      <c r="U11" s="288"/>
      <c r="V11" s="288"/>
    </row>
    <row r="12" spans="1:22" s="309" customFormat="1" ht="13.5" customHeight="1">
      <c r="A12" s="132" t="s">
        <v>591</v>
      </c>
      <c r="B12" s="83" t="s">
        <v>281</v>
      </c>
      <c r="C12" s="134">
        <v>82288</v>
      </c>
      <c r="D12" s="134">
        <v>113740</v>
      </c>
      <c r="E12" s="134">
        <v>132471</v>
      </c>
      <c r="F12" s="134">
        <v>124059</v>
      </c>
      <c r="G12" s="134">
        <v>121207</v>
      </c>
      <c r="H12" s="134">
        <v>128010</v>
      </c>
      <c r="I12" s="134">
        <v>128366</v>
      </c>
      <c r="J12" s="134">
        <v>126972</v>
      </c>
      <c r="K12" s="470">
        <v>138226</v>
      </c>
      <c r="L12" s="470">
        <v>158466</v>
      </c>
      <c r="M12" s="470">
        <v>143875</v>
      </c>
      <c r="N12" s="470">
        <v>121259</v>
      </c>
      <c r="O12" s="470">
        <v>116286</v>
      </c>
      <c r="P12" s="470">
        <v>112942</v>
      </c>
      <c r="Q12" s="470">
        <v>96882</v>
      </c>
      <c r="R12" s="1">
        <v>106483</v>
      </c>
    </row>
    <row r="13" spans="1:22" s="309" customFormat="1" ht="13.5" customHeight="1">
      <c r="A13" s="132" t="s">
        <v>592</v>
      </c>
      <c r="B13" s="83" t="s">
        <v>284</v>
      </c>
      <c r="C13" s="134">
        <v>186689</v>
      </c>
      <c r="D13" s="134">
        <v>249179</v>
      </c>
      <c r="E13" s="134">
        <v>192586</v>
      </c>
      <c r="F13" s="134">
        <v>187170</v>
      </c>
      <c r="G13" s="134">
        <v>212503</v>
      </c>
      <c r="H13" s="134">
        <v>195587</v>
      </c>
      <c r="I13" s="134">
        <v>188936</v>
      </c>
      <c r="J13" s="134">
        <v>168035</v>
      </c>
      <c r="K13" s="470">
        <v>200781</v>
      </c>
      <c r="L13" s="470">
        <v>325597</v>
      </c>
      <c r="M13" s="470">
        <v>276544</v>
      </c>
      <c r="N13" s="470">
        <v>296978</v>
      </c>
      <c r="O13" s="470">
        <v>370582</v>
      </c>
      <c r="P13" s="470">
        <v>398476</v>
      </c>
      <c r="Q13" s="470">
        <v>208254</v>
      </c>
      <c r="R13" s="1">
        <v>273587</v>
      </c>
    </row>
    <row r="14" spans="1:22" s="309" customFormat="1" ht="13.5" customHeight="1">
      <c r="A14" s="132" t="s">
        <v>593</v>
      </c>
      <c r="B14" s="133"/>
      <c r="C14" s="134">
        <v>3332154</v>
      </c>
      <c r="D14" s="134">
        <v>3650799</v>
      </c>
      <c r="E14" s="134">
        <v>3783155</v>
      </c>
      <c r="F14" s="134">
        <v>3775216</v>
      </c>
      <c r="G14" s="134">
        <v>3957630</v>
      </c>
      <c r="H14" s="134">
        <v>4306432</v>
      </c>
      <c r="I14" s="134">
        <v>4256157</v>
      </c>
      <c r="J14" s="134">
        <v>4543849</v>
      </c>
      <c r="K14" s="470">
        <v>4870818</v>
      </c>
      <c r="L14" s="470">
        <v>5266103</v>
      </c>
      <c r="M14" s="470">
        <v>5435229</v>
      </c>
      <c r="N14" s="470">
        <v>5527336</v>
      </c>
      <c r="O14" s="470">
        <v>5645288</v>
      </c>
      <c r="P14" s="470">
        <v>5755189</v>
      </c>
      <c r="Q14" s="470">
        <v>4607503</v>
      </c>
      <c r="R14" s="1">
        <v>5116789</v>
      </c>
    </row>
    <row r="15" spans="1:22" s="309" customFormat="1" ht="13.5" customHeight="1">
      <c r="A15" s="171" t="s">
        <v>594</v>
      </c>
      <c r="B15" s="171"/>
      <c r="C15" s="465"/>
      <c r="D15" s="465"/>
      <c r="E15" s="465"/>
      <c r="F15" s="465"/>
      <c r="G15" s="465"/>
      <c r="H15" s="465"/>
      <c r="I15" s="465"/>
      <c r="J15" s="465"/>
      <c r="Q15" s="470"/>
    </row>
    <row r="16" spans="1:22" s="309" customFormat="1" ht="13.5" customHeight="1">
      <c r="A16" s="132" t="s">
        <v>595</v>
      </c>
      <c r="B16" s="83" t="s">
        <v>289</v>
      </c>
      <c r="C16" s="134">
        <v>441203</v>
      </c>
      <c r="D16" s="134">
        <v>454510</v>
      </c>
      <c r="E16" s="134">
        <v>455874</v>
      </c>
      <c r="F16" s="134">
        <v>425703</v>
      </c>
      <c r="G16" s="134">
        <v>414264</v>
      </c>
      <c r="H16" s="134">
        <v>436571</v>
      </c>
      <c r="I16" s="134">
        <v>363514</v>
      </c>
      <c r="J16" s="134">
        <v>371044</v>
      </c>
      <c r="K16" s="470">
        <v>398598</v>
      </c>
      <c r="L16" s="470">
        <v>425983</v>
      </c>
      <c r="M16" s="470">
        <v>432394</v>
      </c>
      <c r="N16" s="470">
        <v>443177</v>
      </c>
      <c r="O16" s="470">
        <v>450636</v>
      </c>
      <c r="P16" s="470">
        <v>453145</v>
      </c>
      <c r="Q16" s="470">
        <v>349154</v>
      </c>
      <c r="R16" s="288">
        <v>415720</v>
      </c>
      <c r="S16" s="288"/>
      <c r="T16" s="288"/>
      <c r="U16" s="288"/>
      <c r="V16" s="288"/>
    </row>
    <row r="17" spans="1:22" s="309" customFormat="1" ht="13.5" customHeight="1">
      <c r="A17" s="132" t="s">
        <v>596</v>
      </c>
      <c r="B17" s="83" t="s">
        <v>85</v>
      </c>
      <c r="C17" s="134">
        <v>856202</v>
      </c>
      <c r="D17" s="134">
        <v>905636</v>
      </c>
      <c r="E17" s="134">
        <v>969477</v>
      </c>
      <c r="F17" s="134">
        <v>997598</v>
      </c>
      <c r="G17" s="134">
        <v>982820</v>
      </c>
      <c r="H17" s="134">
        <v>1065946</v>
      </c>
      <c r="I17" s="134">
        <v>1068382</v>
      </c>
      <c r="J17" s="134">
        <v>1107700</v>
      </c>
      <c r="K17" s="470">
        <v>1143827</v>
      </c>
      <c r="L17" s="470">
        <v>1177568</v>
      </c>
      <c r="M17" s="470">
        <v>1252673</v>
      </c>
      <c r="N17" s="470">
        <v>1275452</v>
      </c>
      <c r="O17" s="470">
        <v>1282454</v>
      </c>
      <c r="P17" s="470">
        <v>1340503</v>
      </c>
      <c r="Q17" s="470">
        <v>1318008</v>
      </c>
      <c r="R17" s="288">
        <v>1262715</v>
      </c>
      <c r="S17" s="288"/>
      <c r="T17" s="288"/>
      <c r="U17" s="288"/>
      <c r="V17" s="288"/>
    </row>
    <row r="18" spans="1:22" s="309" customFormat="1" ht="13.5" customHeight="1">
      <c r="A18" s="132" t="s">
        <v>597</v>
      </c>
      <c r="B18" s="83" t="s">
        <v>291</v>
      </c>
      <c r="C18" s="134">
        <v>300174</v>
      </c>
      <c r="D18" s="134">
        <v>313311</v>
      </c>
      <c r="E18" s="134">
        <v>334657</v>
      </c>
      <c r="F18" s="134">
        <v>333957</v>
      </c>
      <c r="G18" s="134">
        <v>345960</v>
      </c>
      <c r="H18" s="134">
        <v>369755</v>
      </c>
      <c r="I18" s="134">
        <v>342906</v>
      </c>
      <c r="J18" s="134">
        <v>368683</v>
      </c>
      <c r="K18" s="470">
        <v>384189</v>
      </c>
      <c r="L18" s="470">
        <v>432840</v>
      </c>
      <c r="M18" s="470">
        <v>439030</v>
      </c>
      <c r="N18" s="470">
        <v>440003</v>
      </c>
      <c r="O18" s="470">
        <v>457740</v>
      </c>
      <c r="P18" s="470">
        <v>468004</v>
      </c>
      <c r="Q18" s="470">
        <v>457142</v>
      </c>
      <c r="R18" s="288">
        <v>458953</v>
      </c>
      <c r="S18" s="288"/>
      <c r="T18" s="288"/>
      <c r="U18" s="288"/>
      <c r="V18" s="288"/>
    </row>
    <row r="19" spans="1:22" s="309" customFormat="1" ht="13.5" customHeight="1">
      <c r="A19" s="132" t="s">
        <v>598</v>
      </c>
      <c r="B19" s="83" t="s">
        <v>293</v>
      </c>
      <c r="C19" s="134">
        <v>105983</v>
      </c>
      <c r="D19" s="134">
        <v>120224</v>
      </c>
      <c r="E19" s="134">
        <v>107879</v>
      </c>
      <c r="F19" s="134">
        <v>91736</v>
      </c>
      <c r="G19" s="134">
        <v>102425</v>
      </c>
      <c r="H19" s="134">
        <v>113496</v>
      </c>
      <c r="I19" s="134">
        <v>93960</v>
      </c>
      <c r="J19" s="134">
        <v>98219</v>
      </c>
      <c r="K19" s="470">
        <v>100016</v>
      </c>
      <c r="L19" s="470">
        <v>101369</v>
      </c>
      <c r="M19" s="470">
        <v>99723</v>
      </c>
      <c r="N19" s="470">
        <v>96900</v>
      </c>
      <c r="O19" s="470">
        <v>99588</v>
      </c>
      <c r="P19" s="470">
        <v>100495</v>
      </c>
      <c r="Q19" s="470">
        <v>80858</v>
      </c>
      <c r="R19" s="288">
        <v>96391</v>
      </c>
      <c r="S19" s="288"/>
      <c r="T19" s="288"/>
      <c r="U19" s="288"/>
      <c r="V19" s="288"/>
    </row>
    <row r="20" spans="1:22" s="309" customFormat="1" ht="13.5" customHeight="1">
      <c r="A20" s="132" t="s">
        <v>599</v>
      </c>
      <c r="B20" s="83" t="s">
        <v>300</v>
      </c>
      <c r="C20" s="134">
        <v>88480</v>
      </c>
      <c r="D20" s="134">
        <v>94340</v>
      </c>
      <c r="E20" s="134">
        <v>96783</v>
      </c>
      <c r="F20" s="134">
        <v>93565</v>
      </c>
      <c r="G20" s="134">
        <v>97194</v>
      </c>
      <c r="H20" s="134">
        <v>107002</v>
      </c>
      <c r="I20" s="134">
        <v>109809</v>
      </c>
      <c r="J20" s="134">
        <v>117894</v>
      </c>
      <c r="K20" s="470">
        <v>136656</v>
      </c>
      <c r="L20" s="470">
        <v>134854</v>
      </c>
      <c r="M20" s="470">
        <v>142801</v>
      </c>
      <c r="N20" s="470">
        <v>150865</v>
      </c>
      <c r="O20" s="470">
        <v>151241</v>
      </c>
      <c r="P20" s="470">
        <v>150344</v>
      </c>
      <c r="Q20" s="470">
        <v>98613</v>
      </c>
      <c r="R20" s="288">
        <v>114303</v>
      </c>
      <c r="S20" s="288"/>
      <c r="T20" s="288"/>
      <c r="U20" s="288"/>
      <c r="V20" s="288"/>
    </row>
    <row r="21" spans="1:22" s="309" customFormat="1" ht="13.5" customHeight="1">
      <c r="A21" s="132" t="s">
        <v>600</v>
      </c>
      <c r="B21" s="83" t="s">
        <v>304</v>
      </c>
      <c r="C21" s="134">
        <v>9500</v>
      </c>
      <c r="D21" s="134">
        <v>9562</v>
      </c>
      <c r="E21" s="134">
        <v>24035</v>
      </c>
      <c r="F21" s="134">
        <v>22655</v>
      </c>
      <c r="G21" s="134">
        <v>3130</v>
      </c>
      <c r="H21" s="134">
        <v>6505</v>
      </c>
      <c r="I21" s="134">
        <v>10905</v>
      </c>
      <c r="J21" s="134">
        <v>7165</v>
      </c>
      <c r="K21" s="470">
        <v>12001</v>
      </c>
      <c r="L21" s="470">
        <v>6635</v>
      </c>
      <c r="M21" s="470">
        <v>7319</v>
      </c>
      <c r="N21" s="470" t="s">
        <v>37</v>
      </c>
      <c r="O21" s="470" t="s">
        <v>37</v>
      </c>
      <c r="P21" s="470" t="s">
        <v>37</v>
      </c>
      <c r="Q21" s="470" t="s">
        <v>37</v>
      </c>
      <c r="R21" s="288">
        <v>184660</v>
      </c>
      <c r="S21" s="288"/>
      <c r="T21" s="288"/>
      <c r="U21" s="288"/>
      <c r="V21" s="288"/>
    </row>
    <row r="22" spans="1:22" s="309" customFormat="1" ht="13.5" customHeight="1">
      <c r="A22" s="132" t="s">
        <v>601</v>
      </c>
      <c r="B22" s="83" t="s">
        <v>300</v>
      </c>
      <c r="C22" s="134">
        <v>129334</v>
      </c>
      <c r="D22" s="134">
        <v>136610</v>
      </c>
      <c r="E22" s="134">
        <v>144865</v>
      </c>
      <c r="F22" s="134">
        <v>110048</v>
      </c>
      <c r="G22" s="134">
        <v>109314</v>
      </c>
      <c r="H22" s="134">
        <v>128618</v>
      </c>
      <c r="I22" s="134">
        <v>123926</v>
      </c>
      <c r="J22" s="134">
        <v>140931</v>
      </c>
      <c r="K22" s="470">
        <v>158576</v>
      </c>
      <c r="L22" s="470">
        <v>154816</v>
      </c>
      <c r="M22" s="470">
        <v>158406</v>
      </c>
      <c r="N22" s="470">
        <v>135150</v>
      </c>
      <c r="O22" s="470">
        <v>136677</v>
      </c>
      <c r="P22" s="470">
        <v>190109</v>
      </c>
      <c r="Q22" s="470">
        <v>171668</v>
      </c>
    </row>
    <row r="23" spans="1:22" s="309" customFormat="1" ht="13.5" customHeight="1">
      <c r="A23" s="132" t="s">
        <v>602</v>
      </c>
      <c r="B23" s="83" t="s">
        <v>300</v>
      </c>
      <c r="C23" s="134">
        <v>16652</v>
      </c>
      <c r="D23" s="134">
        <v>19587</v>
      </c>
      <c r="E23" s="134">
        <v>20987</v>
      </c>
      <c r="F23" s="134">
        <v>18124</v>
      </c>
      <c r="G23" s="134">
        <v>21267</v>
      </c>
      <c r="H23" s="134">
        <v>46319</v>
      </c>
      <c r="I23" s="134">
        <v>57144</v>
      </c>
      <c r="J23" s="134">
        <v>59803</v>
      </c>
      <c r="K23" s="470">
        <v>59958</v>
      </c>
      <c r="L23" s="470">
        <v>60329</v>
      </c>
      <c r="M23" s="470">
        <v>65082</v>
      </c>
      <c r="N23" s="470">
        <v>51972</v>
      </c>
      <c r="O23" s="470">
        <v>46543</v>
      </c>
      <c r="P23" s="470">
        <v>34860</v>
      </c>
      <c r="Q23" s="470">
        <v>22572</v>
      </c>
      <c r="R23" s="288">
        <v>30339</v>
      </c>
      <c r="S23" s="288"/>
      <c r="T23" s="288"/>
      <c r="U23" s="288"/>
      <c r="V23" s="288"/>
    </row>
    <row r="24" spans="1:22" s="309" customFormat="1" ht="13.5" customHeight="1">
      <c r="A24" s="132" t="s">
        <v>603</v>
      </c>
      <c r="B24" s="133"/>
      <c r="C24" s="134">
        <v>0</v>
      </c>
      <c r="D24" s="134">
        <v>0</v>
      </c>
      <c r="E24" s="134">
        <v>16489</v>
      </c>
      <c r="F24" s="134">
        <v>197353</v>
      </c>
      <c r="G24" s="134" t="s">
        <v>37</v>
      </c>
      <c r="H24" s="134" t="s">
        <v>37</v>
      </c>
      <c r="I24" s="134" t="s">
        <v>37</v>
      </c>
      <c r="J24" s="134" t="s">
        <v>37</v>
      </c>
      <c r="K24" s="470" t="s">
        <v>37</v>
      </c>
      <c r="L24" s="470" t="s">
        <v>37</v>
      </c>
      <c r="M24" s="470" t="s">
        <v>37</v>
      </c>
      <c r="N24" s="470" t="s">
        <v>37</v>
      </c>
      <c r="O24" s="470" t="s">
        <v>37</v>
      </c>
      <c r="P24" s="470" t="s">
        <v>37</v>
      </c>
      <c r="Q24" s="470" t="s">
        <v>37</v>
      </c>
    </row>
    <row r="25" spans="1:22" s="309" customFormat="1" ht="13.5" customHeight="1">
      <c r="A25" s="132" t="s">
        <v>604</v>
      </c>
      <c r="B25" s="133"/>
      <c r="C25" s="134" t="s">
        <v>37</v>
      </c>
      <c r="D25" s="134">
        <v>0</v>
      </c>
      <c r="E25" s="134">
        <v>0</v>
      </c>
      <c r="F25" s="134">
        <v>5697</v>
      </c>
      <c r="G25" s="134">
        <v>68972</v>
      </c>
      <c r="H25" s="134" t="s">
        <v>37</v>
      </c>
      <c r="I25" s="134" t="s">
        <v>37</v>
      </c>
      <c r="J25" s="134" t="s">
        <v>37</v>
      </c>
      <c r="K25" s="470" t="s">
        <v>37</v>
      </c>
      <c r="L25" s="470" t="s">
        <v>37</v>
      </c>
      <c r="M25" s="470" t="s">
        <v>37</v>
      </c>
      <c r="N25" s="470" t="s">
        <v>37</v>
      </c>
      <c r="O25" s="470" t="s">
        <v>37</v>
      </c>
      <c r="P25" s="470" t="s">
        <v>37</v>
      </c>
      <c r="Q25" s="470" t="s">
        <v>37</v>
      </c>
    </row>
    <row r="26" spans="1:22" s="309" customFormat="1" ht="13.5" customHeight="1">
      <c r="A26" s="132" t="s">
        <v>605</v>
      </c>
      <c r="B26" s="133"/>
      <c r="C26" s="134" t="s">
        <v>37</v>
      </c>
      <c r="D26" s="134" t="s">
        <v>37</v>
      </c>
      <c r="E26" s="134" t="s">
        <v>37</v>
      </c>
      <c r="F26" s="134" t="s">
        <v>37</v>
      </c>
      <c r="G26" s="134">
        <v>0</v>
      </c>
      <c r="H26" s="134">
        <v>0</v>
      </c>
      <c r="I26" s="134">
        <v>-6426</v>
      </c>
      <c r="J26" s="134" t="s">
        <v>37</v>
      </c>
      <c r="K26" s="470" t="s">
        <v>37</v>
      </c>
      <c r="L26" s="470" t="s">
        <v>37</v>
      </c>
      <c r="M26" s="470" t="s">
        <v>37</v>
      </c>
      <c r="N26" s="470" t="s">
        <v>37</v>
      </c>
      <c r="O26" s="470" t="s">
        <v>37</v>
      </c>
      <c r="P26" s="470" t="s">
        <v>37</v>
      </c>
      <c r="Q26" s="470" t="s">
        <v>37</v>
      </c>
    </row>
    <row r="27" spans="1:22" s="309" customFormat="1" ht="13.5" customHeight="1">
      <c r="A27" s="132" t="s">
        <v>606</v>
      </c>
      <c r="B27" s="83" t="s">
        <v>304</v>
      </c>
      <c r="C27" s="134">
        <v>65277</v>
      </c>
      <c r="D27" s="134">
        <v>62987</v>
      </c>
      <c r="E27" s="134">
        <v>69061</v>
      </c>
      <c r="F27" s="134">
        <v>72088</v>
      </c>
      <c r="G27" s="134">
        <v>65448</v>
      </c>
      <c r="H27" s="134">
        <v>89066</v>
      </c>
      <c r="I27" s="134">
        <v>85808</v>
      </c>
      <c r="J27" s="134">
        <v>83741</v>
      </c>
      <c r="K27" s="470">
        <v>91655</v>
      </c>
      <c r="L27" s="470">
        <v>102836</v>
      </c>
      <c r="M27" s="470">
        <v>116973</v>
      </c>
      <c r="N27" s="470">
        <v>131477</v>
      </c>
      <c r="O27" s="470">
        <v>94110</v>
      </c>
      <c r="P27" s="470">
        <v>109898</v>
      </c>
      <c r="Q27" s="470">
        <v>137679</v>
      </c>
      <c r="R27" s="288">
        <v>140518</v>
      </c>
      <c r="S27" s="288"/>
      <c r="T27" s="288"/>
      <c r="U27" s="288"/>
      <c r="V27" s="288"/>
    </row>
    <row r="28" spans="1:22" s="309" customFormat="1" ht="13.5" customHeight="1">
      <c r="A28" s="132" t="s">
        <v>607</v>
      </c>
      <c r="B28" s="133"/>
      <c r="C28" s="134">
        <v>2012805</v>
      </c>
      <c r="D28" s="134">
        <v>2116767</v>
      </c>
      <c r="E28" s="134">
        <v>2240107</v>
      </c>
      <c r="F28" s="134">
        <v>2368524</v>
      </c>
      <c r="G28" s="134">
        <v>2210794</v>
      </c>
      <c r="H28" s="134">
        <v>2363278</v>
      </c>
      <c r="I28" s="134">
        <v>2249928</v>
      </c>
      <c r="J28" s="134">
        <v>2355180</v>
      </c>
      <c r="K28" s="470">
        <v>2485476</v>
      </c>
      <c r="L28" s="470">
        <v>2597230</v>
      </c>
      <c r="M28" s="470">
        <v>2714401</v>
      </c>
      <c r="N28" s="470">
        <v>2724996</v>
      </c>
      <c r="O28" s="470">
        <v>2718989</v>
      </c>
      <c r="P28" s="470">
        <v>2847358</v>
      </c>
      <c r="Q28" s="470">
        <v>2635694</v>
      </c>
      <c r="R28" s="288">
        <v>2703599</v>
      </c>
      <c r="S28" s="288"/>
      <c r="T28" s="288"/>
      <c r="U28" s="288"/>
      <c r="V28" s="288"/>
    </row>
    <row r="29" spans="1:22" s="309" customFormat="1" ht="13.5" customHeight="1">
      <c r="A29" s="467" t="s">
        <v>608</v>
      </c>
      <c r="B29" s="133"/>
      <c r="C29" s="134">
        <v>1319349</v>
      </c>
      <c r="D29" s="134">
        <v>1534032</v>
      </c>
      <c r="E29" s="134">
        <v>1543048</v>
      </c>
      <c r="F29" s="134">
        <v>1406692</v>
      </c>
      <c r="G29" s="134">
        <v>1746836</v>
      </c>
      <c r="H29" s="134">
        <v>1943154</v>
      </c>
      <c r="I29" s="134">
        <v>2006229</v>
      </c>
      <c r="J29" s="134">
        <v>2188669</v>
      </c>
      <c r="K29" s="470">
        <v>2385342</v>
      </c>
      <c r="L29" s="470">
        <v>2668873</v>
      </c>
      <c r="M29" s="470">
        <v>2720828</v>
      </c>
      <c r="N29" s="470">
        <v>2802340</v>
      </c>
      <c r="O29" s="470">
        <v>2926299</v>
      </c>
      <c r="P29" s="470">
        <v>2907831</v>
      </c>
      <c r="Q29" s="470">
        <v>1971809</v>
      </c>
      <c r="R29" s="288">
        <v>2413190</v>
      </c>
      <c r="S29" s="288"/>
      <c r="T29" s="288"/>
      <c r="U29" s="288"/>
      <c r="V29" s="288"/>
    </row>
    <row r="30" spans="1:22" s="309" customFormat="1" ht="13.5" customHeight="1">
      <c r="A30" s="132" t="s">
        <v>609</v>
      </c>
      <c r="B30" s="111" t="s">
        <v>309</v>
      </c>
      <c r="C30" s="134">
        <v>-821858</v>
      </c>
      <c r="D30" s="134">
        <v>-945852</v>
      </c>
      <c r="E30" s="134">
        <v>-947140</v>
      </c>
      <c r="F30" s="134">
        <v>-992065</v>
      </c>
      <c r="G30" s="134">
        <v>-1027091</v>
      </c>
      <c r="H30" s="134">
        <v>-983526</v>
      </c>
      <c r="I30" s="134">
        <v>-1068181</v>
      </c>
      <c r="J30" s="134">
        <v>-1082081</v>
      </c>
      <c r="K30" s="470">
        <v>-992601</v>
      </c>
      <c r="L30" s="470">
        <v>-923697</v>
      </c>
      <c r="M30" s="470">
        <v>-857554</v>
      </c>
      <c r="N30" s="470">
        <v>-809393</v>
      </c>
      <c r="O30" s="470">
        <v>-815923</v>
      </c>
      <c r="P30" s="470">
        <v>-789353</v>
      </c>
      <c r="Q30" s="470">
        <v>-784400</v>
      </c>
      <c r="R30" s="288">
        <v>-795712</v>
      </c>
      <c r="S30" s="288"/>
      <c r="T30" s="288"/>
      <c r="U30" s="288"/>
      <c r="V30" s="288"/>
    </row>
    <row r="31" spans="1:22" s="309" customFormat="1" ht="13.5" customHeight="1">
      <c r="A31" s="132" t="s">
        <v>610</v>
      </c>
      <c r="B31" s="111" t="s">
        <v>309</v>
      </c>
      <c r="C31" s="134">
        <v>0</v>
      </c>
      <c r="D31" s="134">
        <v>0</v>
      </c>
      <c r="E31" s="134">
        <v>-20330</v>
      </c>
      <c r="F31" s="134">
        <v>0</v>
      </c>
      <c r="G31" s="134">
        <v>-350688</v>
      </c>
      <c r="H31" s="134" t="s">
        <v>37</v>
      </c>
      <c r="I31" s="134">
        <v>0</v>
      </c>
      <c r="J31" s="134">
        <v>0</v>
      </c>
      <c r="K31" s="470">
        <v>-127573</v>
      </c>
      <c r="L31" s="470">
        <v>-120953</v>
      </c>
      <c r="M31" s="470">
        <v>-136777</v>
      </c>
      <c r="N31" s="470">
        <v>-128618</v>
      </c>
      <c r="O31" s="470">
        <v>0</v>
      </c>
      <c r="P31" s="470">
        <v>-116256</v>
      </c>
      <c r="Q31" s="470">
        <v>0</v>
      </c>
      <c r="R31" s="288">
        <v>-51841</v>
      </c>
      <c r="S31" s="288"/>
      <c r="T31" s="13"/>
      <c r="U31" s="288"/>
      <c r="V31" s="13"/>
    </row>
    <row r="32" spans="1:22" s="309" customFormat="1" ht="13.5" customHeight="1">
      <c r="A32" s="500" t="s">
        <v>611</v>
      </c>
      <c r="B32" s="98" t="s">
        <v>313</v>
      </c>
      <c r="C32" s="134">
        <v>-11370</v>
      </c>
      <c r="D32" s="134">
        <v>11322</v>
      </c>
      <c r="E32" s="134">
        <v>-3581</v>
      </c>
      <c r="F32" s="134">
        <v>5220</v>
      </c>
      <c r="G32" s="134" t="s">
        <v>37</v>
      </c>
      <c r="H32" s="134" t="s">
        <v>37</v>
      </c>
      <c r="I32" s="134" t="s">
        <v>37</v>
      </c>
      <c r="J32" s="134" t="s">
        <v>37</v>
      </c>
      <c r="K32" s="470" t="s">
        <v>37</v>
      </c>
      <c r="L32" s="470" t="s">
        <v>37</v>
      </c>
      <c r="M32" s="470" t="s">
        <v>37</v>
      </c>
      <c r="N32" s="470">
        <v>0</v>
      </c>
      <c r="O32" s="470">
        <v>0</v>
      </c>
      <c r="P32" s="470">
        <v>0</v>
      </c>
      <c r="Q32" s="470">
        <v>0</v>
      </c>
      <c r="R32" s="288">
        <v>178672</v>
      </c>
      <c r="S32" s="13"/>
      <c r="T32" s="13"/>
      <c r="U32" s="13"/>
      <c r="V32" s="13"/>
    </row>
    <row r="33" spans="1:22" s="309" customFormat="1" ht="13.5" customHeight="1">
      <c r="A33" s="132" t="s">
        <v>612</v>
      </c>
      <c r="B33" s="98" t="s">
        <v>313</v>
      </c>
      <c r="C33" s="134" t="s">
        <v>37</v>
      </c>
      <c r="D33" s="134" t="s">
        <v>37</v>
      </c>
      <c r="E33" s="134" t="s">
        <v>37</v>
      </c>
      <c r="F33" s="134" t="s">
        <v>37</v>
      </c>
      <c r="G33" s="134">
        <v>-4331</v>
      </c>
      <c r="H33" s="134">
        <v>-11595</v>
      </c>
      <c r="I33" s="134">
        <v>-15715</v>
      </c>
      <c r="J33" s="134">
        <v>-39538</v>
      </c>
      <c r="K33" s="470">
        <v>-28085</v>
      </c>
      <c r="L33" s="470">
        <v>-20170</v>
      </c>
      <c r="M33" s="470">
        <v>-29678</v>
      </c>
      <c r="N33" s="470">
        <v>-23343</v>
      </c>
      <c r="O33" s="470">
        <v>-36898</v>
      </c>
      <c r="P33" s="470">
        <v>-30054</v>
      </c>
      <c r="Q33" s="470">
        <v>4637</v>
      </c>
      <c r="R33" s="288">
        <v>-157199</v>
      </c>
      <c r="S33" s="288"/>
      <c r="T33" s="288"/>
      <c r="U33" s="288"/>
      <c r="V33" s="288"/>
    </row>
    <row r="34" spans="1:22" s="309" customFormat="1" ht="13.5" customHeight="1">
      <c r="A34" s="132" t="s">
        <v>613</v>
      </c>
      <c r="B34" s="111" t="s">
        <v>309</v>
      </c>
      <c r="C34" s="134">
        <v>110819</v>
      </c>
      <c r="D34" s="134">
        <v>38120</v>
      </c>
      <c r="E34" s="134">
        <v>32246</v>
      </c>
      <c r="F34" s="134">
        <v>40220</v>
      </c>
      <c r="G34" s="134">
        <v>75921</v>
      </c>
      <c r="H34" s="134">
        <v>81238</v>
      </c>
      <c r="I34" s="134">
        <v>130879</v>
      </c>
      <c r="J34" s="134">
        <v>206380</v>
      </c>
      <c r="K34" s="470">
        <v>226774</v>
      </c>
      <c r="L34" s="470">
        <v>284806</v>
      </c>
      <c r="M34" s="470">
        <v>353334</v>
      </c>
      <c r="N34" s="470">
        <v>400270</v>
      </c>
      <c r="O34" s="470">
        <v>475250</v>
      </c>
      <c r="P34" s="470">
        <v>444349</v>
      </c>
      <c r="Q34" s="470">
        <v>219870</v>
      </c>
      <c r="R34" s="288">
        <v>782837</v>
      </c>
      <c r="S34" s="288"/>
      <c r="T34" s="288"/>
      <c r="U34" s="288"/>
      <c r="V34" s="288"/>
    </row>
    <row r="35" spans="1:22" s="309" customFormat="1" ht="13.5" customHeight="1">
      <c r="A35" s="132" t="s">
        <v>614</v>
      </c>
      <c r="B35" s="133"/>
      <c r="C35" s="134" t="s">
        <v>37</v>
      </c>
      <c r="D35" s="134">
        <v>-55061</v>
      </c>
      <c r="E35" s="134">
        <v>-4683</v>
      </c>
      <c r="F35" s="134">
        <v>-42697</v>
      </c>
      <c r="G35" s="134" t="s">
        <v>37</v>
      </c>
      <c r="H35" s="134" t="s">
        <v>37</v>
      </c>
      <c r="I35" s="134" t="s">
        <v>37</v>
      </c>
      <c r="J35" s="134" t="s">
        <v>37</v>
      </c>
      <c r="K35" s="470" t="s">
        <v>37</v>
      </c>
      <c r="L35" s="470" t="s">
        <v>37</v>
      </c>
      <c r="M35" s="470" t="s">
        <v>37</v>
      </c>
      <c r="N35" s="470" t="s">
        <v>37</v>
      </c>
      <c r="O35" s="470" t="s">
        <v>37</v>
      </c>
      <c r="P35" s="470" t="s">
        <v>37</v>
      </c>
      <c r="Q35" s="470" t="s">
        <v>37</v>
      </c>
    </row>
    <row r="36" spans="1:22" s="309" customFormat="1" ht="13.5" customHeight="1">
      <c r="A36" s="132" t="s">
        <v>615</v>
      </c>
      <c r="B36" s="111" t="s">
        <v>309</v>
      </c>
      <c r="C36" s="134" t="s">
        <v>37</v>
      </c>
      <c r="D36" s="134" t="s">
        <v>37</v>
      </c>
      <c r="E36" s="134" t="s">
        <v>37</v>
      </c>
      <c r="F36" s="134" t="s">
        <v>37</v>
      </c>
      <c r="G36" s="134" t="s">
        <v>37</v>
      </c>
      <c r="H36" s="134" t="s">
        <v>37</v>
      </c>
      <c r="I36" s="134" t="s">
        <v>37</v>
      </c>
      <c r="J36" s="134" t="s">
        <v>37</v>
      </c>
      <c r="K36" s="470" t="s">
        <v>37</v>
      </c>
      <c r="L36" s="470" t="s">
        <v>37</v>
      </c>
      <c r="M36" s="470" t="s">
        <v>37</v>
      </c>
      <c r="N36" s="470">
        <v>0</v>
      </c>
      <c r="O36" s="470">
        <v>-15212</v>
      </c>
      <c r="P36" s="470">
        <v>-8212</v>
      </c>
      <c r="Q36" s="470">
        <v>-19632</v>
      </c>
      <c r="R36" s="288">
        <v>-8095</v>
      </c>
      <c r="S36" s="13"/>
      <c r="T36" s="288"/>
      <c r="U36" s="288"/>
      <c r="V36" s="288"/>
    </row>
    <row r="37" spans="1:22" s="309" customFormat="1" ht="13.5" customHeight="1">
      <c r="A37" s="132" t="s">
        <v>616</v>
      </c>
      <c r="B37" s="111" t="s">
        <v>309</v>
      </c>
      <c r="C37" s="134">
        <v>132787</v>
      </c>
      <c r="D37" s="134">
        <v>92044</v>
      </c>
      <c r="E37" s="134">
        <v>0</v>
      </c>
      <c r="F37" s="134">
        <v>-30108</v>
      </c>
      <c r="G37" s="134">
        <v>312867</v>
      </c>
      <c r="H37" s="134">
        <v>216629</v>
      </c>
      <c r="I37" s="134">
        <v>510030</v>
      </c>
      <c r="J37" s="134">
        <v>93363</v>
      </c>
      <c r="K37" s="470">
        <v>158308</v>
      </c>
      <c r="L37" s="470">
        <v>250516</v>
      </c>
      <c r="M37" s="470">
        <v>84553</v>
      </c>
      <c r="N37" s="470">
        <v>3647</v>
      </c>
      <c r="O37" s="470">
        <v>288827</v>
      </c>
      <c r="P37" s="470">
        <v>14883</v>
      </c>
      <c r="Q37" s="470">
        <v>-114960</v>
      </c>
      <c r="R37" s="288">
        <v>206855</v>
      </c>
      <c r="S37" s="288"/>
      <c r="T37" s="288"/>
      <c r="U37" s="288"/>
      <c r="V37" s="288"/>
    </row>
    <row r="38" spans="1:22" s="309" customFormat="1" ht="13.5" customHeight="1">
      <c r="A38" s="132" t="s">
        <v>617</v>
      </c>
      <c r="B38" s="133"/>
      <c r="C38" s="134" t="s">
        <v>37</v>
      </c>
      <c r="D38" s="134" t="s">
        <v>37</v>
      </c>
      <c r="E38" s="134" t="s">
        <v>37</v>
      </c>
      <c r="F38" s="134" t="s">
        <v>37</v>
      </c>
      <c r="G38" s="134" t="s">
        <v>37</v>
      </c>
      <c r="H38" s="134" t="s">
        <v>37</v>
      </c>
      <c r="I38" s="134">
        <v>1563242</v>
      </c>
      <c r="J38" s="134">
        <v>1366793</v>
      </c>
      <c r="K38" s="470">
        <v>1622165</v>
      </c>
      <c r="L38" s="470" t="s">
        <v>37</v>
      </c>
      <c r="M38" s="470" t="s">
        <v>37</v>
      </c>
      <c r="N38" s="470" t="s">
        <v>37</v>
      </c>
      <c r="O38" s="470" t="s">
        <v>37</v>
      </c>
      <c r="P38" s="470" t="s">
        <v>37</v>
      </c>
      <c r="Q38" s="470" t="s">
        <v>37</v>
      </c>
    </row>
    <row r="39" spans="1:22" s="309" customFormat="1" ht="13.5" customHeight="1">
      <c r="A39" s="132" t="s">
        <v>618</v>
      </c>
      <c r="B39" s="133"/>
      <c r="C39" s="134">
        <v>729727</v>
      </c>
      <c r="D39" s="134">
        <v>674605</v>
      </c>
      <c r="E39" s="134">
        <v>599560</v>
      </c>
      <c r="F39" s="134" t="s">
        <v>37</v>
      </c>
      <c r="G39" s="134" t="s">
        <v>37</v>
      </c>
      <c r="H39" s="134" t="s">
        <v>37</v>
      </c>
      <c r="I39" s="134" t="s">
        <v>37</v>
      </c>
      <c r="J39" s="134" t="s">
        <v>37</v>
      </c>
      <c r="K39" s="470" t="s">
        <v>37</v>
      </c>
      <c r="L39" s="470" t="s">
        <v>37</v>
      </c>
      <c r="M39" s="470" t="s">
        <v>37</v>
      </c>
      <c r="N39" s="470" t="s">
        <v>37</v>
      </c>
      <c r="O39" s="470" t="s">
        <v>37</v>
      </c>
      <c r="P39" s="470" t="s">
        <v>37</v>
      </c>
      <c r="Q39" s="470" t="s">
        <v>37</v>
      </c>
    </row>
    <row r="40" spans="1:22" s="309" customFormat="1" ht="13.5" customHeight="1">
      <c r="A40" s="132" t="s">
        <v>619</v>
      </c>
      <c r="B40" s="133"/>
      <c r="C40" s="134">
        <v>418</v>
      </c>
      <c r="D40" s="134">
        <v>-117</v>
      </c>
      <c r="E40" s="134">
        <v>-25</v>
      </c>
      <c r="F40" s="134" t="s">
        <v>37</v>
      </c>
      <c r="G40" s="134" t="s">
        <v>37</v>
      </c>
      <c r="H40" s="134" t="s">
        <v>37</v>
      </c>
      <c r="I40" s="134" t="s">
        <v>37</v>
      </c>
      <c r="J40" s="134" t="s">
        <v>37</v>
      </c>
      <c r="K40" s="470" t="s">
        <v>37</v>
      </c>
      <c r="L40" s="470" t="s">
        <v>37</v>
      </c>
      <c r="M40" s="470" t="s">
        <v>37</v>
      </c>
      <c r="N40" s="470" t="s">
        <v>37</v>
      </c>
      <c r="O40" s="470" t="s">
        <v>37</v>
      </c>
      <c r="P40" s="470" t="s">
        <v>37</v>
      </c>
      <c r="Q40" s="470" t="s">
        <v>37</v>
      </c>
    </row>
    <row r="41" spans="1:22" s="309" customFormat="1" ht="13.5" customHeight="1">
      <c r="A41" s="132" t="s">
        <v>620</v>
      </c>
      <c r="B41" s="133"/>
      <c r="C41" s="134">
        <v>84</v>
      </c>
      <c r="D41" s="134">
        <v>-35252</v>
      </c>
      <c r="E41" s="134" t="s">
        <v>37</v>
      </c>
      <c r="F41" s="134" t="s">
        <v>37</v>
      </c>
      <c r="G41" s="134" t="s">
        <v>37</v>
      </c>
      <c r="H41" s="134" t="s">
        <v>37</v>
      </c>
      <c r="I41" s="134" t="s">
        <v>37</v>
      </c>
      <c r="J41" s="134" t="s">
        <v>37</v>
      </c>
      <c r="K41" s="470" t="s">
        <v>37</v>
      </c>
      <c r="L41" s="470" t="s">
        <v>37</v>
      </c>
      <c r="M41" s="470" t="s">
        <v>37</v>
      </c>
      <c r="N41" s="470" t="s">
        <v>37</v>
      </c>
      <c r="O41" s="470" t="s">
        <v>37</v>
      </c>
      <c r="P41" s="470" t="s">
        <v>37</v>
      </c>
      <c r="Q41" s="470" t="s">
        <v>37</v>
      </c>
    </row>
    <row r="42" spans="1:22" s="309" customFormat="1" ht="13.5" customHeight="1">
      <c r="A42" s="132" t="s">
        <v>621</v>
      </c>
      <c r="B42" s="133"/>
      <c r="C42" s="134" t="s">
        <v>37</v>
      </c>
      <c r="D42" s="134" t="s">
        <v>37</v>
      </c>
      <c r="E42" s="134" t="s">
        <v>37</v>
      </c>
      <c r="F42" s="134" t="s">
        <v>37</v>
      </c>
      <c r="G42" s="134" t="s">
        <v>37</v>
      </c>
      <c r="H42" s="134" t="s">
        <v>37</v>
      </c>
      <c r="I42" s="134">
        <v>156390</v>
      </c>
      <c r="J42" s="134">
        <v>184797</v>
      </c>
      <c r="K42" s="470">
        <v>67524</v>
      </c>
      <c r="L42" s="470" t="s">
        <v>37</v>
      </c>
      <c r="M42" s="470" t="s">
        <v>37</v>
      </c>
      <c r="N42" s="470" t="s">
        <v>37</v>
      </c>
      <c r="O42" s="470" t="s">
        <v>37</v>
      </c>
      <c r="P42" s="470" t="s">
        <v>37</v>
      </c>
      <c r="Q42" s="470" t="s">
        <v>37</v>
      </c>
    </row>
    <row r="43" spans="1:22" s="309" customFormat="1" ht="13.5" customHeight="1">
      <c r="A43" s="132" t="s">
        <v>622</v>
      </c>
      <c r="B43" s="133"/>
      <c r="C43" s="134" t="s">
        <v>37</v>
      </c>
      <c r="D43" s="134" t="s">
        <v>37</v>
      </c>
      <c r="E43" s="134" t="s">
        <v>37</v>
      </c>
      <c r="F43" s="134" t="s">
        <v>37</v>
      </c>
      <c r="G43" s="134" t="s">
        <v>37</v>
      </c>
      <c r="H43" s="134" t="s">
        <v>37</v>
      </c>
      <c r="I43" s="134">
        <v>0</v>
      </c>
      <c r="J43" s="134">
        <v>0</v>
      </c>
      <c r="K43" s="470">
        <v>-38163</v>
      </c>
      <c r="L43" s="470" t="s">
        <v>37</v>
      </c>
      <c r="M43" s="470" t="s">
        <v>37</v>
      </c>
      <c r="N43" s="470" t="s">
        <v>37</v>
      </c>
      <c r="O43" s="470" t="s">
        <v>37</v>
      </c>
      <c r="P43" s="470" t="s">
        <v>37</v>
      </c>
      <c r="Q43" s="470" t="s">
        <v>37</v>
      </c>
    </row>
    <row r="44" spans="1:22" s="309" customFormat="1" ht="13.5" customHeight="1">
      <c r="A44" s="467" t="s">
        <v>623</v>
      </c>
      <c r="B44" s="133"/>
      <c r="C44" s="134">
        <v>730229</v>
      </c>
      <c r="D44" s="134">
        <v>639236</v>
      </c>
      <c r="E44" s="134">
        <v>599535</v>
      </c>
      <c r="F44" s="134">
        <v>387262</v>
      </c>
      <c r="G44" s="134">
        <v>753514</v>
      </c>
      <c r="H44" s="134">
        <v>1245900</v>
      </c>
      <c r="I44" s="134">
        <v>1719632</v>
      </c>
      <c r="J44" s="134">
        <v>1551590</v>
      </c>
      <c r="K44" s="470">
        <v>1651526</v>
      </c>
      <c r="L44" s="470">
        <v>2139375</v>
      </c>
      <c r="M44" s="470">
        <v>2134706</v>
      </c>
      <c r="N44" s="470">
        <v>2244903</v>
      </c>
      <c r="O44" s="470">
        <v>2822343</v>
      </c>
      <c r="P44" s="470">
        <v>2423188</v>
      </c>
      <c r="Q44" s="470">
        <v>1277324</v>
      </c>
      <c r="R44" s="288">
        <v>2568707</v>
      </c>
      <c r="S44" s="288"/>
      <c r="T44" s="288"/>
      <c r="U44" s="288"/>
      <c r="V44" s="288"/>
    </row>
    <row r="45" spans="1:22" s="309" customFormat="1" ht="13.5" customHeight="1">
      <c r="A45" s="132" t="s">
        <v>624</v>
      </c>
      <c r="B45" s="98" t="s">
        <v>316</v>
      </c>
      <c r="C45" s="134">
        <v>166389</v>
      </c>
      <c r="D45" s="134">
        <v>147997</v>
      </c>
      <c r="E45" s="134">
        <v>135899</v>
      </c>
      <c r="F45" s="134">
        <v>77855</v>
      </c>
      <c r="G45" s="134">
        <v>136476</v>
      </c>
      <c r="H45" s="134">
        <v>221101</v>
      </c>
      <c r="I45" s="134">
        <v>285136</v>
      </c>
      <c r="J45" s="134">
        <v>231949</v>
      </c>
      <c r="K45" s="470">
        <v>242938</v>
      </c>
      <c r="L45" s="470">
        <v>311655</v>
      </c>
      <c r="M45" s="470">
        <v>295810</v>
      </c>
      <c r="N45" s="470">
        <v>296941</v>
      </c>
      <c r="O45" s="470">
        <v>382285</v>
      </c>
      <c r="P45" s="470">
        <v>321604</v>
      </c>
      <c r="Q45" s="470">
        <v>164760</v>
      </c>
      <c r="R45" s="288">
        <v>319076</v>
      </c>
      <c r="S45" s="288"/>
      <c r="T45" s="288"/>
      <c r="U45" s="288"/>
      <c r="V45" s="288"/>
    </row>
    <row r="46" spans="1:22" s="309" customFormat="1" ht="13.5" customHeight="1">
      <c r="A46" s="132" t="s">
        <v>625</v>
      </c>
      <c r="B46" s="98" t="s">
        <v>316</v>
      </c>
      <c r="C46" s="134">
        <v>77695</v>
      </c>
      <c r="D46" s="134">
        <v>55075</v>
      </c>
      <c r="E46" s="134">
        <v>41119</v>
      </c>
      <c r="F46" s="134">
        <v>26309</v>
      </c>
      <c r="G46" s="134">
        <v>6614</v>
      </c>
      <c r="H46" s="134">
        <v>3337</v>
      </c>
      <c r="I46" s="134">
        <v>3337</v>
      </c>
      <c r="J46" s="134">
        <v>3337</v>
      </c>
      <c r="K46" s="470">
        <v>3337</v>
      </c>
      <c r="L46" s="470">
        <v>3337</v>
      </c>
      <c r="M46" s="470">
        <v>3337</v>
      </c>
      <c r="N46" s="470">
        <v>3337</v>
      </c>
      <c r="O46" s="470">
        <v>3337</v>
      </c>
      <c r="P46" s="470">
        <v>3337</v>
      </c>
      <c r="Q46" s="470">
        <v>3337</v>
      </c>
      <c r="R46" s="288">
        <v>3337</v>
      </c>
      <c r="S46" s="288"/>
      <c r="T46" s="288"/>
      <c r="U46" s="288"/>
      <c r="V46" s="288"/>
    </row>
    <row r="47" spans="1:22" s="309" customFormat="1" ht="13.5" customHeight="1">
      <c r="A47" s="467" t="s">
        <v>626</v>
      </c>
      <c r="B47" s="133"/>
      <c r="C47" s="134">
        <v>486145</v>
      </c>
      <c r="D47" s="134">
        <v>436164</v>
      </c>
      <c r="E47" s="134">
        <v>422517</v>
      </c>
      <c r="F47" s="134">
        <v>283098</v>
      </c>
      <c r="G47" s="134">
        <v>610424</v>
      </c>
      <c r="H47" s="134">
        <v>1021462</v>
      </c>
      <c r="I47" s="134">
        <v>1431159</v>
      </c>
      <c r="J47" s="134">
        <v>1316304</v>
      </c>
      <c r="K47" s="470">
        <v>1405251</v>
      </c>
      <c r="L47" s="470">
        <v>1824383</v>
      </c>
      <c r="M47" s="470">
        <v>1835559</v>
      </c>
      <c r="N47" s="470">
        <v>1944625</v>
      </c>
      <c r="O47" s="470">
        <v>2436721</v>
      </c>
      <c r="P47" s="470">
        <v>2098247</v>
      </c>
      <c r="Q47" s="470">
        <v>1109227</v>
      </c>
      <c r="R47" s="288">
        <v>2246294</v>
      </c>
      <c r="S47" s="288"/>
      <c r="T47" s="288"/>
      <c r="U47" s="288"/>
      <c r="V47" s="288"/>
    </row>
    <row r="48" spans="1:22" s="309" customFormat="1" ht="13.5" customHeight="1">
      <c r="A48" s="171" t="s">
        <v>627</v>
      </c>
      <c r="B48" s="171"/>
      <c r="C48" s="465"/>
      <c r="D48" s="465"/>
      <c r="E48" s="465"/>
      <c r="F48" s="465"/>
      <c r="G48" s="465"/>
      <c r="H48" s="465"/>
      <c r="I48" s="465"/>
      <c r="J48" s="465"/>
      <c r="Q48" s="470"/>
    </row>
    <row r="49" spans="1:17" s="309" customFormat="1" ht="13.5" customHeight="1">
      <c r="A49" s="132" t="s">
        <v>628</v>
      </c>
      <c r="B49" s="133"/>
      <c r="C49" s="134">
        <v>2.2000000000000002</v>
      </c>
      <c r="D49" s="134">
        <v>2.09</v>
      </c>
      <c r="E49" s="134" t="s">
        <v>37</v>
      </c>
      <c r="F49" s="134" t="s">
        <v>37</v>
      </c>
      <c r="G49" s="134" t="s">
        <v>37</v>
      </c>
      <c r="H49" s="134" t="s">
        <v>37</v>
      </c>
      <c r="I49" s="134" t="s">
        <v>37</v>
      </c>
      <c r="J49" s="134" t="s">
        <v>37</v>
      </c>
      <c r="K49" s="470" t="s">
        <v>37</v>
      </c>
      <c r="L49" s="470" t="s">
        <v>37</v>
      </c>
      <c r="M49" s="470" t="s">
        <v>37</v>
      </c>
      <c r="N49" s="470" t="s">
        <v>37</v>
      </c>
      <c r="O49" s="470" t="s">
        <v>37</v>
      </c>
      <c r="P49" s="470" t="s">
        <v>37</v>
      </c>
      <c r="Q49" s="470"/>
    </row>
    <row r="50" spans="1:17" s="309" customFormat="1" ht="13.5" customHeight="1">
      <c r="A50" s="132" t="s">
        <v>629</v>
      </c>
      <c r="B50" s="133"/>
      <c r="C50" s="134">
        <v>0</v>
      </c>
      <c r="D50" s="134">
        <v>-0.13</v>
      </c>
      <c r="E50" s="134" t="s">
        <v>37</v>
      </c>
      <c r="F50" s="134" t="s">
        <v>37</v>
      </c>
      <c r="G50" s="134" t="s">
        <v>37</v>
      </c>
      <c r="H50" s="134" t="s">
        <v>37</v>
      </c>
      <c r="I50" s="134" t="s">
        <v>37</v>
      </c>
      <c r="J50" s="134" t="s">
        <v>37</v>
      </c>
      <c r="K50" s="470" t="s">
        <v>37</v>
      </c>
      <c r="L50" s="470" t="s">
        <v>37</v>
      </c>
      <c r="M50" s="470" t="s">
        <v>37</v>
      </c>
      <c r="N50" s="470" t="s">
        <v>37</v>
      </c>
      <c r="O50" s="470" t="s">
        <v>37</v>
      </c>
      <c r="P50" s="470" t="s">
        <v>37</v>
      </c>
    </row>
    <row r="51" spans="1:17" s="309" customFormat="1" ht="13.5" customHeight="1">
      <c r="A51" s="132" t="s">
        <v>630</v>
      </c>
      <c r="B51" s="133"/>
      <c r="C51" s="134">
        <v>2.2000000000000002</v>
      </c>
      <c r="D51" s="134">
        <v>1.96</v>
      </c>
      <c r="E51" s="134">
        <v>1.88</v>
      </c>
      <c r="F51" s="134">
        <v>1.06</v>
      </c>
      <c r="G51" s="134">
        <v>2.1</v>
      </c>
      <c r="H51" s="134">
        <v>3.48</v>
      </c>
      <c r="I51" s="134" t="s">
        <v>37</v>
      </c>
      <c r="J51" s="134" t="s">
        <v>37</v>
      </c>
      <c r="K51" s="470" t="s">
        <v>37</v>
      </c>
      <c r="L51" s="470" t="s">
        <v>37</v>
      </c>
      <c r="M51" s="470" t="s">
        <v>37</v>
      </c>
      <c r="N51" s="470" t="s">
        <v>37</v>
      </c>
      <c r="O51" s="470" t="s">
        <v>37</v>
      </c>
      <c r="P51" s="470" t="s">
        <v>37</v>
      </c>
    </row>
    <row r="52" spans="1:17" s="309" customFormat="1" ht="13.5" customHeight="1">
      <c r="A52" s="171" t="s">
        <v>631</v>
      </c>
      <c r="B52" s="171"/>
      <c r="C52" s="465"/>
      <c r="D52" s="465"/>
      <c r="E52" s="465"/>
      <c r="F52" s="465"/>
      <c r="G52" s="465"/>
      <c r="H52" s="465"/>
      <c r="I52" s="465"/>
      <c r="J52" s="465"/>
    </row>
    <row r="53" spans="1:17" s="309" customFormat="1" ht="13.5" customHeight="1">
      <c r="A53" s="132" t="s">
        <v>632</v>
      </c>
      <c r="B53" s="133"/>
      <c r="C53" s="134">
        <v>2.19</v>
      </c>
      <c r="D53" s="134">
        <v>2.08</v>
      </c>
      <c r="E53" s="134" t="s">
        <v>37</v>
      </c>
      <c r="F53" s="134" t="s">
        <v>37</v>
      </c>
      <c r="G53" s="134" t="s">
        <v>37</v>
      </c>
      <c r="H53" s="134" t="s">
        <v>37</v>
      </c>
      <c r="I53" s="134" t="s">
        <v>37</v>
      </c>
      <c r="J53" s="134" t="s">
        <v>37</v>
      </c>
      <c r="K53" s="470" t="s">
        <v>37</v>
      </c>
      <c r="L53" s="470" t="s">
        <v>37</v>
      </c>
      <c r="M53" s="470" t="s">
        <v>37</v>
      </c>
      <c r="N53" s="470" t="s">
        <v>37</v>
      </c>
      <c r="O53" s="470" t="s">
        <v>37</v>
      </c>
      <c r="P53" s="470" t="s">
        <v>37</v>
      </c>
    </row>
    <row r="54" spans="1:17" s="309" customFormat="1" ht="13.5" customHeight="1">
      <c r="A54" s="132" t="s">
        <v>633</v>
      </c>
      <c r="B54" s="133"/>
      <c r="C54" s="134">
        <v>0</v>
      </c>
      <c r="D54" s="134">
        <v>-0.13</v>
      </c>
      <c r="E54" s="134" t="s">
        <v>37</v>
      </c>
      <c r="F54" s="134" t="s">
        <v>37</v>
      </c>
      <c r="G54" s="134" t="s">
        <v>37</v>
      </c>
      <c r="H54" s="134" t="s">
        <v>37</v>
      </c>
      <c r="I54" s="134" t="s">
        <v>37</v>
      </c>
      <c r="J54" s="134" t="s">
        <v>37</v>
      </c>
      <c r="K54" s="470" t="s">
        <v>37</v>
      </c>
      <c r="L54" s="470" t="s">
        <v>37</v>
      </c>
      <c r="M54" s="470" t="s">
        <v>37</v>
      </c>
      <c r="N54" s="470" t="s">
        <v>37</v>
      </c>
      <c r="O54" s="470" t="s">
        <v>37</v>
      </c>
      <c r="P54" s="470" t="s">
        <v>37</v>
      </c>
    </row>
    <row r="55" spans="1:17" s="309" customFormat="1" ht="13.5" customHeight="1">
      <c r="A55" s="132" t="s">
        <v>634</v>
      </c>
      <c r="B55" s="133"/>
      <c r="C55" s="134">
        <v>2.19</v>
      </c>
      <c r="D55" s="134">
        <v>1.95</v>
      </c>
      <c r="E55" s="134">
        <v>1.87</v>
      </c>
      <c r="F55" s="134">
        <v>1.05</v>
      </c>
      <c r="G55" s="134">
        <v>2.1</v>
      </c>
      <c r="H55" s="134">
        <v>3.48</v>
      </c>
      <c r="I55" s="134" t="s">
        <v>37</v>
      </c>
      <c r="J55" s="134" t="s">
        <v>37</v>
      </c>
      <c r="K55" s="470" t="s">
        <v>37</v>
      </c>
      <c r="L55" s="470" t="s">
        <v>37</v>
      </c>
      <c r="M55" s="470" t="s">
        <v>37</v>
      </c>
      <c r="N55" s="470" t="s">
        <v>37</v>
      </c>
      <c r="O55" s="470" t="s">
        <v>37</v>
      </c>
      <c r="P55" s="470" t="s">
        <v>37</v>
      </c>
    </row>
    <row r="56" spans="1:17" s="309" customFormat="1" ht="13.5" customHeight="1">
      <c r="A56" s="171" t="s">
        <v>635</v>
      </c>
      <c r="B56" s="171"/>
      <c r="C56" s="465"/>
      <c r="D56" s="465"/>
      <c r="E56" s="465"/>
      <c r="F56" s="465"/>
      <c r="G56" s="465"/>
      <c r="H56" s="465"/>
      <c r="I56" s="465"/>
      <c r="J56" s="465"/>
    </row>
    <row r="57" spans="1:17" s="309" customFormat="1" ht="13.5" customHeight="1">
      <c r="A57" s="132" t="s">
        <v>636</v>
      </c>
      <c r="B57" s="133"/>
      <c r="C57" s="134" t="s">
        <v>37</v>
      </c>
      <c r="D57" s="134" t="s">
        <v>37</v>
      </c>
      <c r="E57" s="134" t="s">
        <v>37</v>
      </c>
      <c r="F57" s="134" t="s">
        <v>37</v>
      </c>
      <c r="G57" s="134" t="s">
        <v>37</v>
      </c>
      <c r="H57" s="134" t="s">
        <v>37</v>
      </c>
      <c r="I57" s="134">
        <v>4.29</v>
      </c>
      <c r="J57" s="134">
        <v>3.73</v>
      </c>
      <c r="K57" s="470">
        <v>4.4400000000000004</v>
      </c>
      <c r="L57" s="470" t="s">
        <v>37</v>
      </c>
      <c r="M57" s="470" t="s">
        <v>37</v>
      </c>
      <c r="N57" s="470" t="s">
        <v>37</v>
      </c>
      <c r="O57" s="470" t="s">
        <v>37</v>
      </c>
      <c r="P57" s="470" t="s">
        <v>37</v>
      </c>
    </row>
    <row r="58" spans="1:17" s="309" customFormat="1" ht="13.5" customHeight="1">
      <c r="A58" s="132" t="s">
        <v>637</v>
      </c>
      <c r="B58" s="133"/>
      <c r="C58" s="134" t="s">
        <v>37</v>
      </c>
      <c r="D58" s="134" t="s">
        <v>37</v>
      </c>
      <c r="E58" s="134" t="s">
        <v>37</v>
      </c>
      <c r="F58" s="134" t="s">
        <v>37</v>
      </c>
      <c r="G58" s="134" t="s">
        <v>37</v>
      </c>
      <c r="H58" s="134" t="s">
        <v>37</v>
      </c>
      <c r="I58" s="134">
        <v>0.43</v>
      </c>
      <c r="J58" s="134">
        <v>0.51</v>
      </c>
      <c r="K58" s="470">
        <v>0.08</v>
      </c>
      <c r="L58" s="470" t="s">
        <v>37</v>
      </c>
      <c r="M58" s="470" t="s">
        <v>37</v>
      </c>
      <c r="N58" s="470" t="s">
        <v>37</v>
      </c>
      <c r="O58" s="470" t="s">
        <v>37</v>
      </c>
      <c r="P58" s="470" t="s">
        <v>37</v>
      </c>
    </row>
    <row r="59" spans="1:17" s="309" customFormat="1" ht="13.5" customHeight="1">
      <c r="A59" s="132" t="s">
        <v>638</v>
      </c>
      <c r="B59" s="133"/>
      <c r="C59" s="134" t="s">
        <v>37</v>
      </c>
      <c r="D59" s="134" t="s">
        <v>37</v>
      </c>
      <c r="E59" s="134" t="s">
        <v>37</v>
      </c>
      <c r="F59" s="134" t="s">
        <v>37</v>
      </c>
      <c r="G59" s="134" t="s">
        <v>37</v>
      </c>
      <c r="H59" s="134" t="s">
        <v>37</v>
      </c>
      <c r="I59" s="176">
        <v>4.72</v>
      </c>
      <c r="J59" s="176">
        <v>4.24</v>
      </c>
      <c r="K59" s="471">
        <v>4.5199999999999996</v>
      </c>
      <c r="L59" s="471">
        <v>5.88</v>
      </c>
      <c r="M59" s="471">
        <v>5.87</v>
      </c>
      <c r="N59" s="471">
        <v>6.24</v>
      </c>
      <c r="O59" s="471">
        <v>7.87</v>
      </c>
      <c r="P59" s="471">
        <v>6.81</v>
      </c>
      <c r="Q59" s="471">
        <v>3.59</v>
      </c>
    </row>
    <row r="60" spans="1:17" s="309" customFormat="1" ht="13.5" customHeight="1">
      <c r="A60" s="171" t="s">
        <v>639</v>
      </c>
      <c r="B60" s="171"/>
      <c r="C60" s="465"/>
      <c r="D60" s="465"/>
      <c r="E60" s="465"/>
      <c r="F60" s="465"/>
      <c r="G60" s="465"/>
      <c r="H60" s="465"/>
      <c r="I60" s="465"/>
      <c r="J60" s="465"/>
    </row>
    <row r="61" spans="1:17" s="309" customFormat="1" ht="13.5" customHeight="1">
      <c r="A61" s="132" t="s">
        <v>640</v>
      </c>
      <c r="B61" s="133"/>
      <c r="C61" s="134">
        <v>730229</v>
      </c>
      <c r="D61" s="134">
        <v>639236</v>
      </c>
      <c r="E61" s="134">
        <v>599535</v>
      </c>
      <c r="F61" s="134">
        <v>387262</v>
      </c>
      <c r="G61" s="134">
        <v>753514</v>
      </c>
      <c r="H61" s="134">
        <v>1245900</v>
      </c>
      <c r="I61" s="134">
        <v>1719632</v>
      </c>
      <c r="J61" s="134">
        <v>1551590</v>
      </c>
      <c r="K61" s="470">
        <v>1651526</v>
      </c>
      <c r="L61" s="470">
        <v>2139375</v>
      </c>
      <c r="M61" s="470">
        <v>2134706</v>
      </c>
      <c r="N61" s="470">
        <v>2244903</v>
      </c>
      <c r="O61" s="470">
        <v>2822343</v>
      </c>
      <c r="P61" s="470">
        <v>2423188</v>
      </c>
    </row>
    <row r="62" spans="1:17" s="309" customFormat="1" ht="13.5" customHeight="1">
      <c r="A62" s="132" t="s">
        <v>641</v>
      </c>
      <c r="B62" s="133"/>
      <c r="C62" s="134">
        <v>6518</v>
      </c>
      <c r="D62" s="134">
        <v>-10760</v>
      </c>
      <c r="E62" s="134">
        <v>-50973</v>
      </c>
      <c r="F62" s="134">
        <v>-27999</v>
      </c>
      <c r="G62" s="134">
        <v>-3493</v>
      </c>
      <c r="H62" s="134">
        <v>-91933</v>
      </c>
      <c r="I62" s="134">
        <v>16652</v>
      </c>
      <c r="J62" s="134">
        <v>7101</v>
      </c>
      <c r="K62" s="470">
        <v>5220</v>
      </c>
      <c r="L62" s="470">
        <v>17122</v>
      </c>
      <c r="M62" s="470">
        <v>39472</v>
      </c>
      <c r="N62" s="470">
        <v>-35112</v>
      </c>
      <c r="O62" s="470">
        <v>21633</v>
      </c>
      <c r="P62" s="470">
        <v>-4066</v>
      </c>
    </row>
    <row r="63" spans="1:17" s="309" customFormat="1" ht="13.5" customHeight="1">
      <c r="A63" s="132" t="s">
        <v>642</v>
      </c>
      <c r="B63" s="133"/>
      <c r="C63" s="134">
        <v>2263</v>
      </c>
      <c r="D63" s="134">
        <v>902</v>
      </c>
      <c r="E63" s="134">
        <v>-3205</v>
      </c>
      <c r="F63" s="134">
        <v>14754</v>
      </c>
      <c r="G63" s="134">
        <v>15769</v>
      </c>
      <c r="H63" s="134">
        <v>16169</v>
      </c>
      <c r="I63" s="134">
        <v>21042</v>
      </c>
      <c r="J63" s="134">
        <v>9205</v>
      </c>
      <c r="K63" s="470">
        <v>10789</v>
      </c>
      <c r="L63" s="470">
        <v>-69189</v>
      </c>
      <c r="M63" s="470">
        <v>149622</v>
      </c>
      <c r="N63" s="470">
        <v>-12122</v>
      </c>
      <c r="O63" s="470">
        <v>7020</v>
      </c>
      <c r="P63" s="470">
        <v>13634</v>
      </c>
    </row>
    <row r="64" spans="1:17" s="309" customFormat="1" ht="13.5" customHeight="1">
      <c r="A64" s="132" t="s">
        <v>643</v>
      </c>
      <c r="B64" s="133"/>
      <c r="C64" s="134">
        <v>1706</v>
      </c>
      <c r="D64" s="134">
        <v>6297</v>
      </c>
      <c r="E64" s="134">
        <v>-6953</v>
      </c>
      <c r="F64" s="134">
        <v>-8244</v>
      </c>
      <c r="G64" s="134">
        <v>-20590</v>
      </c>
      <c r="H64" s="134">
        <v>-8462</v>
      </c>
      <c r="I64" s="134">
        <v>9200</v>
      </c>
      <c r="J64" s="134">
        <v>2865</v>
      </c>
      <c r="K64" s="470">
        <v>-101799</v>
      </c>
      <c r="L64" s="470">
        <v>-160312</v>
      </c>
      <c r="M64" s="470">
        <v>-28646</v>
      </c>
      <c r="N64" s="470">
        <v>45766</v>
      </c>
      <c r="O64" s="470">
        <v>-47038</v>
      </c>
      <c r="P64" s="470">
        <v>-1850</v>
      </c>
    </row>
    <row r="65" spans="1:16" s="309" customFormat="1" ht="13.5" customHeight="1">
      <c r="A65" s="132" t="s">
        <v>644</v>
      </c>
      <c r="B65" s="133"/>
      <c r="C65" s="134">
        <v>1404</v>
      </c>
      <c r="D65" s="134">
        <v>2020</v>
      </c>
      <c r="E65" s="134">
        <v>-168619</v>
      </c>
      <c r="F65" s="134">
        <v>224694</v>
      </c>
      <c r="G65" s="134">
        <v>19934</v>
      </c>
      <c r="H65" s="134">
        <v>-37431</v>
      </c>
      <c r="I65" s="134">
        <v>-39248</v>
      </c>
      <c r="J65" s="134">
        <v>-1479</v>
      </c>
      <c r="K65" s="470">
        <v>102816</v>
      </c>
      <c r="L65" s="470">
        <v>-11200</v>
      </c>
      <c r="M65" s="470">
        <v>3192</v>
      </c>
      <c r="N65" s="470">
        <v>5733</v>
      </c>
      <c r="O65" s="470">
        <v>373</v>
      </c>
      <c r="P65" s="470">
        <v>718</v>
      </c>
    </row>
    <row r="66" spans="1:16" s="309" customFormat="1" ht="13.5" customHeight="1">
      <c r="A66" s="132" t="s">
        <v>645</v>
      </c>
      <c r="B66" s="133"/>
      <c r="C66" s="134">
        <v>742120</v>
      </c>
      <c r="D66" s="134">
        <v>637695</v>
      </c>
      <c r="E66" s="134">
        <v>369785</v>
      </c>
      <c r="F66" s="134">
        <v>590467</v>
      </c>
      <c r="G66" s="134">
        <v>765134</v>
      </c>
      <c r="H66" s="134">
        <v>1124243</v>
      </c>
      <c r="I66" s="134">
        <v>1727278</v>
      </c>
      <c r="J66" s="134">
        <v>1569282</v>
      </c>
      <c r="K66" s="470">
        <v>1668552</v>
      </c>
      <c r="L66" s="470">
        <v>1915796</v>
      </c>
      <c r="M66" s="470">
        <v>2298346</v>
      </c>
      <c r="N66" s="470">
        <v>2249168</v>
      </c>
      <c r="O66" s="470">
        <v>2804331</v>
      </c>
      <c r="P66" s="470">
        <v>2431624</v>
      </c>
    </row>
    <row r="67" spans="1:16" s="309" customFormat="1" ht="13.5" customHeight="1">
      <c r="A67" s="132" t="s">
        <v>646</v>
      </c>
      <c r="B67" s="133"/>
      <c r="C67" s="134">
        <v>168834</v>
      </c>
      <c r="D67" s="134">
        <v>147608</v>
      </c>
      <c r="E67" s="134">
        <v>89302</v>
      </c>
      <c r="F67" s="134">
        <v>119082</v>
      </c>
      <c r="G67" s="134">
        <v>138478</v>
      </c>
      <c r="H67" s="134">
        <v>200236</v>
      </c>
      <c r="I67" s="134">
        <v>289419</v>
      </c>
      <c r="J67" s="134">
        <v>234536</v>
      </c>
      <c r="K67" s="470">
        <v>245210</v>
      </c>
      <c r="L67" s="470">
        <v>279720</v>
      </c>
      <c r="M67" s="470">
        <v>320890</v>
      </c>
      <c r="N67" s="470">
        <v>297534</v>
      </c>
      <c r="O67" s="470">
        <v>379837</v>
      </c>
      <c r="P67" s="470">
        <v>322627</v>
      </c>
    </row>
    <row r="68" spans="1:16" s="309" customFormat="1" ht="13.5" customHeight="1">
      <c r="A68" s="132" t="s">
        <v>647</v>
      </c>
      <c r="B68" s="133"/>
      <c r="C68" s="134">
        <v>573286</v>
      </c>
      <c r="D68" s="134">
        <v>490087</v>
      </c>
      <c r="E68" s="134">
        <v>280483</v>
      </c>
      <c r="F68" s="134">
        <v>471385</v>
      </c>
      <c r="G68" s="134">
        <v>626656</v>
      </c>
      <c r="H68" s="134">
        <v>924007</v>
      </c>
      <c r="I68" s="134">
        <v>1437859</v>
      </c>
      <c r="J68" s="134">
        <v>1334746</v>
      </c>
      <c r="K68" s="470">
        <v>1423342</v>
      </c>
      <c r="L68" s="470">
        <v>1636076</v>
      </c>
      <c r="M68" s="470">
        <v>1977456</v>
      </c>
      <c r="N68" s="470">
        <v>1951634</v>
      </c>
      <c r="O68" s="470">
        <v>2424494</v>
      </c>
      <c r="P68" s="470">
        <v>2108997</v>
      </c>
    </row>
  </sheetData>
  <phoneticPr fontId="45"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00B3-E125-254B-9F89-98AC05BA38E6}">
  <dimension ref="A1:M52"/>
  <sheetViews>
    <sheetView zoomScale="160" zoomScaleNormal="160" workbookViewId="0">
      <pane ySplit="1" topLeftCell="A2" activePane="bottomLeft" state="frozen"/>
      <selection pane="bottomLeft" activeCell="G7" sqref="G7"/>
    </sheetView>
  </sheetViews>
  <sheetFormatPr defaultColWidth="10.58203125" defaultRowHeight="13.5" customHeight="1"/>
  <cols>
    <col min="1" max="1" width="27.58203125" style="468" customWidth="1"/>
    <col min="2" max="2" width="15.08203125" style="468" customWidth="1"/>
    <col min="3" max="5" width="10.58203125" style="491"/>
    <col min="6" max="6" width="10.58203125" style="491" customWidth="1"/>
    <col min="7" max="16384" width="10.58203125" style="491"/>
  </cols>
  <sheetData>
    <row r="1" spans="1:13" s="490" customFormat="1" ht="13.5" customHeight="1">
      <c r="A1" s="488" t="s">
        <v>648</v>
      </c>
      <c r="B1" s="488" t="s">
        <v>649</v>
      </c>
      <c r="C1" s="490">
        <v>2017</v>
      </c>
      <c r="D1" s="490">
        <v>2018</v>
      </c>
      <c r="E1" s="490">
        <v>2019</v>
      </c>
      <c r="F1" s="490">
        <v>2020</v>
      </c>
      <c r="G1" s="490">
        <v>2021</v>
      </c>
    </row>
    <row r="2" spans="1:13" ht="13.5" customHeight="1">
      <c r="A2" s="468" t="s">
        <v>650</v>
      </c>
      <c r="B2" s="98" t="s">
        <v>364</v>
      </c>
      <c r="C2" s="492">
        <v>2244903</v>
      </c>
      <c r="D2" s="492">
        <v>2822343</v>
      </c>
      <c r="E2" s="492">
        <v>2423188</v>
      </c>
      <c r="F2" s="492">
        <v>1277324</v>
      </c>
      <c r="G2" s="492">
        <v>2568707</v>
      </c>
      <c r="H2" s="492"/>
      <c r="I2" s="492">
        <v>2244903</v>
      </c>
      <c r="J2" s="492">
        <v>2822343</v>
      </c>
      <c r="K2" s="492">
        <v>2423188</v>
      </c>
      <c r="L2" s="492">
        <v>1277324</v>
      </c>
      <c r="M2" s="492">
        <v>2568707</v>
      </c>
    </row>
    <row r="3" spans="1:13" ht="13.5" customHeight="1">
      <c r="A3" s="489" t="s">
        <v>651</v>
      </c>
      <c r="B3" s="489"/>
    </row>
    <row r="4" spans="1:13" ht="13.5" customHeight="1">
      <c r="A4" s="468" t="s">
        <v>652</v>
      </c>
      <c r="B4" s="98" t="s">
        <v>370</v>
      </c>
      <c r="C4" s="492">
        <v>1357351</v>
      </c>
      <c r="D4" s="492">
        <v>1349776</v>
      </c>
      <c r="E4" s="492">
        <v>1394172</v>
      </c>
      <c r="F4" s="493">
        <v>1354991</v>
      </c>
      <c r="G4" s="492">
        <v>1325895</v>
      </c>
      <c r="H4" s="492"/>
      <c r="I4" s="492">
        <v>1357351</v>
      </c>
      <c r="J4" s="492">
        <v>1349776</v>
      </c>
      <c r="K4" s="492">
        <v>1394172</v>
      </c>
      <c r="L4" s="492">
        <v>1354991</v>
      </c>
      <c r="M4" s="492">
        <v>1325895</v>
      </c>
    </row>
    <row r="5" spans="1:13" ht="13.5" customHeight="1">
      <c r="A5" s="468" t="s">
        <v>653</v>
      </c>
      <c r="B5" s="98" t="s">
        <v>378</v>
      </c>
      <c r="C5" s="492">
        <v>128618</v>
      </c>
      <c r="D5" s="491">
        <v>0</v>
      </c>
      <c r="E5" s="492">
        <v>116256</v>
      </c>
      <c r="G5" s="492">
        <v>51841</v>
      </c>
      <c r="H5" s="492"/>
      <c r="I5" s="492">
        <v>128618</v>
      </c>
      <c r="J5" s="491">
        <v>0</v>
      </c>
      <c r="K5" s="492">
        <v>116256</v>
      </c>
      <c r="L5" s="491">
        <v>0</v>
      </c>
      <c r="M5" s="492">
        <v>51841</v>
      </c>
    </row>
    <row r="6" spans="1:13" ht="13.5" customHeight="1">
      <c r="A6" s="468" t="s">
        <v>654</v>
      </c>
      <c r="B6" s="98" t="s">
        <v>377</v>
      </c>
      <c r="C6" s="492">
        <v>-3647</v>
      </c>
      <c r="D6" s="492">
        <v>-288827</v>
      </c>
      <c r="E6" s="492">
        <v>-14883</v>
      </c>
      <c r="F6" s="493">
        <v>114960</v>
      </c>
      <c r="G6" s="492">
        <v>-206855</v>
      </c>
      <c r="H6" s="492"/>
      <c r="I6" s="492">
        <v>-3647</v>
      </c>
      <c r="J6" s="492">
        <v>-288827</v>
      </c>
      <c r="K6" s="492">
        <v>-14883</v>
      </c>
      <c r="L6" s="492">
        <v>114960</v>
      </c>
      <c r="M6" s="492">
        <v>-206855</v>
      </c>
    </row>
    <row r="7" spans="1:13" ht="13.5" customHeight="1">
      <c r="A7" s="468" t="s">
        <v>655</v>
      </c>
      <c r="B7" s="98" t="s">
        <v>377</v>
      </c>
      <c r="C7" s="492">
        <v>-21541</v>
      </c>
      <c r="D7" s="491">
        <v>0</v>
      </c>
      <c r="E7" s="491">
        <v>0</v>
      </c>
      <c r="F7" s="493"/>
      <c r="G7" s="491">
        <v>0</v>
      </c>
      <c r="I7" s="492">
        <v>-21541</v>
      </c>
      <c r="J7" s="491">
        <v>0</v>
      </c>
      <c r="K7" s="491">
        <v>0</v>
      </c>
      <c r="L7" s="491" t="s">
        <v>37</v>
      </c>
      <c r="M7" s="491" t="s">
        <v>37</v>
      </c>
    </row>
    <row r="8" spans="1:13" ht="13.5" customHeight="1">
      <c r="A8" s="468" t="s">
        <v>656</v>
      </c>
      <c r="B8" s="98" t="s">
        <v>377</v>
      </c>
      <c r="C8" s="491">
        <v>0</v>
      </c>
      <c r="D8" s="492">
        <v>15212</v>
      </c>
      <c r="E8" s="492">
        <v>8212</v>
      </c>
      <c r="F8" s="493">
        <v>19632</v>
      </c>
      <c r="G8" s="492">
        <v>8095</v>
      </c>
      <c r="H8" s="492"/>
      <c r="I8" s="491">
        <v>0</v>
      </c>
      <c r="J8" s="492">
        <v>15212</v>
      </c>
      <c r="K8" s="492">
        <v>8212</v>
      </c>
      <c r="L8" s="492">
        <v>19632</v>
      </c>
      <c r="M8" s="492">
        <v>8095</v>
      </c>
    </row>
    <row r="9" spans="1:13" ht="13.5" customHeight="1">
      <c r="A9" s="468" t="s">
        <v>657</v>
      </c>
      <c r="B9" s="98" t="s">
        <v>372</v>
      </c>
      <c r="C9" s="491">
        <v>0</v>
      </c>
      <c r="D9" s="492">
        <v>-35621</v>
      </c>
      <c r="E9" s="491">
        <v>0</v>
      </c>
      <c r="G9" s="491">
        <v>0</v>
      </c>
      <c r="I9" s="491">
        <v>0</v>
      </c>
      <c r="J9" s="492">
        <v>-35621</v>
      </c>
      <c r="K9" s="491">
        <v>0</v>
      </c>
      <c r="L9" s="491">
        <v>0</v>
      </c>
      <c r="M9" s="491" t="s">
        <v>37</v>
      </c>
    </row>
    <row r="10" spans="1:13" ht="13.5" customHeight="1">
      <c r="A10" s="468" t="s">
        <v>658</v>
      </c>
      <c r="B10" s="98" t="s">
        <v>373</v>
      </c>
      <c r="C10" s="492">
        <v>-26543</v>
      </c>
      <c r="D10" s="492">
        <v>-18325</v>
      </c>
      <c r="E10" s="492">
        <v>-67139</v>
      </c>
      <c r="F10" s="493">
        <v>19950</v>
      </c>
      <c r="G10" s="492">
        <v>22619</v>
      </c>
      <c r="H10" s="492"/>
      <c r="I10" s="492">
        <v>-26543</v>
      </c>
      <c r="J10" s="492">
        <v>-18325</v>
      </c>
      <c r="K10" s="492">
        <v>-67139</v>
      </c>
      <c r="L10" s="492">
        <v>19950</v>
      </c>
      <c r="M10" s="492">
        <v>22619</v>
      </c>
    </row>
    <row r="11" spans="1:13" ht="13.5" customHeight="1">
      <c r="A11" s="468" t="s">
        <v>659</v>
      </c>
      <c r="B11" s="98" t="s">
        <v>372</v>
      </c>
      <c r="C11" s="492">
        <v>-400270</v>
      </c>
      <c r="D11" s="492">
        <v>-475250</v>
      </c>
      <c r="E11" s="492">
        <v>-444349</v>
      </c>
      <c r="F11" s="493">
        <v>-219870</v>
      </c>
      <c r="G11" s="492">
        <v>-782837</v>
      </c>
      <c r="H11" s="492"/>
      <c r="I11" s="492">
        <v>-400270</v>
      </c>
      <c r="J11" s="492">
        <v>-475250</v>
      </c>
      <c r="K11" s="492">
        <v>-444349</v>
      </c>
      <c r="L11" s="492">
        <v>-219870</v>
      </c>
      <c r="M11" s="492">
        <v>-782837</v>
      </c>
    </row>
    <row r="12" spans="1:13" ht="13.5" customHeight="1">
      <c r="A12" s="468" t="s">
        <v>660</v>
      </c>
      <c r="B12" s="98" t="s">
        <v>372</v>
      </c>
      <c r="C12" s="492">
        <v>374101</v>
      </c>
      <c r="D12" s="492">
        <v>390137</v>
      </c>
      <c r="E12" s="492">
        <v>428769</v>
      </c>
      <c r="F12" s="493">
        <v>184733</v>
      </c>
      <c r="G12" s="492">
        <v>436881</v>
      </c>
      <c r="H12" s="492"/>
      <c r="I12" s="492">
        <v>374101</v>
      </c>
      <c r="J12" s="492">
        <v>390137</v>
      </c>
      <c r="K12" s="492">
        <v>428769</v>
      </c>
      <c r="L12" s="492">
        <v>184733</v>
      </c>
      <c r="M12" s="492">
        <v>436881</v>
      </c>
    </row>
    <row r="13" spans="1:13" ht="13.5" customHeight="1">
      <c r="A13" s="494" t="s">
        <v>661</v>
      </c>
      <c r="B13" s="98" t="s">
        <v>372</v>
      </c>
      <c r="C13" s="491">
        <v>0</v>
      </c>
      <c r="D13" s="491">
        <v>0</v>
      </c>
      <c r="E13" s="491">
        <v>0</v>
      </c>
      <c r="F13" s="491">
        <v>0</v>
      </c>
      <c r="G13" s="492">
        <v>-178672</v>
      </c>
      <c r="H13" s="492"/>
      <c r="I13" s="491" t="s">
        <v>37</v>
      </c>
      <c r="J13" s="491" t="s">
        <v>37</v>
      </c>
      <c r="K13" s="491">
        <v>0</v>
      </c>
      <c r="L13" s="491">
        <v>0</v>
      </c>
      <c r="M13" s="492">
        <v>-178672</v>
      </c>
    </row>
    <row r="14" spans="1:13" ht="13.5" customHeight="1">
      <c r="A14" s="489" t="s">
        <v>662</v>
      </c>
      <c r="B14" s="489"/>
      <c r="D14" s="492"/>
    </row>
    <row r="15" spans="1:13" ht="13.5" customHeight="1">
      <c r="A15" s="468" t="s">
        <v>663</v>
      </c>
      <c r="B15" s="98" t="s">
        <v>323</v>
      </c>
      <c r="C15" s="492">
        <v>-26170</v>
      </c>
      <c r="D15" s="492">
        <v>-17518</v>
      </c>
      <c r="E15" s="491">
        <v>-157</v>
      </c>
      <c r="F15" s="493">
        <v>-415911</v>
      </c>
      <c r="G15" s="492">
        <v>265352</v>
      </c>
      <c r="H15" s="492"/>
      <c r="I15" s="492">
        <v>-26170</v>
      </c>
      <c r="J15" s="492">
        <v>-17518</v>
      </c>
      <c r="K15" s="491">
        <v>-157</v>
      </c>
      <c r="L15" s="492">
        <v>-415911</v>
      </c>
      <c r="M15" s="492">
        <v>265352</v>
      </c>
    </row>
    <row r="16" spans="1:13" ht="13.5" customHeight="1">
      <c r="A16" s="468" t="s">
        <v>664</v>
      </c>
      <c r="B16" s="98" t="s">
        <v>328</v>
      </c>
      <c r="C16" s="492">
        <v>-132945</v>
      </c>
      <c r="D16" s="492">
        <v>-75438</v>
      </c>
      <c r="E16" s="492">
        <v>-49338</v>
      </c>
      <c r="F16" s="493">
        <v>-28191</v>
      </c>
      <c r="G16" s="492">
        <v>-77592</v>
      </c>
      <c r="H16" s="492"/>
      <c r="I16" s="492">
        <v>-132945</v>
      </c>
      <c r="J16" s="492">
        <v>-75438</v>
      </c>
      <c r="K16" s="492">
        <v>-49338</v>
      </c>
      <c r="L16" s="492">
        <v>-28191</v>
      </c>
      <c r="M16" s="492">
        <v>-77592</v>
      </c>
    </row>
    <row r="17" spans="1:13" ht="13.5" customHeight="1">
      <c r="A17" s="468" t="s">
        <v>665</v>
      </c>
      <c r="B17" s="98" t="s">
        <v>342</v>
      </c>
      <c r="C17" s="492">
        <v>99931</v>
      </c>
      <c r="D17" s="492">
        <v>84307</v>
      </c>
      <c r="E17" s="492">
        <v>13100</v>
      </c>
      <c r="F17" s="493">
        <v>19080</v>
      </c>
      <c r="G17" s="492">
        <v>203968</v>
      </c>
      <c r="H17" s="492"/>
      <c r="I17" s="492">
        <v>99931</v>
      </c>
      <c r="J17" s="492">
        <v>84307</v>
      </c>
      <c r="K17" s="492">
        <v>13100</v>
      </c>
      <c r="L17" s="492">
        <v>19080</v>
      </c>
      <c r="M17" s="492">
        <v>203968</v>
      </c>
    </row>
    <row r="18" spans="1:13" ht="13.5" customHeight="1">
      <c r="A18" s="488" t="s">
        <v>666</v>
      </c>
      <c r="B18" s="488"/>
      <c r="C18" s="492">
        <v>3593788</v>
      </c>
      <c r="D18" s="492">
        <v>3750796</v>
      </c>
      <c r="E18" s="492">
        <v>3807831</v>
      </c>
      <c r="F18" s="493">
        <v>2326698</v>
      </c>
      <c r="G18" s="492">
        <v>3637402</v>
      </c>
      <c r="H18" s="492"/>
      <c r="I18" s="492">
        <v>3593788</v>
      </c>
      <c r="J18" s="492">
        <v>3750796</v>
      </c>
      <c r="K18" s="492">
        <v>3807831</v>
      </c>
      <c r="L18" s="492">
        <v>2326698</v>
      </c>
      <c r="M18" s="492">
        <v>3637402</v>
      </c>
    </row>
    <row r="19" spans="1:13" ht="13.5" customHeight="1">
      <c r="A19" s="488" t="s">
        <v>667</v>
      </c>
      <c r="B19" s="488"/>
      <c r="G19" s="491" t="s">
        <v>668</v>
      </c>
      <c r="I19" s="491" t="s">
        <v>668</v>
      </c>
      <c r="J19" s="491" t="s">
        <v>668</v>
      </c>
      <c r="K19" s="491" t="s">
        <v>668</v>
      </c>
      <c r="L19" s="491" t="s">
        <v>668</v>
      </c>
      <c r="M19" s="491" t="s">
        <v>668</v>
      </c>
    </row>
    <row r="20" spans="1:13" ht="13.5" customHeight="1">
      <c r="A20" s="468" t="s">
        <v>669</v>
      </c>
      <c r="B20" s="98" t="s">
        <v>386</v>
      </c>
      <c r="C20" s="492">
        <v>-264488</v>
      </c>
      <c r="D20" s="492">
        <v>-51060</v>
      </c>
      <c r="E20" s="492">
        <v>-12800</v>
      </c>
      <c r="F20" s="493">
        <v>-3606694</v>
      </c>
      <c r="G20" s="492">
        <v>-257080</v>
      </c>
      <c r="H20" s="492"/>
      <c r="I20" s="492">
        <v>-264488</v>
      </c>
      <c r="J20" s="492">
        <v>-51060</v>
      </c>
      <c r="K20" s="492">
        <v>-12800</v>
      </c>
      <c r="L20" s="492">
        <v>-3606694</v>
      </c>
      <c r="M20" s="492">
        <v>-257080</v>
      </c>
    </row>
    <row r="21" spans="1:13" ht="13.5" customHeight="1">
      <c r="A21" s="468" t="s">
        <v>670</v>
      </c>
      <c r="B21" s="98" t="s">
        <v>379</v>
      </c>
      <c r="C21" s="492">
        <v>-71532</v>
      </c>
      <c r="D21" s="492">
        <v>-4641</v>
      </c>
      <c r="E21" s="491">
        <v>0</v>
      </c>
      <c r="F21" s="493">
        <v>-8236</v>
      </c>
      <c r="G21" s="492">
        <v>-15848</v>
      </c>
      <c r="H21" s="492"/>
      <c r="I21" s="492">
        <v>-71532</v>
      </c>
      <c r="J21" s="492">
        <v>-4641</v>
      </c>
      <c r="K21" s="491">
        <v>0</v>
      </c>
      <c r="L21" s="492">
        <v>-8236</v>
      </c>
      <c r="M21" s="492">
        <v>-15848</v>
      </c>
    </row>
    <row r="22" spans="1:13" ht="13.5" customHeight="1">
      <c r="A22" s="468" t="s">
        <v>671</v>
      </c>
      <c r="B22" s="98" t="s">
        <v>379</v>
      </c>
      <c r="C22" s="491">
        <v>0</v>
      </c>
      <c r="D22" s="491">
        <v>0</v>
      </c>
      <c r="E22" s="492">
        <v>7641</v>
      </c>
      <c r="G22" s="491" t="s">
        <v>37</v>
      </c>
      <c r="I22" s="491">
        <v>0</v>
      </c>
      <c r="J22" s="491">
        <v>0</v>
      </c>
      <c r="K22" s="492">
        <v>7641</v>
      </c>
      <c r="L22" s="491">
        <v>0</v>
      </c>
      <c r="M22" s="491" t="s">
        <v>37</v>
      </c>
    </row>
    <row r="23" spans="1:13" ht="13.5" customHeight="1">
      <c r="A23" s="494" t="s">
        <v>672</v>
      </c>
      <c r="B23" s="98" t="s">
        <v>379</v>
      </c>
      <c r="E23" s="492"/>
      <c r="G23" s="492">
        <v>14027</v>
      </c>
      <c r="H23" s="492"/>
      <c r="I23" s="491" t="s">
        <v>37</v>
      </c>
      <c r="J23" s="491" t="s">
        <v>37</v>
      </c>
      <c r="K23" s="492">
        <v>7641</v>
      </c>
      <c r="L23" s="491">
        <v>0</v>
      </c>
      <c r="M23" s="492">
        <v>14027</v>
      </c>
    </row>
    <row r="24" spans="1:13" ht="13.5" customHeight="1">
      <c r="A24" s="468" t="s">
        <v>673</v>
      </c>
      <c r="B24" s="98" t="s">
        <v>381</v>
      </c>
      <c r="C24" s="492">
        <v>-732100</v>
      </c>
      <c r="D24" s="492">
        <v>-781909</v>
      </c>
      <c r="E24" s="492">
        <v>-876011</v>
      </c>
      <c r="F24" s="493">
        <v>-484119</v>
      </c>
      <c r="G24" s="492">
        <v>-527935</v>
      </c>
      <c r="H24" s="492"/>
      <c r="I24" s="492">
        <v>-732100</v>
      </c>
      <c r="J24" s="492">
        <v>-781909</v>
      </c>
      <c r="K24" s="492">
        <v>-876011</v>
      </c>
      <c r="L24" s="492">
        <v>-484119</v>
      </c>
      <c r="M24" s="492">
        <v>-527935</v>
      </c>
    </row>
    <row r="25" spans="1:13" ht="13.5" customHeight="1">
      <c r="A25" s="468" t="s">
        <v>674</v>
      </c>
      <c r="B25" s="98" t="s">
        <v>386</v>
      </c>
      <c r="C25" s="492">
        <v>7536</v>
      </c>
      <c r="D25" s="492">
        <v>11276</v>
      </c>
      <c r="E25" s="492">
        <v>1045</v>
      </c>
      <c r="G25" s="492">
        <v>5595</v>
      </c>
      <c r="H25" s="492"/>
      <c r="I25" s="492">
        <v>7536</v>
      </c>
      <c r="J25" s="492">
        <v>11276</v>
      </c>
      <c r="K25" s="492">
        <v>1045</v>
      </c>
      <c r="L25" s="491">
        <v>0</v>
      </c>
      <c r="M25" s="492">
        <v>5595</v>
      </c>
    </row>
    <row r="26" spans="1:13" ht="13.5" customHeight="1">
      <c r="A26" s="468" t="s">
        <v>675</v>
      </c>
      <c r="B26" s="98" t="s">
        <v>386</v>
      </c>
      <c r="C26" s="492">
        <v>19944</v>
      </c>
      <c r="D26" s="492">
        <v>183241</v>
      </c>
      <c r="E26" s="492">
        <v>6776</v>
      </c>
      <c r="F26" s="493">
        <v>33418</v>
      </c>
      <c r="G26" s="492">
        <v>3000</v>
      </c>
      <c r="H26" s="492"/>
      <c r="I26" s="492">
        <v>19944</v>
      </c>
      <c r="J26" s="492">
        <v>183241</v>
      </c>
      <c r="K26" s="492">
        <v>6776</v>
      </c>
      <c r="L26" s="492">
        <v>33418</v>
      </c>
      <c r="M26" s="492">
        <v>3000</v>
      </c>
    </row>
    <row r="27" spans="1:13" ht="13.5" customHeight="1">
      <c r="A27" s="468" t="s">
        <v>676</v>
      </c>
      <c r="B27" s="98" t="s">
        <v>386</v>
      </c>
      <c r="C27" s="492">
        <v>-157173</v>
      </c>
      <c r="D27" s="492">
        <v>-63397</v>
      </c>
      <c r="E27" s="492">
        <v>-63789</v>
      </c>
      <c r="F27" s="493">
        <v>-191368</v>
      </c>
      <c r="G27" s="492">
        <v>-56901</v>
      </c>
      <c r="H27" s="492"/>
      <c r="I27" s="492">
        <v>-157173</v>
      </c>
      <c r="J27" s="492">
        <v>-63397</v>
      </c>
      <c r="K27" s="492">
        <v>-63789</v>
      </c>
      <c r="L27" s="492">
        <v>-191368</v>
      </c>
      <c r="M27" s="492">
        <v>-56901</v>
      </c>
    </row>
    <row r="28" spans="1:13" ht="13.5" customHeight="1">
      <c r="A28" s="468" t="s">
        <v>677</v>
      </c>
      <c r="B28" s="98" t="s">
        <v>379</v>
      </c>
      <c r="C28" s="492">
        <v>-25000</v>
      </c>
      <c r="D28" s="492">
        <v>-21563</v>
      </c>
      <c r="E28" s="492">
        <v>-374231</v>
      </c>
      <c r="F28" s="493">
        <v>-32955</v>
      </c>
      <c r="G28" s="492">
        <v>-33605</v>
      </c>
      <c r="H28" s="492"/>
      <c r="I28" s="492">
        <v>-25000</v>
      </c>
      <c r="J28" s="492">
        <v>-21563</v>
      </c>
      <c r="K28" s="492">
        <v>-374231</v>
      </c>
      <c r="L28" s="492">
        <v>-32955</v>
      </c>
      <c r="M28" s="492">
        <v>-33605</v>
      </c>
    </row>
    <row r="29" spans="1:13" ht="13.5" customHeight="1">
      <c r="A29" s="468" t="s">
        <v>678</v>
      </c>
      <c r="B29" s="98" t="s">
        <v>379</v>
      </c>
      <c r="C29" s="492">
        <v>56268</v>
      </c>
      <c r="D29" s="492">
        <v>25000</v>
      </c>
      <c r="E29" s="491">
        <v>0</v>
      </c>
      <c r="F29" s="493">
        <v>30000</v>
      </c>
      <c r="G29" s="492">
        <v>65504</v>
      </c>
      <c r="H29" s="492"/>
      <c r="I29" s="492">
        <v>56268</v>
      </c>
      <c r="J29" s="492">
        <v>25000</v>
      </c>
      <c r="K29" s="491">
        <v>0</v>
      </c>
      <c r="L29" s="492">
        <v>30000</v>
      </c>
      <c r="M29" s="492">
        <v>65504</v>
      </c>
    </row>
    <row r="30" spans="1:13" ht="13.5" customHeight="1">
      <c r="B30" s="98"/>
      <c r="C30" s="492"/>
      <c r="D30" s="492"/>
      <c r="F30" s="493"/>
    </row>
    <row r="31" spans="1:13" ht="13.5" customHeight="1">
      <c r="A31" s="468" t="s">
        <v>679</v>
      </c>
      <c r="B31" s="98" t="s">
        <v>379</v>
      </c>
      <c r="C31" s="491">
        <v>0</v>
      </c>
      <c r="D31" s="492">
        <v>19083</v>
      </c>
      <c r="E31" s="492">
        <v>5662</v>
      </c>
      <c r="F31" s="493">
        <v>31198</v>
      </c>
      <c r="G31" s="492">
        <v>7200</v>
      </c>
      <c r="H31" s="492"/>
      <c r="I31" s="491">
        <v>0</v>
      </c>
      <c r="J31" s="492">
        <v>19083</v>
      </c>
      <c r="K31" s="492">
        <v>5662</v>
      </c>
      <c r="L31" s="492">
        <v>31198</v>
      </c>
      <c r="M31" s="492">
        <v>7200</v>
      </c>
    </row>
    <row r="32" spans="1:13" ht="13.5" customHeight="1">
      <c r="A32" s="468" t="s">
        <v>680</v>
      </c>
      <c r="B32" s="98" t="s">
        <v>386</v>
      </c>
      <c r="C32" s="492">
        <v>405078</v>
      </c>
      <c r="D32" s="492">
        <v>447464</v>
      </c>
      <c r="E32" s="492">
        <v>229000</v>
      </c>
      <c r="F32" s="493">
        <v>250358</v>
      </c>
      <c r="G32" s="492">
        <v>243279</v>
      </c>
      <c r="H32" s="492"/>
      <c r="I32" s="492">
        <v>405078</v>
      </c>
      <c r="J32" s="492">
        <v>447464</v>
      </c>
      <c r="K32" s="492">
        <v>229000</v>
      </c>
      <c r="L32" s="492">
        <v>250358</v>
      </c>
      <c r="M32" s="492">
        <v>243279</v>
      </c>
    </row>
    <row r="33" spans="1:13" ht="13.5" customHeight="1">
      <c r="A33" s="488" t="s">
        <v>681</v>
      </c>
      <c r="B33" s="488"/>
      <c r="C33" s="492">
        <v>-761467</v>
      </c>
      <c r="D33" s="492">
        <v>-236506</v>
      </c>
      <c r="E33" s="492">
        <v>-1076707</v>
      </c>
      <c r="F33" s="493">
        <v>-3978398</v>
      </c>
      <c r="G33" s="492">
        <v>-552764</v>
      </c>
      <c r="H33" s="492"/>
      <c r="I33" s="492">
        <v>-761467</v>
      </c>
      <c r="J33" s="492">
        <v>-236506</v>
      </c>
      <c r="K33" s="492">
        <v>-1076707</v>
      </c>
      <c r="L33" s="492">
        <v>-3978398</v>
      </c>
      <c r="M33" s="492">
        <v>-552764</v>
      </c>
    </row>
    <row r="34" spans="1:13" ht="13.5" customHeight="1">
      <c r="A34" s="488" t="s">
        <v>682</v>
      </c>
      <c r="B34" s="488"/>
      <c r="G34" s="491" t="s">
        <v>668</v>
      </c>
      <c r="I34" s="491" t="s">
        <v>668</v>
      </c>
      <c r="J34" s="491" t="s">
        <v>668</v>
      </c>
      <c r="K34" s="491" t="s">
        <v>668</v>
      </c>
      <c r="L34" s="491" t="s">
        <v>668</v>
      </c>
      <c r="M34" s="491" t="s">
        <v>668</v>
      </c>
    </row>
    <row r="35" spans="1:13" ht="13.5" customHeight="1">
      <c r="A35" s="468" t="s">
        <v>683</v>
      </c>
      <c r="B35" s="98" t="s">
        <v>379</v>
      </c>
      <c r="C35" s="491">
        <v>-328</v>
      </c>
      <c r="D35" s="491">
        <v>-329</v>
      </c>
      <c r="E35" s="491">
        <v>-328</v>
      </c>
      <c r="F35" s="493">
        <v>1556148</v>
      </c>
      <c r="G35" s="491">
        <v>-328</v>
      </c>
      <c r="I35" s="491">
        <v>-328</v>
      </c>
      <c r="J35" s="491">
        <v>-329</v>
      </c>
      <c r="K35" s="491">
        <v>-328</v>
      </c>
      <c r="L35" s="492">
        <v>1556148</v>
      </c>
      <c r="M35" s="491">
        <v>-328</v>
      </c>
    </row>
    <row r="36" spans="1:13" ht="13.5" customHeight="1">
      <c r="A36" s="468" t="s">
        <v>684</v>
      </c>
      <c r="B36" s="98" t="s">
        <v>379</v>
      </c>
      <c r="C36" s="492">
        <v>-2789</v>
      </c>
      <c r="D36" s="492">
        <v>-2911</v>
      </c>
      <c r="E36" s="492">
        <v>-2955</v>
      </c>
      <c r="F36" s="493">
        <v>-854</v>
      </c>
      <c r="G36" s="492">
        <v>-2318</v>
      </c>
      <c r="H36" s="492"/>
      <c r="I36" s="492">
        <v>-2789</v>
      </c>
      <c r="J36" s="492">
        <v>-2911</v>
      </c>
      <c r="K36" s="492">
        <v>-2955</v>
      </c>
      <c r="L36" s="491">
        <v>-854</v>
      </c>
      <c r="M36" s="492">
        <v>-2318</v>
      </c>
    </row>
    <row r="37" spans="1:13" ht="13.5" customHeight="1">
      <c r="A37" s="468" t="s">
        <v>685</v>
      </c>
      <c r="B37" s="98" t="s">
        <v>379</v>
      </c>
      <c r="C37" s="491">
        <v>0</v>
      </c>
      <c r="D37" s="492">
        <v>-81506</v>
      </c>
      <c r="E37" s="492">
        <v>-6846</v>
      </c>
      <c r="F37" s="493">
        <v>-16106</v>
      </c>
      <c r="G37" s="492">
        <v>-2220</v>
      </c>
      <c r="H37" s="492"/>
      <c r="I37" s="491">
        <v>0</v>
      </c>
      <c r="J37" s="492">
        <v>-81506</v>
      </c>
      <c r="K37" s="492">
        <v>-6846</v>
      </c>
      <c r="L37" s="492">
        <v>-16106</v>
      </c>
      <c r="M37" s="492">
        <v>-2220</v>
      </c>
    </row>
    <row r="38" spans="1:13" ht="13.5" customHeight="1">
      <c r="A38" s="468" t="s">
        <v>686</v>
      </c>
      <c r="B38" s="98" t="s">
        <v>379</v>
      </c>
      <c r="C38" s="492">
        <v>-407002</v>
      </c>
      <c r="D38" s="492">
        <v>-354108</v>
      </c>
      <c r="E38" s="492">
        <v>-359773</v>
      </c>
      <c r="F38" s="493">
        <v>-152589</v>
      </c>
      <c r="G38" s="491">
        <v>0</v>
      </c>
      <c r="I38" s="492">
        <v>-407002</v>
      </c>
      <c r="J38" s="492">
        <v>-354108</v>
      </c>
      <c r="K38" s="492">
        <v>-359773</v>
      </c>
      <c r="L38" s="492">
        <v>-152589</v>
      </c>
      <c r="M38" s="491">
        <v>0</v>
      </c>
    </row>
    <row r="39" spans="1:13" ht="13.5" customHeight="1">
      <c r="A39" s="494" t="s">
        <v>687</v>
      </c>
      <c r="B39" s="98" t="s">
        <v>379</v>
      </c>
      <c r="C39" s="491">
        <v>0</v>
      </c>
      <c r="D39" s="491">
        <v>0</v>
      </c>
      <c r="E39" s="491">
        <v>0</v>
      </c>
      <c r="F39" s="491">
        <v>0</v>
      </c>
      <c r="G39" s="492">
        <v>338121</v>
      </c>
      <c r="H39" s="492"/>
      <c r="I39" s="491" t="s">
        <v>37</v>
      </c>
      <c r="J39" s="491" t="s">
        <v>37</v>
      </c>
      <c r="K39" s="491">
        <v>0</v>
      </c>
      <c r="L39" s="491">
        <v>0</v>
      </c>
      <c r="M39" s="492">
        <v>338121</v>
      </c>
    </row>
    <row r="40" spans="1:13" ht="13.5" customHeight="1">
      <c r="A40" s="193" t="s">
        <v>688</v>
      </c>
      <c r="B40" s="98" t="s">
        <v>379</v>
      </c>
      <c r="C40" s="491">
        <v>0</v>
      </c>
      <c r="D40" s="491">
        <v>0</v>
      </c>
      <c r="E40" s="491">
        <v>0</v>
      </c>
      <c r="F40" s="491">
        <v>0</v>
      </c>
      <c r="G40" s="492">
        <v>-345000</v>
      </c>
      <c r="H40" s="492"/>
      <c r="I40" s="491" t="s">
        <v>37</v>
      </c>
      <c r="J40" s="491" t="s">
        <v>37</v>
      </c>
      <c r="K40" s="491">
        <v>0</v>
      </c>
      <c r="L40" s="491">
        <v>0</v>
      </c>
      <c r="M40" s="492">
        <v>-345000</v>
      </c>
    </row>
    <row r="41" spans="1:13" ht="13.5" customHeight="1">
      <c r="A41" s="468" t="s">
        <v>689</v>
      </c>
      <c r="B41" s="98" t="s">
        <v>379</v>
      </c>
      <c r="C41" s="492">
        <v>-11295</v>
      </c>
      <c r="D41" s="492">
        <v>-76963</v>
      </c>
      <c r="E41" s="492">
        <v>-41549</v>
      </c>
      <c r="F41" s="493">
        <v>-8271</v>
      </c>
      <c r="G41" s="492">
        <v>-5024</v>
      </c>
      <c r="H41" s="492"/>
      <c r="I41" s="492">
        <v>-11295</v>
      </c>
      <c r="J41" s="492">
        <v>-76963</v>
      </c>
      <c r="K41" s="492">
        <v>-41549</v>
      </c>
      <c r="L41" s="492">
        <v>-8271</v>
      </c>
      <c r="M41" s="492">
        <v>-5024</v>
      </c>
    </row>
    <row r="42" spans="1:13" ht="13.5" customHeight="1">
      <c r="A42" s="468" t="s">
        <v>690</v>
      </c>
      <c r="B42" s="98" t="s">
        <v>379</v>
      </c>
      <c r="C42" s="491">
        <v>382</v>
      </c>
      <c r="D42" s="491">
        <v>161</v>
      </c>
      <c r="E42" s="491">
        <v>139</v>
      </c>
      <c r="F42" s="493">
        <v>220</v>
      </c>
      <c r="G42" s="492">
        <v>20902</v>
      </c>
      <c r="H42" s="492"/>
      <c r="I42" s="491">
        <v>382</v>
      </c>
      <c r="J42" s="491">
        <v>161</v>
      </c>
      <c r="K42" s="491">
        <v>139</v>
      </c>
      <c r="L42" s="491">
        <v>220</v>
      </c>
      <c r="M42" s="492">
        <v>20902</v>
      </c>
    </row>
    <row r="43" spans="1:13" ht="13.5" customHeight="1">
      <c r="A43" s="468" t="s">
        <v>691</v>
      </c>
      <c r="B43" s="98" t="s">
        <v>379</v>
      </c>
      <c r="C43" s="492">
        <v>-1915</v>
      </c>
      <c r="D43" s="492">
        <v>-1915</v>
      </c>
      <c r="E43" s="492">
        <v>-1915</v>
      </c>
      <c r="F43" s="493">
        <v>-1915</v>
      </c>
      <c r="G43" s="492">
        <v>-1915</v>
      </c>
      <c r="H43" s="492"/>
      <c r="I43" s="492">
        <v>-1915</v>
      </c>
      <c r="J43" s="492">
        <v>-1915</v>
      </c>
      <c r="K43" s="492">
        <v>-1915</v>
      </c>
      <c r="L43" s="492">
        <v>-1915</v>
      </c>
      <c r="M43" s="492">
        <v>-1915</v>
      </c>
    </row>
    <row r="44" spans="1:13" ht="13.5" customHeight="1">
      <c r="A44" s="468" t="s">
        <v>391</v>
      </c>
      <c r="B44" s="468" t="s">
        <v>391</v>
      </c>
      <c r="C44" s="492">
        <v>-2231259</v>
      </c>
      <c r="D44" s="492">
        <v>-2449071</v>
      </c>
      <c r="E44" s="492">
        <v>-2558944</v>
      </c>
      <c r="F44" s="493">
        <v>-1443183</v>
      </c>
      <c r="G44" s="492">
        <v>-2351764</v>
      </c>
      <c r="H44" s="492"/>
      <c r="I44" s="492">
        <v>-2231259</v>
      </c>
      <c r="J44" s="492">
        <v>-2449071</v>
      </c>
      <c r="K44" s="492">
        <v>-2558944</v>
      </c>
      <c r="L44" s="492">
        <v>-1443183</v>
      </c>
      <c r="M44" s="492">
        <v>-2351764</v>
      </c>
    </row>
    <row r="45" spans="1:13" ht="13.5" customHeight="1">
      <c r="A45" s="468" t="s">
        <v>692</v>
      </c>
      <c r="B45" s="98" t="s">
        <v>379</v>
      </c>
      <c r="C45" s="492">
        <v>-338602</v>
      </c>
      <c r="D45" s="492">
        <v>-370656</v>
      </c>
      <c r="E45" s="492">
        <v>-388542</v>
      </c>
      <c r="F45" s="493">
        <v>-219095</v>
      </c>
      <c r="G45" s="492">
        <v>-337021</v>
      </c>
      <c r="H45" s="492"/>
      <c r="I45" s="492">
        <v>-338602</v>
      </c>
      <c r="J45" s="492">
        <v>-370656</v>
      </c>
      <c r="K45" s="492">
        <v>-388542</v>
      </c>
      <c r="L45" s="492">
        <v>-219095</v>
      </c>
      <c r="M45" s="492">
        <v>-337021</v>
      </c>
    </row>
    <row r="46" spans="1:13" ht="13.5" customHeight="1">
      <c r="A46" s="468" t="s">
        <v>693</v>
      </c>
      <c r="B46" s="98" t="s">
        <v>389</v>
      </c>
      <c r="C46" s="492">
        <v>-128618</v>
      </c>
      <c r="D46" s="491">
        <v>0</v>
      </c>
      <c r="E46" s="492">
        <v>-99975</v>
      </c>
      <c r="G46" s="492">
        <v>-50156</v>
      </c>
      <c r="H46" s="492"/>
      <c r="I46" s="492">
        <v>-128618</v>
      </c>
      <c r="J46" s="491">
        <v>0</v>
      </c>
      <c r="K46" s="492">
        <v>-99975</v>
      </c>
      <c r="L46" s="491">
        <v>0</v>
      </c>
      <c r="M46" s="492">
        <v>-50156</v>
      </c>
    </row>
    <row r="47" spans="1:13" ht="13.5" customHeight="1">
      <c r="A47" s="468" t="s">
        <v>694</v>
      </c>
      <c r="B47" s="98" t="s">
        <v>389</v>
      </c>
      <c r="C47" s="492">
        <v>11668026</v>
      </c>
      <c r="D47" s="492">
        <v>7973719</v>
      </c>
      <c r="E47" s="492">
        <v>13312301</v>
      </c>
      <c r="F47" s="493">
        <v>15234860</v>
      </c>
      <c r="G47" s="492">
        <v>9251217</v>
      </c>
      <c r="H47" s="492"/>
      <c r="I47" s="492">
        <v>11668026</v>
      </c>
      <c r="J47" s="492">
        <v>7973719</v>
      </c>
      <c r="K47" s="492">
        <v>13312301</v>
      </c>
      <c r="L47" s="492">
        <v>15234860</v>
      </c>
      <c r="M47" s="492">
        <v>9251217</v>
      </c>
    </row>
    <row r="48" spans="1:13" ht="13.5" customHeight="1">
      <c r="A48" s="468" t="s">
        <v>695</v>
      </c>
      <c r="B48" s="98" t="s">
        <v>389</v>
      </c>
      <c r="C48" s="492">
        <v>-10456671</v>
      </c>
      <c r="D48" s="492">
        <v>-9118685</v>
      </c>
      <c r="E48" s="492">
        <v>-12427699</v>
      </c>
      <c r="F48" s="493">
        <v>-12955275</v>
      </c>
      <c r="G48" s="492">
        <v>-10076809</v>
      </c>
      <c r="H48" s="492"/>
      <c r="I48" s="492">
        <v>-10456671</v>
      </c>
      <c r="J48" s="492">
        <v>-9118685</v>
      </c>
      <c r="K48" s="492">
        <v>-12427699</v>
      </c>
      <c r="L48" s="492">
        <v>-12955275</v>
      </c>
      <c r="M48" s="492">
        <v>-10076809</v>
      </c>
    </row>
    <row r="49" spans="1:13" ht="13.5" customHeight="1">
      <c r="A49" s="488" t="s">
        <v>696</v>
      </c>
      <c r="B49" s="495" t="s">
        <v>697</v>
      </c>
      <c r="C49" s="492">
        <v>-1910071</v>
      </c>
      <c r="D49" s="492">
        <v>-4482264</v>
      </c>
      <c r="E49" s="492">
        <v>-2576086</v>
      </c>
      <c r="F49" s="493">
        <v>1993940</v>
      </c>
      <c r="G49" s="492">
        <v>-3562315</v>
      </c>
      <c r="H49" s="492"/>
      <c r="I49" s="492">
        <v>-1910071</v>
      </c>
      <c r="J49" s="492">
        <v>-4482264</v>
      </c>
      <c r="K49" s="492">
        <v>-2576086</v>
      </c>
      <c r="L49" s="492">
        <v>1993940</v>
      </c>
      <c r="M49" s="492">
        <v>-3562315</v>
      </c>
    </row>
    <row r="50" spans="1:13" ht="13.5" customHeight="1">
      <c r="A50" s="468" t="s">
        <v>698</v>
      </c>
      <c r="B50" s="495" t="s">
        <v>698</v>
      </c>
      <c r="C50" s="492">
        <v>922250</v>
      </c>
      <c r="D50" s="492">
        <v>-967974</v>
      </c>
      <c r="E50" s="492">
        <v>155038</v>
      </c>
      <c r="F50" s="493">
        <v>342240</v>
      </c>
      <c r="G50" s="492">
        <v>-477677</v>
      </c>
      <c r="H50" s="492"/>
      <c r="I50" s="492">
        <v>922250</v>
      </c>
      <c r="J50" s="492">
        <v>-967974</v>
      </c>
      <c r="K50" s="492">
        <v>155038</v>
      </c>
      <c r="L50" s="492">
        <v>342240</v>
      </c>
      <c r="M50" s="492">
        <v>-477677</v>
      </c>
    </row>
    <row r="51" spans="1:13" ht="13.5" customHeight="1">
      <c r="A51" s="468" t="s">
        <v>699</v>
      </c>
      <c r="B51" s="495" t="s">
        <v>699</v>
      </c>
      <c r="C51" s="492">
        <v>560059</v>
      </c>
      <c r="D51" s="492">
        <v>1482309</v>
      </c>
      <c r="E51" s="492">
        <v>514335</v>
      </c>
      <c r="F51" s="493">
        <v>669373</v>
      </c>
      <c r="G51" s="492">
        <v>1011613</v>
      </c>
      <c r="H51" s="492"/>
      <c r="I51" s="492">
        <v>560059</v>
      </c>
      <c r="J51" s="492">
        <v>1482309</v>
      </c>
      <c r="K51" s="492">
        <v>514335</v>
      </c>
      <c r="L51" s="492">
        <v>669373</v>
      </c>
      <c r="M51" s="492">
        <v>1011613</v>
      </c>
    </row>
    <row r="52" spans="1:13" ht="13.5" customHeight="1">
      <c r="A52" s="468" t="s">
        <v>700</v>
      </c>
      <c r="B52" s="495" t="s">
        <v>700</v>
      </c>
      <c r="C52" s="491" t="s">
        <v>701</v>
      </c>
      <c r="D52" s="492">
        <v>514335</v>
      </c>
      <c r="E52" s="492">
        <v>669373</v>
      </c>
      <c r="F52" s="493">
        <v>1011613</v>
      </c>
      <c r="G52" s="492">
        <v>533936</v>
      </c>
      <c r="H52" s="492"/>
      <c r="I52" s="492">
        <v>1482309</v>
      </c>
      <c r="J52" s="492">
        <v>514335</v>
      </c>
      <c r="K52" s="492">
        <v>669373</v>
      </c>
      <c r="L52" s="492">
        <v>1011613</v>
      </c>
      <c r="M52" s="492">
        <v>533936</v>
      </c>
    </row>
  </sheetData>
  <phoneticPr fontId="4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99A3-7AD0-014D-8F12-7836F06E6305}">
  <dimension ref="G144:K147"/>
  <sheetViews>
    <sheetView zoomScale="85" zoomScaleNormal="85" workbookViewId="0">
      <selection activeCell="J36" sqref="J36"/>
    </sheetView>
  </sheetViews>
  <sheetFormatPr defaultColWidth="10.58203125" defaultRowHeight="14"/>
  <sheetData>
    <row r="144" spans="7:11">
      <c r="G144" s="384"/>
      <c r="H144" s="384" t="s">
        <v>702</v>
      </c>
      <c r="I144" s="384" t="s">
        <v>703</v>
      </c>
      <c r="J144" s="384" t="s">
        <v>704</v>
      </c>
      <c r="K144" s="384" t="s">
        <v>705</v>
      </c>
    </row>
    <row r="145" spans="7:11" ht="14.5">
      <c r="G145" s="384" t="s">
        <v>706</v>
      </c>
      <c r="H145" s="385" t="s">
        <v>707</v>
      </c>
      <c r="I145" s="385" t="s">
        <v>707</v>
      </c>
      <c r="J145" s="385" t="s">
        <v>707</v>
      </c>
      <c r="K145" s="385" t="s">
        <v>707</v>
      </c>
    </row>
    <row r="146" spans="7:11" ht="14.5">
      <c r="G146" s="384" t="s">
        <v>708</v>
      </c>
      <c r="H146" s="385" t="s">
        <v>707</v>
      </c>
      <c r="I146" s="385" t="s">
        <v>707</v>
      </c>
      <c r="J146" s="385" t="s">
        <v>707</v>
      </c>
      <c r="K146" s="386" t="s">
        <v>707</v>
      </c>
    </row>
    <row r="147" spans="7:11" ht="14.5">
      <c r="G147" s="384" t="s">
        <v>709</v>
      </c>
      <c r="H147" s="387">
        <v>-0.1484</v>
      </c>
      <c r="I147" s="387">
        <v>-0.17780000000000001</v>
      </c>
      <c r="J147" s="387">
        <v>-6.3100000000000003E-2</v>
      </c>
      <c r="K147" s="387">
        <v>-1.8599999999999998E-2</v>
      </c>
    </row>
  </sheetData>
  <phoneticPr fontId="45"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645F-123F-5745-BBF4-8C682DE5EEE5}">
  <dimension ref="A1:AB102"/>
  <sheetViews>
    <sheetView zoomScale="70" zoomScaleNormal="70" workbookViewId="0">
      <pane xSplit="1" ySplit="1" topLeftCell="S2" activePane="bottomRight" state="frozen"/>
      <selection pane="topRight" activeCell="B1" sqref="B1"/>
      <selection pane="bottomLeft" activeCell="A2" sqref="A2"/>
      <selection pane="bottomRight" activeCell="AB1" sqref="AB1"/>
    </sheetView>
  </sheetViews>
  <sheetFormatPr defaultColWidth="10.58203125" defaultRowHeight="14"/>
  <cols>
    <col min="1" max="1" width="26.58203125" customWidth="1"/>
  </cols>
  <sheetData>
    <row r="1" spans="1:28" ht="14.5" thickBot="1">
      <c r="A1" s="34"/>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710</v>
      </c>
    </row>
    <row r="2" spans="1:28" ht="28">
      <c r="A2" s="44" t="s">
        <v>30</v>
      </c>
      <c r="B2" s="47" t="s">
        <v>31</v>
      </c>
      <c r="C2" s="47" t="s">
        <v>31</v>
      </c>
      <c r="D2" s="47" t="s">
        <v>31</v>
      </c>
      <c r="E2" s="47" t="s">
        <v>31</v>
      </c>
      <c r="F2" s="47" t="s">
        <v>31</v>
      </c>
      <c r="G2" s="47" t="s">
        <v>31</v>
      </c>
      <c r="H2" s="47" t="s">
        <v>31</v>
      </c>
      <c r="I2" s="47" t="s">
        <v>31</v>
      </c>
      <c r="J2" s="47" t="s">
        <v>31</v>
      </c>
      <c r="K2" s="47" t="s">
        <v>31</v>
      </c>
      <c r="L2" s="47" t="s">
        <v>31</v>
      </c>
      <c r="M2" s="47" t="s">
        <v>31</v>
      </c>
      <c r="N2" s="47" t="s">
        <v>31</v>
      </c>
      <c r="O2" s="47" t="s">
        <v>31</v>
      </c>
      <c r="P2" s="47" t="s">
        <v>31</v>
      </c>
      <c r="Q2" s="47" t="s">
        <v>31</v>
      </c>
      <c r="R2" s="47" t="s">
        <v>31</v>
      </c>
      <c r="S2" s="47" t="s">
        <v>31</v>
      </c>
      <c r="T2" s="47" t="s">
        <v>31</v>
      </c>
      <c r="U2" s="47" t="s">
        <v>31</v>
      </c>
      <c r="V2" s="47" t="s">
        <v>31</v>
      </c>
      <c r="W2" s="47" t="s">
        <v>31</v>
      </c>
      <c r="X2" s="47" t="s">
        <v>31</v>
      </c>
      <c r="Y2" s="47" t="s">
        <v>31</v>
      </c>
      <c r="Z2" s="47" t="s">
        <v>31</v>
      </c>
      <c r="AA2" s="47" t="s">
        <v>31</v>
      </c>
      <c r="AB2" s="47" t="s">
        <v>31</v>
      </c>
    </row>
    <row r="3" spans="1:28">
      <c r="A3" s="44" t="s">
        <v>711</v>
      </c>
      <c r="B3" s="56">
        <v>34699</v>
      </c>
      <c r="C3" s="56">
        <v>35064</v>
      </c>
      <c r="D3" s="56">
        <v>35430</v>
      </c>
      <c r="E3" s="56">
        <v>35795</v>
      </c>
      <c r="F3" s="56">
        <v>36160</v>
      </c>
      <c r="G3" s="56">
        <v>36525</v>
      </c>
      <c r="H3" s="56">
        <v>36891</v>
      </c>
      <c r="I3" s="56">
        <v>37256</v>
      </c>
      <c r="J3" s="56">
        <v>37621</v>
      </c>
      <c r="K3" s="56">
        <v>37986</v>
      </c>
      <c r="L3" s="56">
        <v>38352</v>
      </c>
      <c r="M3" s="56">
        <v>38717</v>
      </c>
      <c r="N3" s="56">
        <v>39082</v>
      </c>
      <c r="O3" s="56">
        <v>39447</v>
      </c>
      <c r="P3" s="56">
        <v>39813</v>
      </c>
      <c r="Q3" s="56">
        <v>40178</v>
      </c>
      <c r="R3" s="56">
        <v>40543</v>
      </c>
      <c r="S3" s="56">
        <v>40908</v>
      </c>
      <c r="T3" s="56">
        <v>41274</v>
      </c>
      <c r="U3" s="56">
        <v>41639</v>
      </c>
      <c r="V3" s="56">
        <v>42004</v>
      </c>
      <c r="W3" s="56">
        <v>42369</v>
      </c>
      <c r="X3" s="56">
        <v>42735</v>
      </c>
      <c r="Y3" s="56">
        <v>43100</v>
      </c>
      <c r="Z3" s="56">
        <v>43465</v>
      </c>
      <c r="AA3" s="56">
        <v>43830</v>
      </c>
      <c r="AB3" s="56">
        <v>44012</v>
      </c>
    </row>
    <row r="4" spans="1:28">
      <c r="A4" s="44" t="s">
        <v>712</v>
      </c>
      <c r="B4" s="56">
        <v>35515</v>
      </c>
      <c r="C4" s="56">
        <v>35997</v>
      </c>
      <c r="D4" s="56">
        <v>36250</v>
      </c>
      <c r="E4" s="56">
        <v>36614</v>
      </c>
      <c r="F4" s="56">
        <v>36979</v>
      </c>
      <c r="G4" s="56">
        <v>37344</v>
      </c>
      <c r="H4" s="56">
        <v>37687</v>
      </c>
      <c r="I4" s="56">
        <v>38061</v>
      </c>
      <c r="J4" s="56">
        <v>38427</v>
      </c>
      <c r="K4" s="56">
        <v>38784</v>
      </c>
      <c r="L4" s="56">
        <v>39141</v>
      </c>
      <c r="M4" s="56">
        <v>39504</v>
      </c>
      <c r="N4" s="56">
        <v>39934</v>
      </c>
      <c r="O4" s="56">
        <v>40234</v>
      </c>
      <c r="P4" s="56">
        <v>40599</v>
      </c>
      <c r="Q4" s="56">
        <v>40967</v>
      </c>
      <c r="R4" s="56">
        <v>41333</v>
      </c>
      <c r="S4" s="56">
        <v>41697</v>
      </c>
      <c r="T4" s="56">
        <v>42062</v>
      </c>
      <c r="U4" s="56">
        <v>42426</v>
      </c>
      <c r="V4" s="56">
        <v>42790</v>
      </c>
      <c r="W4" s="56">
        <v>43154</v>
      </c>
      <c r="X4" s="56">
        <v>43518</v>
      </c>
      <c r="Y4" s="56">
        <v>43882</v>
      </c>
      <c r="Z4" s="56">
        <v>43882</v>
      </c>
      <c r="AA4" s="56">
        <v>43882</v>
      </c>
      <c r="AB4" s="56">
        <v>44053</v>
      </c>
    </row>
    <row r="5" spans="1:28">
      <c r="A5" s="44" t="s">
        <v>713</v>
      </c>
      <c r="B5" s="47" t="s">
        <v>41</v>
      </c>
      <c r="C5" s="47" t="s">
        <v>41</v>
      </c>
      <c r="D5" s="47" t="s">
        <v>41</v>
      </c>
      <c r="E5" s="47" t="s">
        <v>41</v>
      </c>
      <c r="F5" s="47" t="s">
        <v>41</v>
      </c>
      <c r="G5" s="47" t="s">
        <v>41</v>
      </c>
      <c r="H5" s="47" t="s">
        <v>41</v>
      </c>
      <c r="I5" s="47" t="s">
        <v>41</v>
      </c>
      <c r="J5" s="47" t="s">
        <v>41</v>
      </c>
      <c r="K5" s="47" t="s">
        <v>41</v>
      </c>
      <c r="L5" s="47" t="s">
        <v>41</v>
      </c>
      <c r="M5" s="47" t="s">
        <v>41</v>
      </c>
      <c r="N5" s="47" t="s">
        <v>41</v>
      </c>
      <c r="O5" s="47" t="s">
        <v>41</v>
      </c>
      <c r="P5" s="47" t="s">
        <v>41</v>
      </c>
      <c r="Q5" s="47" t="s">
        <v>41</v>
      </c>
      <c r="R5" s="47" t="s">
        <v>41</v>
      </c>
      <c r="S5" s="47" t="s">
        <v>41</v>
      </c>
      <c r="T5" s="47" t="s">
        <v>41</v>
      </c>
      <c r="U5" s="47" t="s">
        <v>41</v>
      </c>
      <c r="V5" s="47" t="s">
        <v>41</v>
      </c>
      <c r="W5" s="47" t="s">
        <v>41</v>
      </c>
      <c r="X5" s="47" t="s">
        <v>41</v>
      </c>
      <c r="Y5" s="47" t="s">
        <v>41</v>
      </c>
      <c r="Z5" s="47" t="s">
        <v>41</v>
      </c>
      <c r="AA5" s="47" t="s">
        <v>41</v>
      </c>
      <c r="AB5" s="47" t="s">
        <v>41</v>
      </c>
    </row>
    <row r="6" spans="1:28">
      <c r="A6" s="44" t="s">
        <v>30</v>
      </c>
      <c r="B6" s="47"/>
      <c r="C6" s="47"/>
      <c r="D6" s="47"/>
      <c r="E6" s="47"/>
      <c r="F6" s="47"/>
      <c r="G6" s="47"/>
      <c r="H6" s="47"/>
      <c r="I6" s="47"/>
      <c r="J6" s="47"/>
      <c r="K6" s="47"/>
      <c r="L6" s="47"/>
      <c r="M6" s="47"/>
      <c r="N6" s="47"/>
      <c r="O6" s="47"/>
      <c r="P6" s="47"/>
      <c r="Q6" s="47"/>
      <c r="R6" s="47"/>
      <c r="S6" s="47"/>
      <c r="T6" s="47"/>
      <c r="U6" s="47"/>
      <c r="V6" s="47"/>
      <c r="W6" s="47"/>
      <c r="X6" s="47"/>
      <c r="Y6" s="47"/>
      <c r="Z6" s="47"/>
      <c r="AA6" s="47"/>
      <c r="AB6" s="47"/>
    </row>
    <row r="7" spans="1:28">
      <c r="A7" s="38" t="s">
        <v>714</v>
      </c>
      <c r="B7" s="47"/>
      <c r="C7" s="47"/>
      <c r="D7" s="47"/>
      <c r="E7" s="47"/>
      <c r="F7" s="47"/>
      <c r="G7" s="47"/>
      <c r="H7" s="47"/>
      <c r="I7" s="47"/>
      <c r="J7" s="47"/>
      <c r="K7" s="47"/>
      <c r="L7" s="47"/>
      <c r="M7" s="47"/>
      <c r="N7" s="47"/>
      <c r="O7" s="47"/>
      <c r="P7" s="47"/>
      <c r="Q7" s="47"/>
      <c r="R7" s="47"/>
      <c r="S7" s="47"/>
      <c r="T7" s="47"/>
      <c r="U7" s="47"/>
      <c r="V7" s="47"/>
      <c r="W7" s="47"/>
      <c r="X7" s="47"/>
      <c r="Y7" s="47"/>
      <c r="Z7" s="47"/>
      <c r="AA7" s="47"/>
      <c r="AB7" s="47"/>
    </row>
    <row r="8" spans="1:28">
      <c r="A8" s="44" t="s">
        <v>277</v>
      </c>
      <c r="B8" s="57">
        <v>444767</v>
      </c>
      <c r="C8" s="57">
        <v>524129</v>
      </c>
      <c r="D8" s="57">
        <v>702873</v>
      </c>
      <c r="E8" s="57">
        <v>1002578</v>
      </c>
      <c r="F8" s="57">
        <v>1329867</v>
      </c>
      <c r="G8" s="57">
        <v>1791412</v>
      </c>
      <c r="H8" s="57">
        <v>1887049</v>
      </c>
      <c r="I8" s="57">
        <v>1926192</v>
      </c>
      <c r="J8" s="57">
        <v>1977418</v>
      </c>
      <c r="K8" s="57">
        <v>2107689</v>
      </c>
      <c r="L8" s="57">
        <v>2428665</v>
      </c>
      <c r="M8" s="57">
        <v>2997860</v>
      </c>
      <c r="N8" s="57">
        <v>3145465</v>
      </c>
      <c r="O8" s="57">
        <v>3401620</v>
      </c>
      <c r="P8" s="57">
        <v>3590569</v>
      </c>
      <c r="Q8" s="57">
        <v>3588046</v>
      </c>
      <c r="R8" s="57">
        <v>3745127</v>
      </c>
      <c r="S8" s="57">
        <v>4110845</v>
      </c>
      <c r="T8" s="57">
        <v>4067221</v>
      </c>
      <c r="U8" s="57">
        <v>4375814</v>
      </c>
      <c r="V8" s="57">
        <v>4670037</v>
      </c>
      <c r="W8" s="57">
        <v>4940506</v>
      </c>
      <c r="X8" s="57">
        <v>5158685</v>
      </c>
      <c r="Y8" s="57">
        <v>5230358</v>
      </c>
      <c r="Z8" s="57">
        <v>5274706</v>
      </c>
      <c r="AA8" s="57">
        <v>5356713</v>
      </c>
      <c r="AB8" s="57">
        <v>2325943</v>
      </c>
    </row>
    <row r="9" spans="1:28">
      <c r="A9" s="44" t="s">
        <v>715</v>
      </c>
      <c r="B9" s="47" t="s">
        <v>37</v>
      </c>
      <c r="C9" s="47" t="s">
        <v>37</v>
      </c>
      <c r="D9" s="47" t="s">
        <v>37</v>
      </c>
      <c r="E9" s="47" t="s">
        <v>37</v>
      </c>
      <c r="F9" s="47" t="s">
        <v>37</v>
      </c>
      <c r="G9" s="47" t="s">
        <v>37</v>
      </c>
      <c r="H9" s="47" t="s">
        <v>37</v>
      </c>
      <c r="I9" s="47" t="s">
        <v>37</v>
      </c>
      <c r="J9" s="47" t="s">
        <v>37</v>
      </c>
      <c r="K9" s="47" t="s">
        <v>37</v>
      </c>
      <c r="L9" s="47" t="s">
        <v>37</v>
      </c>
      <c r="M9" s="47" t="s">
        <v>37</v>
      </c>
      <c r="N9" s="47" t="s">
        <v>37</v>
      </c>
      <c r="O9" s="47" t="s">
        <v>37</v>
      </c>
      <c r="P9" s="47" t="s">
        <v>37</v>
      </c>
      <c r="Q9" s="47" t="s">
        <v>37</v>
      </c>
      <c r="R9" s="47" t="s">
        <v>37</v>
      </c>
      <c r="S9" s="47" t="s">
        <v>37</v>
      </c>
      <c r="T9" s="57">
        <v>12400</v>
      </c>
      <c r="U9" s="57">
        <v>7900</v>
      </c>
      <c r="V9" s="57">
        <v>4500</v>
      </c>
      <c r="W9" s="47" t="s">
        <v>37</v>
      </c>
      <c r="X9" s="47" t="s">
        <v>37</v>
      </c>
      <c r="Y9" s="47" t="s">
        <v>37</v>
      </c>
      <c r="Z9" s="47" t="s">
        <v>37</v>
      </c>
      <c r="AA9" s="57">
        <v>16200</v>
      </c>
      <c r="AB9" s="47" t="s">
        <v>37</v>
      </c>
    </row>
    <row r="10" spans="1:28">
      <c r="A10" s="44" t="s">
        <v>716</v>
      </c>
      <c r="B10" s="47" t="s">
        <v>37</v>
      </c>
      <c r="C10" s="47" t="s">
        <v>37</v>
      </c>
      <c r="D10" s="47" t="s">
        <v>37</v>
      </c>
      <c r="E10" s="47" t="s">
        <v>37</v>
      </c>
      <c r="F10" s="47" t="s">
        <v>37</v>
      </c>
      <c r="G10" s="47" t="s">
        <v>37</v>
      </c>
      <c r="H10" s="47" t="s">
        <v>37</v>
      </c>
      <c r="I10" s="47" t="s">
        <v>37</v>
      </c>
      <c r="J10" s="47" t="s">
        <v>37</v>
      </c>
      <c r="K10" s="47" t="s">
        <v>37</v>
      </c>
      <c r="L10" s="47" t="s">
        <v>37</v>
      </c>
      <c r="M10" s="47" t="s">
        <v>37</v>
      </c>
      <c r="N10" s="47" t="s">
        <v>37</v>
      </c>
      <c r="O10" s="47" t="s">
        <v>37</v>
      </c>
      <c r="P10" s="47" t="s">
        <v>37</v>
      </c>
      <c r="Q10" s="47" t="s">
        <v>37</v>
      </c>
      <c r="R10" s="47" t="s">
        <v>37</v>
      </c>
      <c r="S10" s="47" t="s">
        <v>37</v>
      </c>
      <c r="T10" s="47" t="s">
        <v>37</v>
      </c>
      <c r="U10" s="47" t="s">
        <v>37</v>
      </c>
      <c r="V10" s="47" t="s">
        <v>37</v>
      </c>
      <c r="W10" s="57">
        <v>80187</v>
      </c>
      <c r="X10" s="47" t="s">
        <v>37</v>
      </c>
      <c r="Y10" s="57">
        <v>21541</v>
      </c>
      <c r="Z10" s="57">
        <v>35621</v>
      </c>
      <c r="AA10" s="47" t="s">
        <v>37</v>
      </c>
      <c r="AB10" s="47" t="s">
        <v>37</v>
      </c>
    </row>
    <row r="11" spans="1:28">
      <c r="A11" s="44" t="s">
        <v>717</v>
      </c>
      <c r="B11" s="47" t="s">
        <v>37</v>
      </c>
      <c r="C11" s="47" t="s">
        <v>37</v>
      </c>
      <c r="D11" s="47" t="s">
        <v>37</v>
      </c>
      <c r="E11" s="47" t="s">
        <v>37</v>
      </c>
      <c r="F11" s="47" t="s">
        <v>37</v>
      </c>
      <c r="G11" s="47" t="s">
        <v>37</v>
      </c>
      <c r="H11" s="57">
        <v>13140</v>
      </c>
      <c r="I11" s="57">
        <v>13638</v>
      </c>
      <c r="J11" s="57">
        <v>13600</v>
      </c>
      <c r="K11" s="47" t="s">
        <v>37</v>
      </c>
      <c r="L11" s="47" t="s">
        <v>37</v>
      </c>
      <c r="M11" s="47" t="s">
        <v>37</v>
      </c>
      <c r="N11" s="47" t="s">
        <v>37</v>
      </c>
      <c r="O11" s="57">
        <v>39100</v>
      </c>
      <c r="P11" s="57">
        <v>15300</v>
      </c>
      <c r="Q11" s="57">
        <v>9300</v>
      </c>
      <c r="R11" s="57">
        <v>14500</v>
      </c>
      <c r="S11" s="57">
        <v>34100</v>
      </c>
      <c r="T11" s="57">
        <v>6800</v>
      </c>
      <c r="U11" s="47" t="s">
        <v>37</v>
      </c>
      <c r="V11" s="47" t="s">
        <v>37</v>
      </c>
      <c r="W11" s="47" t="s">
        <v>37</v>
      </c>
      <c r="X11" s="47" t="s">
        <v>37</v>
      </c>
      <c r="Y11" s="47" t="s">
        <v>37</v>
      </c>
      <c r="Z11" s="47" t="s">
        <v>37</v>
      </c>
      <c r="AA11" s="47" t="s">
        <v>37</v>
      </c>
      <c r="AB11" s="47" t="s">
        <v>37</v>
      </c>
    </row>
    <row r="12" spans="1:28">
      <c r="A12" s="44" t="s">
        <v>284</v>
      </c>
      <c r="B12" s="57">
        <v>28842</v>
      </c>
      <c r="C12" s="57">
        <v>30931</v>
      </c>
      <c r="D12" s="57">
        <v>54376</v>
      </c>
      <c r="E12" s="57">
        <v>70765</v>
      </c>
      <c r="F12" s="57">
        <v>75692</v>
      </c>
      <c r="G12" s="57">
        <v>101291</v>
      </c>
      <c r="H12" s="57">
        <v>204329</v>
      </c>
      <c r="I12" s="57">
        <v>109005</v>
      </c>
      <c r="J12" s="57">
        <v>122683</v>
      </c>
      <c r="K12" s="57">
        <v>134710</v>
      </c>
      <c r="L12" s="57">
        <v>156414</v>
      </c>
      <c r="M12" s="57">
        <v>168993</v>
      </c>
      <c r="N12" s="57">
        <v>186689</v>
      </c>
      <c r="O12" s="57">
        <v>210079</v>
      </c>
      <c r="P12" s="57">
        <v>177286</v>
      </c>
      <c r="Q12" s="57">
        <v>177870</v>
      </c>
      <c r="R12" s="57">
        <v>198003</v>
      </c>
      <c r="S12" s="57">
        <v>161487</v>
      </c>
      <c r="T12" s="57">
        <v>169736</v>
      </c>
      <c r="U12" s="57">
        <v>160135</v>
      </c>
      <c r="V12" s="57">
        <v>196281</v>
      </c>
      <c r="W12" s="57">
        <v>237110</v>
      </c>
      <c r="X12" s="57">
        <v>276544</v>
      </c>
      <c r="Y12" s="57">
        <v>275437</v>
      </c>
      <c r="Z12" s="57">
        <v>317061</v>
      </c>
      <c r="AA12" s="57">
        <v>303776</v>
      </c>
      <c r="AB12" s="57">
        <v>86758</v>
      </c>
    </row>
    <row r="13" spans="1:28">
      <c r="A13" s="38" t="s">
        <v>718</v>
      </c>
      <c r="B13" s="168">
        <v>473609</v>
      </c>
      <c r="C13" s="168">
        <v>555060</v>
      </c>
      <c r="D13" s="168">
        <v>757249</v>
      </c>
      <c r="E13" s="168">
        <v>1073343</v>
      </c>
      <c r="F13" s="168">
        <v>1405559</v>
      </c>
      <c r="G13" s="168">
        <v>1892703</v>
      </c>
      <c r="H13" s="168">
        <v>2104518</v>
      </c>
      <c r="I13" s="168">
        <v>2048835</v>
      </c>
      <c r="J13" s="168">
        <v>2113701</v>
      </c>
      <c r="K13" s="168">
        <v>2242399</v>
      </c>
      <c r="L13" s="168">
        <v>2585079</v>
      </c>
      <c r="M13" s="168">
        <v>3166853</v>
      </c>
      <c r="N13" s="168">
        <v>3332154</v>
      </c>
      <c r="O13" s="168">
        <v>3650799</v>
      </c>
      <c r="P13" s="168">
        <v>3783155</v>
      </c>
      <c r="Q13" s="168">
        <v>3775216</v>
      </c>
      <c r="R13" s="168">
        <v>3957630</v>
      </c>
      <c r="S13" s="168">
        <v>4306432</v>
      </c>
      <c r="T13" s="168">
        <v>4256157</v>
      </c>
      <c r="U13" s="168">
        <v>4543849</v>
      </c>
      <c r="V13" s="168">
        <v>4870818</v>
      </c>
      <c r="W13" s="168">
        <v>5257803</v>
      </c>
      <c r="X13" s="168">
        <v>5435229</v>
      </c>
      <c r="Y13" s="168">
        <v>5527336</v>
      </c>
      <c r="Z13" s="168">
        <v>5627388</v>
      </c>
      <c r="AA13" s="168">
        <v>5676689</v>
      </c>
      <c r="AB13" s="168">
        <v>2412701</v>
      </c>
    </row>
    <row r="14" spans="1:28">
      <c r="A14" s="44" t="s">
        <v>719</v>
      </c>
      <c r="B14" s="57">
        <v>156531</v>
      </c>
      <c r="C14" s="57">
        <v>178264</v>
      </c>
      <c r="D14" s="57">
        <v>164333</v>
      </c>
      <c r="E14" s="57">
        <v>225838</v>
      </c>
      <c r="F14" s="57">
        <v>286336</v>
      </c>
      <c r="G14" s="57">
        <v>374000</v>
      </c>
      <c r="H14" s="57">
        <v>595300</v>
      </c>
      <c r="I14" s="57">
        <v>372310</v>
      </c>
      <c r="J14" s="57">
        <v>387006</v>
      </c>
      <c r="K14" s="57">
        <v>406398</v>
      </c>
      <c r="L14" s="57">
        <v>706967</v>
      </c>
      <c r="M14" s="57">
        <v>826305</v>
      </c>
      <c r="N14" s="57">
        <v>856860</v>
      </c>
      <c r="O14" s="57">
        <v>897607</v>
      </c>
      <c r="P14" s="57">
        <v>922445</v>
      </c>
      <c r="Q14" s="57">
        <v>874051</v>
      </c>
      <c r="R14" s="57">
        <v>865779</v>
      </c>
      <c r="S14" s="57">
        <v>926327</v>
      </c>
      <c r="T14" s="57">
        <v>811285</v>
      </c>
      <c r="U14" s="57">
        <v>845111</v>
      </c>
      <c r="V14" s="57">
        <v>894804</v>
      </c>
      <c r="W14" s="57">
        <v>966827</v>
      </c>
      <c r="X14" s="57">
        <v>978466</v>
      </c>
      <c r="Y14" s="57">
        <v>980080</v>
      </c>
      <c r="Z14" s="57">
        <v>1007964</v>
      </c>
      <c r="AA14" s="57">
        <v>1021644</v>
      </c>
      <c r="AB14" s="57">
        <v>449518</v>
      </c>
    </row>
    <row r="15" spans="1:28">
      <c r="A15" s="38" t="s">
        <v>720</v>
      </c>
      <c r="B15" s="168">
        <v>317078</v>
      </c>
      <c r="C15" s="168">
        <v>376796</v>
      </c>
      <c r="D15" s="168">
        <v>592916</v>
      </c>
      <c r="E15" s="168">
        <v>847505</v>
      </c>
      <c r="F15" s="168">
        <v>1119223</v>
      </c>
      <c r="G15" s="168">
        <v>1518703</v>
      </c>
      <c r="H15" s="168">
        <v>1509218</v>
      </c>
      <c r="I15" s="168">
        <v>1676525</v>
      </c>
      <c r="J15" s="168">
        <v>1726695</v>
      </c>
      <c r="K15" s="168">
        <v>1836001</v>
      </c>
      <c r="L15" s="168">
        <v>1878112</v>
      </c>
      <c r="M15" s="168">
        <v>2340548</v>
      </c>
      <c r="N15" s="168">
        <v>2475294</v>
      </c>
      <c r="O15" s="168">
        <v>2753192</v>
      </c>
      <c r="P15" s="168">
        <v>2860710</v>
      </c>
      <c r="Q15" s="168">
        <v>2901165</v>
      </c>
      <c r="R15" s="168">
        <v>3091851</v>
      </c>
      <c r="S15" s="168">
        <v>3380105</v>
      </c>
      <c r="T15" s="168">
        <v>3444872</v>
      </c>
      <c r="U15" s="168">
        <v>3698738</v>
      </c>
      <c r="V15" s="168">
        <v>3976014</v>
      </c>
      <c r="W15" s="168">
        <v>4290976</v>
      </c>
      <c r="X15" s="168">
        <v>4456763</v>
      </c>
      <c r="Y15" s="168">
        <v>4547256</v>
      </c>
      <c r="Z15" s="168">
        <v>4619424</v>
      </c>
      <c r="AA15" s="168">
        <v>4655045</v>
      </c>
      <c r="AB15" s="168">
        <v>1963183</v>
      </c>
    </row>
    <row r="16" spans="1:28">
      <c r="A16" s="44" t="s">
        <v>30</v>
      </c>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row>
    <row r="17" spans="1:28">
      <c r="A17" s="44" t="s">
        <v>300</v>
      </c>
      <c r="B17" s="57">
        <v>17000</v>
      </c>
      <c r="C17" s="57">
        <v>18888</v>
      </c>
      <c r="D17" s="57">
        <v>24756</v>
      </c>
      <c r="E17" s="57">
        <v>32891</v>
      </c>
      <c r="F17" s="57">
        <v>50754</v>
      </c>
      <c r="G17" s="57">
        <v>65843</v>
      </c>
      <c r="H17" s="57">
        <v>65797</v>
      </c>
      <c r="I17" s="57">
        <v>111070</v>
      </c>
      <c r="J17" s="57">
        <v>107811</v>
      </c>
      <c r="K17" s="57">
        <v>173296</v>
      </c>
      <c r="L17" s="57">
        <v>197418</v>
      </c>
      <c r="M17" s="57">
        <v>253036</v>
      </c>
      <c r="N17" s="57">
        <v>263767</v>
      </c>
      <c r="O17" s="57">
        <v>281036</v>
      </c>
      <c r="P17" s="57">
        <v>293316</v>
      </c>
      <c r="Q17" s="57">
        <v>253823</v>
      </c>
      <c r="R17" s="57">
        <v>264525</v>
      </c>
      <c r="S17" s="57">
        <v>324223</v>
      </c>
      <c r="T17" s="57">
        <v>331397</v>
      </c>
      <c r="U17" s="57">
        <v>355778</v>
      </c>
      <c r="V17" s="57">
        <v>395088</v>
      </c>
      <c r="W17" s="57">
        <v>388850</v>
      </c>
      <c r="X17" s="57">
        <v>405053</v>
      </c>
      <c r="Y17" s="57">
        <v>337987</v>
      </c>
      <c r="Z17" s="57">
        <v>334461</v>
      </c>
      <c r="AA17" s="57">
        <v>375313</v>
      </c>
      <c r="AB17" s="57">
        <v>150866</v>
      </c>
    </row>
    <row r="18" spans="1:28">
      <c r="A18" s="44" t="s">
        <v>85</v>
      </c>
      <c r="B18" s="57">
        <v>75945</v>
      </c>
      <c r="C18" s="57">
        <v>92739</v>
      </c>
      <c r="D18" s="57">
        <v>135780</v>
      </c>
      <c r="E18" s="57">
        <v>200900</v>
      </c>
      <c r="F18" s="57">
        <v>268442</v>
      </c>
      <c r="G18" s="57">
        <v>382176</v>
      </c>
      <c r="H18" s="57">
        <v>420065</v>
      </c>
      <c r="I18" s="57">
        <v>406557</v>
      </c>
      <c r="J18" s="57">
        <v>465592</v>
      </c>
      <c r="K18" s="57">
        <v>481317</v>
      </c>
      <c r="L18" s="57">
        <v>607071</v>
      </c>
      <c r="M18" s="57">
        <v>849911</v>
      </c>
      <c r="N18" s="57">
        <v>856202</v>
      </c>
      <c r="O18" s="57">
        <v>905636</v>
      </c>
      <c r="P18" s="57">
        <v>969477</v>
      </c>
      <c r="Q18" s="57">
        <v>997598</v>
      </c>
      <c r="R18" s="57">
        <v>982820</v>
      </c>
      <c r="S18" s="57">
        <v>1065946</v>
      </c>
      <c r="T18" s="57">
        <v>1068382</v>
      </c>
      <c r="U18" s="57">
        <v>1107700</v>
      </c>
      <c r="V18" s="57">
        <v>1143827</v>
      </c>
      <c r="W18" s="57">
        <v>1177568</v>
      </c>
      <c r="X18" s="57">
        <v>1252673</v>
      </c>
      <c r="Y18" s="57">
        <v>1275452</v>
      </c>
      <c r="Z18" s="57">
        <v>1282454</v>
      </c>
      <c r="AA18" s="57">
        <v>1340503</v>
      </c>
      <c r="AB18" s="57">
        <v>652402</v>
      </c>
    </row>
    <row r="19" spans="1:28">
      <c r="A19" s="44" t="s">
        <v>721</v>
      </c>
      <c r="B19" s="57">
        <v>9902</v>
      </c>
      <c r="C19" s="57">
        <v>12630</v>
      </c>
      <c r="D19" s="57">
        <v>84087</v>
      </c>
      <c r="E19" s="57">
        <v>117508</v>
      </c>
      <c r="F19" s="57">
        <v>157815</v>
      </c>
      <c r="G19" s="57">
        <v>216439</v>
      </c>
      <c r="H19" s="57">
        <v>36021</v>
      </c>
      <c r="I19" s="57">
        <v>231480</v>
      </c>
      <c r="J19" s="57">
        <v>238135</v>
      </c>
      <c r="K19" s="57">
        <v>219504</v>
      </c>
      <c r="L19" s="57">
        <v>18780</v>
      </c>
      <c r="M19" s="57">
        <v>32178</v>
      </c>
      <c r="N19" s="57">
        <v>35976</v>
      </c>
      <c r="O19" s="57">
        <v>32488</v>
      </c>
      <c r="P19" s="57">
        <v>38380</v>
      </c>
      <c r="Q19" s="57">
        <v>40002</v>
      </c>
      <c r="R19" s="57">
        <v>28698</v>
      </c>
      <c r="S19" s="57">
        <v>46782</v>
      </c>
      <c r="T19" s="57">
        <v>45290</v>
      </c>
      <c r="U19" s="57">
        <v>46591</v>
      </c>
      <c r="V19" s="57">
        <v>51757</v>
      </c>
      <c r="W19" s="57">
        <v>59585</v>
      </c>
      <c r="X19" s="57">
        <v>78209</v>
      </c>
      <c r="Y19" s="57">
        <v>131477</v>
      </c>
      <c r="Z19" s="57">
        <v>78898</v>
      </c>
      <c r="AA19" s="57">
        <v>101686</v>
      </c>
      <c r="AB19" s="57">
        <v>56878</v>
      </c>
    </row>
    <row r="20" spans="1:28">
      <c r="A20" s="44" t="s">
        <v>722</v>
      </c>
      <c r="B20" s="57">
        <v>102847</v>
      </c>
      <c r="C20" s="57">
        <v>124257</v>
      </c>
      <c r="D20" s="57">
        <v>244623</v>
      </c>
      <c r="E20" s="57">
        <v>351299</v>
      </c>
      <c r="F20" s="57">
        <v>477011</v>
      </c>
      <c r="G20" s="57">
        <v>664458</v>
      </c>
      <c r="H20" s="57">
        <v>521883</v>
      </c>
      <c r="I20" s="57">
        <v>749107</v>
      </c>
      <c r="J20" s="57">
        <v>811538</v>
      </c>
      <c r="K20" s="57">
        <v>874117</v>
      </c>
      <c r="L20" s="57">
        <v>823269</v>
      </c>
      <c r="M20" s="57">
        <v>1135125</v>
      </c>
      <c r="N20" s="57">
        <v>1155945</v>
      </c>
      <c r="O20" s="57">
        <v>1219160</v>
      </c>
      <c r="P20" s="57">
        <v>1301173</v>
      </c>
      <c r="Q20" s="57">
        <v>1291423</v>
      </c>
      <c r="R20" s="57">
        <v>1276043</v>
      </c>
      <c r="S20" s="57">
        <v>1436951</v>
      </c>
      <c r="T20" s="57">
        <v>1445069</v>
      </c>
      <c r="U20" s="57">
        <v>1510069</v>
      </c>
      <c r="V20" s="57">
        <v>1590672</v>
      </c>
      <c r="W20" s="57">
        <v>1626003</v>
      </c>
      <c r="X20" s="57">
        <v>1735935</v>
      </c>
      <c r="Y20" s="57">
        <v>1744916</v>
      </c>
      <c r="Z20" s="57">
        <v>1695813</v>
      </c>
      <c r="AA20" s="57">
        <v>1817502</v>
      </c>
      <c r="AB20" s="57">
        <v>860146</v>
      </c>
    </row>
    <row r="21" spans="1:28">
      <c r="A21" s="38" t="s">
        <v>723</v>
      </c>
      <c r="B21" s="168">
        <v>214231</v>
      </c>
      <c r="C21" s="168">
        <v>252539</v>
      </c>
      <c r="D21" s="168">
        <v>348293</v>
      </c>
      <c r="E21" s="168">
        <v>496206</v>
      </c>
      <c r="F21" s="168">
        <v>642212</v>
      </c>
      <c r="G21" s="168">
        <v>854245</v>
      </c>
      <c r="H21" s="168">
        <v>987335</v>
      </c>
      <c r="I21" s="168">
        <v>927418</v>
      </c>
      <c r="J21" s="168">
        <v>915157</v>
      </c>
      <c r="K21" s="168">
        <v>961884</v>
      </c>
      <c r="L21" s="168">
        <v>1054843</v>
      </c>
      <c r="M21" s="168">
        <v>1205423</v>
      </c>
      <c r="N21" s="168">
        <v>1319349</v>
      </c>
      <c r="O21" s="168">
        <v>1534032</v>
      </c>
      <c r="P21" s="168">
        <v>1559537</v>
      </c>
      <c r="Q21" s="168">
        <v>1609742</v>
      </c>
      <c r="R21" s="168">
        <v>1815808</v>
      </c>
      <c r="S21" s="168">
        <v>1943154</v>
      </c>
      <c r="T21" s="168">
        <v>1999803</v>
      </c>
      <c r="U21" s="168">
        <v>2188669</v>
      </c>
      <c r="V21" s="168">
        <v>2385342</v>
      </c>
      <c r="W21" s="168">
        <v>2664973</v>
      </c>
      <c r="X21" s="168">
        <v>2720828</v>
      </c>
      <c r="Y21" s="168">
        <v>2802340</v>
      </c>
      <c r="Z21" s="168">
        <v>2923611</v>
      </c>
      <c r="AA21" s="168">
        <v>2837543</v>
      </c>
      <c r="AB21" s="168">
        <v>1103037</v>
      </c>
    </row>
    <row r="22" spans="1:28">
      <c r="A22" s="44" t="s">
        <v>30</v>
      </c>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row>
    <row r="23" spans="1:28">
      <c r="A23" s="44" t="s">
        <v>70</v>
      </c>
      <c r="B23" s="57">
        <v>-150164</v>
      </c>
      <c r="C23" s="57">
        <v>-150224</v>
      </c>
      <c r="D23" s="57">
        <v>-202182</v>
      </c>
      <c r="E23" s="57">
        <v>-287823</v>
      </c>
      <c r="F23" s="57">
        <v>-427734</v>
      </c>
      <c r="G23" s="57">
        <v>-611845</v>
      </c>
      <c r="H23" s="57">
        <v>-676280</v>
      </c>
      <c r="I23" s="57">
        <v>-633710</v>
      </c>
      <c r="J23" s="57">
        <v>-609688</v>
      </c>
      <c r="K23" s="57">
        <v>-607008</v>
      </c>
      <c r="L23" s="57">
        <v>-675018</v>
      </c>
      <c r="M23" s="57">
        <v>-827172</v>
      </c>
      <c r="N23" s="57">
        <v>-821858</v>
      </c>
      <c r="O23" s="57">
        <v>-945852</v>
      </c>
      <c r="P23" s="57">
        <v>-947140</v>
      </c>
      <c r="Q23" s="57">
        <v>-992065</v>
      </c>
      <c r="R23" s="57">
        <v>-1027091</v>
      </c>
      <c r="S23" s="57">
        <v>-983526</v>
      </c>
      <c r="T23" s="57">
        <v>-1068181</v>
      </c>
      <c r="U23" s="57">
        <v>-1082081</v>
      </c>
      <c r="V23" s="57">
        <v>-992601</v>
      </c>
      <c r="W23" s="57">
        <v>-923697</v>
      </c>
      <c r="X23" s="57">
        <v>-857554</v>
      </c>
      <c r="Y23" s="57">
        <v>-809393</v>
      </c>
      <c r="Z23" s="57">
        <v>-815923</v>
      </c>
      <c r="AA23" s="57">
        <v>-789353</v>
      </c>
      <c r="AB23" s="57">
        <v>-384688</v>
      </c>
    </row>
    <row r="24" spans="1:28">
      <c r="A24" s="38" t="s">
        <v>724</v>
      </c>
      <c r="B24" s="168">
        <v>-150164</v>
      </c>
      <c r="C24" s="168">
        <v>-150224</v>
      </c>
      <c r="D24" s="168">
        <v>-202182</v>
      </c>
      <c r="E24" s="168">
        <v>-287823</v>
      </c>
      <c r="F24" s="168">
        <v>-427734</v>
      </c>
      <c r="G24" s="168">
        <v>-611845</v>
      </c>
      <c r="H24" s="168">
        <v>-676280</v>
      </c>
      <c r="I24" s="168">
        <v>-633710</v>
      </c>
      <c r="J24" s="168">
        <v>-609688</v>
      </c>
      <c r="K24" s="168">
        <v>-607008</v>
      </c>
      <c r="L24" s="168">
        <v>-675018</v>
      </c>
      <c r="M24" s="168">
        <v>-827172</v>
      </c>
      <c r="N24" s="168">
        <v>-821858</v>
      </c>
      <c r="O24" s="168">
        <v>-945852</v>
      </c>
      <c r="P24" s="168">
        <v>-947140</v>
      </c>
      <c r="Q24" s="168">
        <v>-992065</v>
      </c>
      <c r="R24" s="168">
        <v>-1027091</v>
      </c>
      <c r="S24" s="168">
        <v>-983526</v>
      </c>
      <c r="T24" s="168">
        <v>-1068181</v>
      </c>
      <c r="U24" s="168">
        <v>-1082081</v>
      </c>
      <c r="V24" s="168">
        <v>-992601</v>
      </c>
      <c r="W24" s="168">
        <v>-923697</v>
      </c>
      <c r="X24" s="168">
        <v>-857554</v>
      </c>
      <c r="Y24" s="168">
        <v>-809393</v>
      </c>
      <c r="Z24" s="168">
        <v>-815923</v>
      </c>
      <c r="AA24" s="168">
        <v>-789353</v>
      </c>
      <c r="AB24" s="168">
        <v>-384688</v>
      </c>
    </row>
    <row r="25" spans="1:28">
      <c r="A25" s="44" t="s">
        <v>725</v>
      </c>
      <c r="B25" s="47" t="s">
        <v>37</v>
      </c>
      <c r="C25" s="47" t="s">
        <v>37</v>
      </c>
      <c r="D25" s="47" t="s">
        <v>37</v>
      </c>
      <c r="E25" s="47" t="s">
        <v>37</v>
      </c>
      <c r="F25" s="57">
        <v>28554</v>
      </c>
      <c r="G25" s="57">
        <v>55855</v>
      </c>
      <c r="H25" s="47" t="s">
        <v>37</v>
      </c>
      <c r="I25" s="57">
        <v>64377</v>
      </c>
      <c r="J25" s="57">
        <v>60069</v>
      </c>
      <c r="K25" s="57">
        <v>99645</v>
      </c>
      <c r="L25" s="57">
        <v>81113</v>
      </c>
      <c r="M25" s="57">
        <v>81807</v>
      </c>
      <c r="N25" s="57">
        <v>110819</v>
      </c>
      <c r="O25" s="57">
        <v>38120</v>
      </c>
      <c r="P25" s="57">
        <v>32246</v>
      </c>
      <c r="Q25" s="57">
        <v>40220</v>
      </c>
      <c r="R25" s="57">
        <v>75921</v>
      </c>
      <c r="S25" s="57">
        <v>81238</v>
      </c>
      <c r="T25" s="57">
        <v>130879</v>
      </c>
      <c r="U25" s="57">
        <v>206380</v>
      </c>
      <c r="V25" s="57">
        <v>226774</v>
      </c>
      <c r="W25" s="57">
        <v>284806</v>
      </c>
      <c r="X25" s="57">
        <v>353334</v>
      </c>
      <c r="Y25" s="57">
        <v>400270</v>
      </c>
      <c r="Z25" s="57">
        <v>475250</v>
      </c>
      <c r="AA25" s="57">
        <v>444349</v>
      </c>
      <c r="AB25" s="57">
        <v>94787</v>
      </c>
    </row>
    <row r="26" spans="1:28">
      <c r="A26" s="38" t="s">
        <v>726</v>
      </c>
      <c r="B26" s="168">
        <v>64067</v>
      </c>
      <c r="C26" s="168">
        <v>102315</v>
      </c>
      <c r="D26" s="168">
        <v>146111</v>
      </c>
      <c r="E26" s="168">
        <v>208383</v>
      </c>
      <c r="F26" s="168">
        <v>243032</v>
      </c>
      <c r="G26" s="168">
        <v>298255</v>
      </c>
      <c r="H26" s="168">
        <v>311055</v>
      </c>
      <c r="I26" s="168">
        <v>358085</v>
      </c>
      <c r="J26" s="168">
        <v>365538</v>
      </c>
      <c r="K26" s="168">
        <v>454521</v>
      </c>
      <c r="L26" s="168">
        <v>460938</v>
      </c>
      <c r="M26" s="168">
        <v>460058</v>
      </c>
      <c r="N26" s="168">
        <v>608310</v>
      </c>
      <c r="O26" s="168">
        <v>626300</v>
      </c>
      <c r="P26" s="168">
        <v>644643</v>
      </c>
      <c r="Q26" s="168">
        <v>657897</v>
      </c>
      <c r="R26" s="168">
        <v>864638</v>
      </c>
      <c r="S26" s="168">
        <v>1040866</v>
      </c>
      <c r="T26" s="168">
        <v>1062501</v>
      </c>
      <c r="U26" s="168">
        <v>1312968</v>
      </c>
      <c r="V26" s="168">
        <v>1619515</v>
      </c>
      <c r="W26" s="168">
        <v>2026082</v>
      </c>
      <c r="X26" s="168">
        <v>2216608</v>
      </c>
      <c r="Y26" s="168">
        <v>2393217</v>
      </c>
      <c r="Z26" s="168">
        <v>2582938</v>
      </c>
      <c r="AA26" s="168">
        <v>2492539</v>
      </c>
      <c r="AB26" s="168">
        <v>813136</v>
      </c>
    </row>
    <row r="27" spans="1:28">
      <c r="A27" s="44" t="s">
        <v>727</v>
      </c>
      <c r="B27" s="47" t="s">
        <v>37</v>
      </c>
      <c r="C27" s="47" t="s">
        <v>37</v>
      </c>
      <c r="D27" s="57">
        <v>-7236</v>
      </c>
      <c r="E27" s="47" t="s">
        <v>37</v>
      </c>
      <c r="F27" s="47" t="s">
        <v>37</v>
      </c>
      <c r="G27" s="47" t="s">
        <v>37</v>
      </c>
      <c r="H27" s="47" t="s">
        <v>37</v>
      </c>
      <c r="I27" s="47" t="s">
        <v>37</v>
      </c>
      <c r="J27" s="47" t="s">
        <v>37</v>
      </c>
      <c r="K27" s="47" t="s">
        <v>37</v>
      </c>
      <c r="L27" s="47" t="s">
        <v>37</v>
      </c>
      <c r="M27" s="47" t="s">
        <v>37</v>
      </c>
      <c r="N27" s="47" t="s">
        <v>37</v>
      </c>
      <c r="O27" s="47" t="s">
        <v>37</v>
      </c>
      <c r="P27" s="47" t="s">
        <v>37</v>
      </c>
      <c r="Q27" s="57">
        <v>-5697</v>
      </c>
      <c r="R27" s="57">
        <v>-68972</v>
      </c>
      <c r="S27" s="47" t="s">
        <v>37</v>
      </c>
      <c r="T27" s="47" t="s">
        <v>37</v>
      </c>
      <c r="U27" s="47" t="s">
        <v>37</v>
      </c>
      <c r="V27" s="47" t="s">
        <v>37</v>
      </c>
      <c r="W27" s="57">
        <v>-4400</v>
      </c>
      <c r="X27" s="47" t="s">
        <v>37</v>
      </c>
      <c r="Y27" s="47" t="s">
        <v>37</v>
      </c>
      <c r="Z27" s="47" t="s">
        <v>37</v>
      </c>
      <c r="AA27" s="47" t="s">
        <v>37</v>
      </c>
      <c r="AB27" s="47" t="s">
        <v>37</v>
      </c>
    </row>
    <row r="28" spans="1:28">
      <c r="A28" s="44" t="s">
        <v>728</v>
      </c>
      <c r="B28" s="47" t="s">
        <v>37</v>
      </c>
      <c r="C28" s="47" t="s">
        <v>37</v>
      </c>
      <c r="D28" s="47" t="s">
        <v>37</v>
      </c>
      <c r="E28" s="47" t="s">
        <v>37</v>
      </c>
      <c r="F28" s="47" t="s">
        <v>37</v>
      </c>
      <c r="G28" s="47" t="s">
        <v>37</v>
      </c>
      <c r="H28" s="47" t="s">
        <v>37</v>
      </c>
      <c r="I28" s="47" t="s">
        <v>37</v>
      </c>
      <c r="J28" s="47" t="s">
        <v>37</v>
      </c>
      <c r="K28" s="47" t="s">
        <v>37</v>
      </c>
      <c r="L28" s="47" t="s">
        <v>37</v>
      </c>
      <c r="M28" s="47" t="s">
        <v>37</v>
      </c>
      <c r="N28" s="47" t="s">
        <v>37</v>
      </c>
      <c r="O28" s="47" t="s">
        <v>37</v>
      </c>
      <c r="P28" s="47" t="s">
        <v>37</v>
      </c>
      <c r="Q28" s="57">
        <v>-30108</v>
      </c>
      <c r="R28" s="57">
        <v>312867</v>
      </c>
      <c r="S28" s="57">
        <v>216629</v>
      </c>
      <c r="T28" s="57">
        <v>510030</v>
      </c>
      <c r="U28" s="57">
        <v>93363</v>
      </c>
      <c r="V28" s="57">
        <v>158308</v>
      </c>
      <c r="W28" s="57">
        <v>250516</v>
      </c>
      <c r="X28" s="57">
        <v>84553</v>
      </c>
      <c r="Y28" s="57">
        <v>3647</v>
      </c>
      <c r="Z28" s="57">
        <v>288827</v>
      </c>
      <c r="AA28" s="57">
        <v>14883</v>
      </c>
      <c r="AB28" s="57">
        <v>-6883</v>
      </c>
    </row>
    <row r="29" spans="1:28">
      <c r="A29" s="44" t="s">
        <v>729</v>
      </c>
      <c r="B29" s="47" t="s">
        <v>37</v>
      </c>
      <c r="C29" s="47" t="s">
        <v>37</v>
      </c>
      <c r="D29" s="47" t="s">
        <v>37</v>
      </c>
      <c r="E29" s="47" t="s">
        <v>37</v>
      </c>
      <c r="F29" s="47" t="s">
        <v>37</v>
      </c>
      <c r="G29" s="47" t="s">
        <v>37</v>
      </c>
      <c r="H29" s="57">
        <v>-3000</v>
      </c>
      <c r="I29" s="47" t="s">
        <v>37</v>
      </c>
      <c r="J29" s="47" t="s">
        <v>37</v>
      </c>
      <c r="K29" s="57">
        <v>-5146</v>
      </c>
      <c r="L29" s="47" t="s">
        <v>37</v>
      </c>
      <c r="M29" s="47" t="s">
        <v>37</v>
      </c>
      <c r="N29" s="47" t="s">
        <v>37</v>
      </c>
      <c r="O29" s="57">
        <v>-55061</v>
      </c>
      <c r="P29" s="57">
        <v>-21172</v>
      </c>
      <c r="Q29" s="57">
        <v>-240050</v>
      </c>
      <c r="R29" s="47" t="s">
        <v>37</v>
      </c>
      <c r="S29" s="47" t="s">
        <v>37</v>
      </c>
      <c r="T29" s="57">
        <v>6426</v>
      </c>
      <c r="U29" s="47" t="s">
        <v>37</v>
      </c>
      <c r="V29" s="47" t="s">
        <v>37</v>
      </c>
      <c r="W29" s="57">
        <v>8300</v>
      </c>
      <c r="X29" s="47" t="s">
        <v>37</v>
      </c>
      <c r="Y29" s="47" t="s">
        <v>37</v>
      </c>
      <c r="Z29" s="57">
        <v>-15212</v>
      </c>
      <c r="AA29" s="57">
        <v>-8212</v>
      </c>
      <c r="AB29" s="47" t="s">
        <v>37</v>
      </c>
    </row>
    <row r="30" spans="1:28">
      <c r="A30" s="44" t="s">
        <v>730</v>
      </c>
      <c r="B30" s="47" t="s">
        <v>37</v>
      </c>
      <c r="C30" s="57">
        <v>1871</v>
      </c>
      <c r="D30" s="57">
        <v>88</v>
      </c>
      <c r="E30" s="57">
        <v>20</v>
      </c>
      <c r="F30" s="57">
        <v>-7283</v>
      </c>
      <c r="G30" s="57">
        <v>-7062</v>
      </c>
      <c r="H30" s="57">
        <v>19704</v>
      </c>
      <c r="I30" s="57">
        <v>-44390</v>
      </c>
      <c r="J30" s="57">
        <v>162021</v>
      </c>
      <c r="K30" s="47" t="s">
        <v>37</v>
      </c>
      <c r="L30" s="57">
        <v>-760</v>
      </c>
      <c r="M30" s="57">
        <v>-838</v>
      </c>
      <c r="N30" s="57">
        <v>132787</v>
      </c>
      <c r="O30" s="57">
        <v>92044</v>
      </c>
      <c r="P30" s="47" t="s">
        <v>37</v>
      </c>
      <c r="Q30" s="47" t="s">
        <v>37</v>
      </c>
      <c r="R30" s="47" t="s">
        <v>37</v>
      </c>
      <c r="S30" s="47" t="s">
        <v>37</v>
      </c>
      <c r="T30" s="47" t="s">
        <v>37</v>
      </c>
      <c r="U30" s="47" t="s">
        <v>37</v>
      </c>
      <c r="V30" s="47" t="s">
        <v>37</v>
      </c>
      <c r="W30" s="47" t="s">
        <v>37</v>
      </c>
      <c r="X30" s="47" t="s">
        <v>37</v>
      </c>
      <c r="Y30" s="47" t="s">
        <v>37</v>
      </c>
      <c r="Z30" s="47" t="s">
        <v>37</v>
      </c>
      <c r="AA30" s="47" t="s">
        <v>37</v>
      </c>
      <c r="AB30" s="47" t="s">
        <v>37</v>
      </c>
    </row>
    <row r="31" spans="1:28">
      <c r="A31" s="44" t="s">
        <v>731</v>
      </c>
      <c r="B31" s="47" t="s">
        <v>37</v>
      </c>
      <c r="C31" s="47" t="s">
        <v>37</v>
      </c>
      <c r="D31" s="47" t="s">
        <v>37</v>
      </c>
      <c r="E31" s="47" t="s">
        <v>37</v>
      </c>
      <c r="F31" s="47" t="s">
        <v>37</v>
      </c>
      <c r="G31" s="47" t="s">
        <v>37</v>
      </c>
      <c r="H31" s="57">
        <v>-10572</v>
      </c>
      <c r="I31" s="57">
        <v>-47000</v>
      </c>
      <c r="J31" s="47" t="s">
        <v>37</v>
      </c>
      <c r="K31" s="47" t="s">
        <v>37</v>
      </c>
      <c r="L31" s="47" t="s">
        <v>37</v>
      </c>
      <c r="M31" s="47" t="s">
        <v>37</v>
      </c>
      <c r="N31" s="47" t="s">
        <v>37</v>
      </c>
      <c r="O31" s="47" t="s">
        <v>37</v>
      </c>
      <c r="P31" s="47" t="s">
        <v>37</v>
      </c>
      <c r="Q31" s="47" t="s">
        <v>37</v>
      </c>
      <c r="R31" s="47" t="s">
        <v>37</v>
      </c>
      <c r="S31" s="47" t="s">
        <v>37</v>
      </c>
      <c r="T31" s="47" t="s">
        <v>37</v>
      </c>
      <c r="U31" s="47" t="s">
        <v>37</v>
      </c>
      <c r="V31" s="47" t="s">
        <v>37</v>
      </c>
      <c r="W31" s="47" t="s">
        <v>37</v>
      </c>
      <c r="X31" s="47" t="s">
        <v>37</v>
      </c>
      <c r="Y31" s="47" t="s">
        <v>37</v>
      </c>
      <c r="Z31" s="47" t="s">
        <v>37</v>
      </c>
      <c r="AA31" s="47" t="s">
        <v>37</v>
      </c>
      <c r="AB31" s="47" t="s">
        <v>37</v>
      </c>
    </row>
    <row r="32" spans="1:28">
      <c r="A32" s="44" t="s">
        <v>732</v>
      </c>
      <c r="B32" s="47" t="s">
        <v>37</v>
      </c>
      <c r="C32" s="47" t="s">
        <v>37</v>
      </c>
      <c r="D32" s="47" t="s">
        <v>37</v>
      </c>
      <c r="E32" s="47" t="s">
        <v>37</v>
      </c>
      <c r="F32" s="47" t="s">
        <v>37</v>
      </c>
      <c r="G32" s="47" t="s">
        <v>37</v>
      </c>
      <c r="H32" s="47" t="s">
        <v>37</v>
      </c>
      <c r="I32" s="47" t="s">
        <v>37</v>
      </c>
      <c r="J32" s="47" t="s">
        <v>37</v>
      </c>
      <c r="K32" s="47" t="s">
        <v>37</v>
      </c>
      <c r="L32" s="47" t="s">
        <v>37</v>
      </c>
      <c r="M32" s="47" t="s">
        <v>37</v>
      </c>
      <c r="N32" s="47" t="s">
        <v>37</v>
      </c>
      <c r="O32" s="47" t="s">
        <v>37</v>
      </c>
      <c r="P32" s="47" t="s">
        <v>37</v>
      </c>
      <c r="Q32" s="47" t="s">
        <v>37</v>
      </c>
      <c r="R32" s="47" t="s">
        <v>37</v>
      </c>
      <c r="S32" s="47" t="s">
        <v>37</v>
      </c>
      <c r="T32" s="47" t="s">
        <v>37</v>
      </c>
      <c r="U32" s="47" t="s">
        <v>37</v>
      </c>
      <c r="V32" s="47" t="s">
        <v>37</v>
      </c>
      <c r="W32" s="47" t="s">
        <v>37</v>
      </c>
      <c r="X32" s="47" t="s">
        <v>37</v>
      </c>
      <c r="Y32" s="47" t="s">
        <v>37</v>
      </c>
      <c r="Z32" s="57">
        <v>17900</v>
      </c>
      <c r="AA32" s="57">
        <v>10500</v>
      </c>
      <c r="AB32" s="57">
        <v>2700</v>
      </c>
    </row>
    <row r="33" spans="1:28">
      <c r="A33" s="44" t="s">
        <v>733</v>
      </c>
      <c r="B33" s="47" t="s">
        <v>37</v>
      </c>
      <c r="C33" s="47" t="s">
        <v>37</v>
      </c>
      <c r="D33" s="47" t="s">
        <v>37</v>
      </c>
      <c r="E33" s="47" t="s">
        <v>37</v>
      </c>
      <c r="F33" s="47" t="s">
        <v>37</v>
      </c>
      <c r="G33" s="47" t="s">
        <v>37</v>
      </c>
      <c r="H33" s="47" t="s">
        <v>37</v>
      </c>
      <c r="I33" s="47" t="s">
        <v>37</v>
      </c>
      <c r="J33" s="47" t="s">
        <v>37</v>
      </c>
      <c r="K33" s="47" t="s">
        <v>37</v>
      </c>
      <c r="L33" s="47" t="s">
        <v>37</v>
      </c>
      <c r="M33" s="47" t="s">
        <v>37</v>
      </c>
      <c r="N33" s="47" t="s">
        <v>37</v>
      </c>
      <c r="O33" s="47" t="s">
        <v>37</v>
      </c>
      <c r="P33" s="47" t="s">
        <v>37</v>
      </c>
      <c r="Q33" s="47" t="s">
        <v>37</v>
      </c>
      <c r="R33" s="47" t="s">
        <v>37</v>
      </c>
      <c r="S33" s="47" t="s">
        <v>37</v>
      </c>
      <c r="T33" s="47" t="s">
        <v>37</v>
      </c>
      <c r="U33" s="47" t="s">
        <v>37</v>
      </c>
      <c r="V33" s="47" t="s">
        <v>37</v>
      </c>
      <c r="W33" s="47" t="s">
        <v>37</v>
      </c>
      <c r="X33" s="47" t="s">
        <v>37</v>
      </c>
      <c r="Y33" s="47" t="s">
        <v>37</v>
      </c>
      <c r="Z33" s="47" t="s">
        <v>37</v>
      </c>
      <c r="AA33" s="57">
        <v>68000</v>
      </c>
      <c r="AB33" s="47" t="s">
        <v>37</v>
      </c>
    </row>
    <row r="34" spans="1:28">
      <c r="A34" s="44" t="s">
        <v>734</v>
      </c>
      <c r="B34" s="47" t="s">
        <v>37</v>
      </c>
      <c r="C34" s="47" t="s">
        <v>37</v>
      </c>
      <c r="D34" s="47" t="s">
        <v>37</v>
      </c>
      <c r="E34" s="47" t="s">
        <v>37</v>
      </c>
      <c r="F34" s="47" t="s">
        <v>37</v>
      </c>
      <c r="G34" s="57">
        <v>-12000</v>
      </c>
      <c r="H34" s="47" t="s">
        <v>37</v>
      </c>
      <c r="I34" s="57">
        <v>273</v>
      </c>
      <c r="J34" s="57">
        <v>14577</v>
      </c>
      <c r="K34" s="57">
        <v>-10581</v>
      </c>
      <c r="L34" s="47" t="s">
        <v>37</v>
      </c>
      <c r="M34" s="47" t="s">
        <v>37</v>
      </c>
      <c r="N34" s="47" t="s">
        <v>37</v>
      </c>
      <c r="O34" s="47" t="s">
        <v>37</v>
      </c>
      <c r="P34" s="57">
        <v>-20330</v>
      </c>
      <c r="Q34" s="47" t="s">
        <v>37</v>
      </c>
      <c r="R34" s="57">
        <v>-350688</v>
      </c>
      <c r="S34" s="47" t="s">
        <v>37</v>
      </c>
      <c r="T34" s="47" t="s">
        <v>37</v>
      </c>
      <c r="U34" s="47" t="s">
        <v>37</v>
      </c>
      <c r="V34" s="57">
        <v>-127573</v>
      </c>
      <c r="W34" s="57">
        <v>-120953</v>
      </c>
      <c r="X34" s="57">
        <v>-136777</v>
      </c>
      <c r="Y34" s="57">
        <v>-128618</v>
      </c>
      <c r="Z34" s="57">
        <v>-15212</v>
      </c>
      <c r="AA34" s="57">
        <v>-124468</v>
      </c>
      <c r="AB34" s="57">
        <v>-18846</v>
      </c>
    </row>
    <row r="35" spans="1:28">
      <c r="A35" s="38" t="s">
        <v>735</v>
      </c>
      <c r="B35" s="168">
        <v>64067</v>
      </c>
      <c r="C35" s="168">
        <v>104186</v>
      </c>
      <c r="D35" s="168">
        <v>138963</v>
      </c>
      <c r="E35" s="168">
        <v>208403</v>
      </c>
      <c r="F35" s="168">
        <v>235749</v>
      </c>
      <c r="G35" s="168">
        <v>279193</v>
      </c>
      <c r="H35" s="168">
        <v>317187</v>
      </c>
      <c r="I35" s="168">
        <v>266968</v>
      </c>
      <c r="J35" s="168">
        <v>542136</v>
      </c>
      <c r="K35" s="168">
        <v>438794</v>
      </c>
      <c r="L35" s="168">
        <v>460178</v>
      </c>
      <c r="M35" s="168">
        <v>459220</v>
      </c>
      <c r="N35" s="168">
        <v>741097</v>
      </c>
      <c r="O35" s="168">
        <v>663283</v>
      </c>
      <c r="P35" s="168">
        <v>603141</v>
      </c>
      <c r="Q35" s="168">
        <v>382042</v>
      </c>
      <c r="R35" s="168">
        <v>757845</v>
      </c>
      <c r="S35" s="168">
        <v>1257495</v>
      </c>
      <c r="T35" s="168">
        <v>1578957</v>
      </c>
      <c r="U35" s="168">
        <v>1406331</v>
      </c>
      <c r="V35" s="168">
        <v>1650250</v>
      </c>
      <c r="W35" s="168">
        <v>2159545</v>
      </c>
      <c r="X35" s="168">
        <v>2164384</v>
      </c>
      <c r="Y35" s="168">
        <v>2268246</v>
      </c>
      <c r="Z35" s="168">
        <v>2859241</v>
      </c>
      <c r="AA35" s="168">
        <v>2453242</v>
      </c>
      <c r="AB35" s="168">
        <v>790107</v>
      </c>
    </row>
    <row r="36" spans="1:28">
      <c r="A36" s="44" t="s">
        <v>30</v>
      </c>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row>
    <row r="37" spans="1:28">
      <c r="A37" s="44" t="s">
        <v>736</v>
      </c>
      <c r="B37" s="47" t="s">
        <v>37</v>
      </c>
      <c r="C37" s="47" t="s">
        <v>37</v>
      </c>
      <c r="D37" s="47" t="s">
        <v>37</v>
      </c>
      <c r="E37" s="47" t="s">
        <v>37</v>
      </c>
      <c r="F37" s="47" t="s">
        <v>37</v>
      </c>
      <c r="G37" s="57">
        <v>-3374</v>
      </c>
      <c r="H37" s="47" t="s">
        <v>37</v>
      </c>
      <c r="I37" s="47" t="s">
        <v>37</v>
      </c>
      <c r="J37" s="47" t="s">
        <v>37</v>
      </c>
      <c r="K37" s="57">
        <v>7597</v>
      </c>
      <c r="L37" s="57">
        <v>11770</v>
      </c>
      <c r="M37" s="57">
        <v>16229</v>
      </c>
      <c r="N37" s="57">
        <v>11370</v>
      </c>
      <c r="O37" s="57">
        <v>-11322</v>
      </c>
      <c r="P37" s="57">
        <v>3581</v>
      </c>
      <c r="Q37" s="57">
        <v>-5220</v>
      </c>
      <c r="R37" s="57">
        <v>4331</v>
      </c>
      <c r="S37" s="57">
        <v>11595</v>
      </c>
      <c r="T37" s="57">
        <v>15715</v>
      </c>
      <c r="U37" s="57">
        <v>39538</v>
      </c>
      <c r="V37" s="57">
        <v>28085</v>
      </c>
      <c r="W37" s="57">
        <v>20170</v>
      </c>
      <c r="X37" s="57">
        <v>29678</v>
      </c>
      <c r="Y37" s="57">
        <v>23343</v>
      </c>
      <c r="Z37" s="57">
        <v>36898</v>
      </c>
      <c r="AA37" s="57">
        <v>30054</v>
      </c>
      <c r="AB37" s="57">
        <v>-5845</v>
      </c>
    </row>
    <row r="38" spans="1:28">
      <c r="A38" s="38" t="s">
        <v>737</v>
      </c>
      <c r="B38" s="168">
        <v>64067</v>
      </c>
      <c r="C38" s="168">
        <v>104186</v>
      </c>
      <c r="D38" s="168">
        <v>138963</v>
      </c>
      <c r="E38" s="168">
        <v>208403</v>
      </c>
      <c r="F38" s="168">
        <v>235749</v>
      </c>
      <c r="G38" s="168">
        <v>282567</v>
      </c>
      <c r="H38" s="168">
        <v>317187</v>
      </c>
      <c r="I38" s="168">
        <v>266968</v>
      </c>
      <c r="J38" s="168">
        <v>542136</v>
      </c>
      <c r="K38" s="168">
        <v>431197</v>
      </c>
      <c r="L38" s="168">
        <v>448408</v>
      </c>
      <c r="M38" s="168">
        <v>442991</v>
      </c>
      <c r="N38" s="168">
        <v>729727</v>
      </c>
      <c r="O38" s="168">
        <v>674605</v>
      </c>
      <c r="P38" s="168">
        <v>599560</v>
      </c>
      <c r="Q38" s="168">
        <v>387262</v>
      </c>
      <c r="R38" s="168">
        <v>753514</v>
      </c>
      <c r="S38" s="168">
        <v>1245900</v>
      </c>
      <c r="T38" s="168">
        <v>1563242</v>
      </c>
      <c r="U38" s="168">
        <v>1366793</v>
      </c>
      <c r="V38" s="168">
        <v>1622165</v>
      </c>
      <c r="W38" s="168">
        <v>2139375</v>
      </c>
      <c r="X38" s="168">
        <v>2134706</v>
      </c>
      <c r="Y38" s="168">
        <v>2244903</v>
      </c>
      <c r="Z38" s="168">
        <v>2822343</v>
      </c>
      <c r="AA38" s="168">
        <v>2423188</v>
      </c>
      <c r="AB38" s="168">
        <v>795952</v>
      </c>
    </row>
    <row r="39" spans="1:28">
      <c r="A39" s="44" t="s">
        <v>738</v>
      </c>
      <c r="B39" s="47" t="s">
        <v>37</v>
      </c>
      <c r="C39" s="47" t="s">
        <v>37</v>
      </c>
      <c r="D39" s="47" t="s">
        <v>37</v>
      </c>
      <c r="E39" s="47" t="s">
        <v>37</v>
      </c>
      <c r="F39" s="47" t="s">
        <v>37</v>
      </c>
      <c r="G39" s="47" t="s">
        <v>37</v>
      </c>
      <c r="H39" s="47" t="s">
        <v>37</v>
      </c>
      <c r="I39" s="47" t="s">
        <v>37</v>
      </c>
      <c r="J39" s="57">
        <v>18677</v>
      </c>
      <c r="K39" s="57">
        <v>45751</v>
      </c>
      <c r="L39" s="57">
        <v>-7837</v>
      </c>
      <c r="M39" s="57">
        <v>122342</v>
      </c>
      <c r="N39" s="57">
        <v>502</v>
      </c>
      <c r="O39" s="57">
        <v>-35369</v>
      </c>
      <c r="P39" s="57">
        <v>-25</v>
      </c>
      <c r="Q39" s="47" t="s">
        <v>37</v>
      </c>
      <c r="R39" s="47" t="s">
        <v>37</v>
      </c>
      <c r="S39" s="47" t="s">
        <v>37</v>
      </c>
      <c r="T39" s="57">
        <v>156390</v>
      </c>
      <c r="U39" s="57">
        <v>184797</v>
      </c>
      <c r="V39" s="57">
        <v>29361</v>
      </c>
      <c r="W39" s="47" t="s">
        <v>37</v>
      </c>
      <c r="X39" s="47" t="s">
        <v>37</v>
      </c>
      <c r="Y39" s="47" t="s">
        <v>37</v>
      </c>
      <c r="Z39" s="47" t="s">
        <v>37</v>
      </c>
      <c r="AA39" s="47" t="s">
        <v>37</v>
      </c>
      <c r="AB39" s="47" t="s">
        <v>37</v>
      </c>
    </row>
    <row r="40" spans="1:28">
      <c r="A40" s="44" t="s">
        <v>739</v>
      </c>
      <c r="B40" s="57">
        <v>-17980</v>
      </c>
      <c r="C40" s="57">
        <v>-3285</v>
      </c>
      <c r="D40" s="57">
        <v>-3521</v>
      </c>
      <c r="E40" s="57">
        <v>58</v>
      </c>
      <c r="F40" s="57">
        <v>7146</v>
      </c>
      <c r="G40" s="57">
        <v>-6705</v>
      </c>
      <c r="H40" s="57">
        <v>-12991</v>
      </c>
      <c r="I40" s="57">
        <v>-1700</v>
      </c>
      <c r="J40" s="47" t="s">
        <v>37</v>
      </c>
      <c r="K40" s="47" t="s">
        <v>37</v>
      </c>
      <c r="L40" s="47" t="s">
        <v>37</v>
      </c>
      <c r="M40" s="47" t="s">
        <v>37</v>
      </c>
      <c r="N40" s="47" t="s">
        <v>37</v>
      </c>
      <c r="O40" s="47" t="s">
        <v>37</v>
      </c>
      <c r="P40" s="47" t="s">
        <v>37</v>
      </c>
      <c r="Q40" s="47" t="s">
        <v>37</v>
      </c>
      <c r="R40" s="47" t="s">
        <v>37</v>
      </c>
      <c r="S40" s="47" t="s">
        <v>37</v>
      </c>
      <c r="T40" s="47" t="s">
        <v>37</v>
      </c>
      <c r="U40" s="47" t="s">
        <v>37</v>
      </c>
      <c r="V40" s="47" t="s">
        <v>37</v>
      </c>
      <c r="W40" s="47" t="s">
        <v>37</v>
      </c>
      <c r="X40" s="47" t="s">
        <v>37</v>
      </c>
      <c r="Y40" s="47" t="s">
        <v>37</v>
      </c>
      <c r="Z40" s="47" t="s">
        <v>37</v>
      </c>
      <c r="AA40" s="47" t="s">
        <v>37</v>
      </c>
      <c r="AB40" s="47" t="s">
        <v>37</v>
      </c>
    </row>
    <row r="41" spans="1:28">
      <c r="A41" s="44" t="s">
        <v>740</v>
      </c>
      <c r="B41" s="57">
        <v>46087</v>
      </c>
      <c r="C41" s="57">
        <v>100901</v>
      </c>
      <c r="D41" s="57">
        <v>135442</v>
      </c>
      <c r="E41" s="57">
        <v>208461</v>
      </c>
      <c r="F41" s="57">
        <v>242895</v>
      </c>
      <c r="G41" s="57">
        <v>275862</v>
      </c>
      <c r="H41" s="57">
        <v>304196</v>
      </c>
      <c r="I41" s="57">
        <v>265268</v>
      </c>
      <c r="J41" s="57">
        <v>560813</v>
      </c>
      <c r="K41" s="57">
        <v>476948</v>
      </c>
      <c r="L41" s="57">
        <v>440571</v>
      </c>
      <c r="M41" s="57">
        <v>565333</v>
      </c>
      <c r="N41" s="57">
        <v>730229</v>
      </c>
      <c r="O41" s="57">
        <v>639236</v>
      </c>
      <c r="P41" s="57">
        <v>599535</v>
      </c>
      <c r="Q41" s="57">
        <v>387262</v>
      </c>
      <c r="R41" s="57">
        <v>753514</v>
      </c>
      <c r="S41" s="57">
        <v>1245900</v>
      </c>
      <c r="T41" s="57">
        <v>1719632</v>
      </c>
      <c r="U41" s="57">
        <v>1551590</v>
      </c>
      <c r="V41" s="57">
        <v>1651526</v>
      </c>
      <c r="W41" s="57">
        <v>2139375</v>
      </c>
      <c r="X41" s="57">
        <v>2134706</v>
      </c>
      <c r="Y41" s="57">
        <v>2244903</v>
      </c>
      <c r="Z41" s="57">
        <v>2822343</v>
      </c>
      <c r="AA41" s="57">
        <v>2423188</v>
      </c>
      <c r="AB41" s="57">
        <v>795952</v>
      </c>
    </row>
    <row r="42" spans="1:28">
      <c r="A42" s="44" t="s">
        <v>89</v>
      </c>
      <c r="B42" s="57">
        <v>-22710</v>
      </c>
      <c r="C42" s="57">
        <v>-41630</v>
      </c>
      <c r="D42" s="57">
        <v>-50187</v>
      </c>
      <c r="E42" s="57">
        <v>-71224</v>
      </c>
      <c r="F42" s="57">
        <v>-75642</v>
      </c>
      <c r="G42" s="57">
        <v>-71477</v>
      </c>
      <c r="H42" s="57">
        <v>-80860</v>
      </c>
      <c r="I42" s="57">
        <v>-66119</v>
      </c>
      <c r="J42" s="57">
        <v>-138225</v>
      </c>
      <c r="K42" s="57">
        <v>-108233</v>
      </c>
      <c r="L42" s="57">
        <v>-97578</v>
      </c>
      <c r="M42" s="57">
        <v>-89584</v>
      </c>
      <c r="N42" s="57">
        <v>-166389</v>
      </c>
      <c r="O42" s="57">
        <v>-147997</v>
      </c>
      <c r="P42" s="57">
        <v>-135899</v>
      </c>
      <c r="Q42" s="57">
        <v>-77855</v>
      </c>
      <c r="R42" s="57">
        <v>-136476</v>
      </c>
      <c r="S42" s="57">
        <v>-221101</v>
      </c>
      <c r="T42" s="57">
        <v>-285136</v>
      </c>
      <c r="U42" s="57">
        <v>-231949</v>
      </c>
      <c r="V42" s="57">
        <v>-242938</v>
      </c>
      <c r="W42" s="57">
        <v>-311655</v>
      </c>
      <c r="X42" s="57">
        <v>-295810</v>
      </c>
      <c r="Y42" s="57">
        <v>-296941</v>
      </c>
      <c r="Z42" s="57">
        <v>-382285</v>
      </c>
      <c r="AA42" s="57">
        <v>-321604</v>
      </c>
      <c r="AB42" s="57">
        <v>-102465</v>
      </c>
    </row>
    <row r="43" spans="1:28">
      <c r="A43" s="38" t="s">
        <v>741</v>
      </c>
      <c r="B43" s="168">
        <v>23377</v>
      </c>
      <c r="C43" s="168">
        <v>59271</v>
      </c>
      <c r="D43" s="168">
        <v>85255</v>
      </c>
      <c r="E43" s="168">
        <v>137237</v>
      </c>
      <c r="F43" s="168">
        <v>167253</v>
      </c>
      <c r="G43" s="168">
        <v>204385</v>
      </c>
      <c r="H43" s="168">
        <v>223336</v>
      </c>
      <c r="I43" s="168">
        <v>199149</v>
      </c>
      <c r="J43" s="168">
        <v>422588</v>
      </c>
      <c r="K43" s="168">
        <v>368715</v>
      </c>
      <c r="L43" s="168">
        <v>342993</v>
      </c>
      <c r="M43" s="168">
        <v>475749</v>
      </c>
      <c r="N43" s="168">
        <v>563840</v>
      </c>
      <c r="O43" s="168">
        <v>491239</v>
      </c>
      <c r="P43" s="168">
        <v>463636</v>
      </c>
      <c r="Q43" s="168">
        <v>309407</v>
      </c>
      <c r="R43" s="168">
        <v>617038</v>
      </c>
      <c r="S43" s="168">
        <v>1024799</v>
      </c>
      <c r="T43" s="168">
        <v>1434496</v>
      </c>
      <c r="U43" s="168">
        <v>1319641</v>
      </c>
      <c r="V43" s="168">
        <v>1408588</v>
      </c>
      <c r="W43" s="168">
        <v>1827720</v>
      </c>
      <c r="X43" s="168">
        <v>1838896</v>
      </c>
      <c r="Y43" s="168">
        <v>1947962</v>
      </c>
      <c r="Z43" s="168">
        <v>2440058</v>
      </c>
      <c r="AA43" s="168">
        <v>2101584</v>
      </c>
      <c r="AB43" s="168">
        <v>693487</v>
      </c>
    </row>
    <row r="44" spans="1:28">
      <c r="A44" s="44" t="s">
        <v>742</v>
      </c>
      <c r="B44" s="47" t="s">
        <v>37</v>
      </c>
      <c r="C44" s="57">
        <v>1490</v>
      </c>
      <c r="D44" s="57">
        <v>12694</v>
      </c>
      <c r="E44" s="57">
        <v>29248</v>
      </c>
      <c r="F44" s="57">
        <v>33655</v>
      </c>
      <c r="G44" s="57">
        <v>37071</v>
      </c>
      <c r="H44" s="57">
        <v>36808</v>
      </c>
      <c r="I44" s="57">
        <v>51360</v>
      </c>
      <c r="J44" s="57">
        <v>64201</v>
      </c>
      <c r="K44" s="57">
        <v>55138</v>
      </c>
      <c r="L44" s="57">
        <v>42346</v>
      </c>
      <c r="M44" s="57">
        <v>73854</v>
      </c>
      <c r="N44" s="57">
        <v>77695</v>
      </c>
      <c r="O44" s="57">
        <v>55075</v>
      </c>
      <c r="P44" s="57">
        <v>41119</v>
      </c>
      <c r="Q44" s="57">
        <v>26309</v>
      </c>
      <c r="R44" s="57">
        <v>6614</v>
      </c>
      <c r="S44" s="57">
        <v>3337</v>
      </c>
      <c r="T44" s="57">
        <v>3337</v>
      </c>
      <c r="U44" s="57">
        <v>3337</v>
      </c>
      <c r="V44" s="57">
        <v>3337</v>
      </c>
      <c r="W44" s="57">
        <v>3337</v>
      </c>
      <c r="X44" s="57">
        <v>3337</v>
      </c>
      <c r="Y44" s="57">
        <v>3337</v>
      </c>
      <c r="Z44" s="57">
        <v>3337</v>
      </c>
      <c r="AA44" s="57">
        <v>3337</v>
      </c>
      <c r="AB44" s="57">
        <v>1669</v>
      </c>
    </row>
    <row r="45" spans="1:28">
      <c r="A45" s="44" t="s">
        <v>743</v>
      </c>
      <c r="B45" s="57">
        <v>23377</v>
      </c>
      <c r="C45" s="57">
        <v>57781</v>
      </c>
      <c r="D45" s="57">
        <v>72561</v>
      </c>
      <c r="E45" s="57">
        <v>107989</v>
      </c>
      <c r="F45" s="57">
        <v>133598</v>
      </c>
      <c r="G45" s="57">
        <v>167314</v>
      </c>
      <c r="H45" s="57">
        <v>186528</v>
      </c>
      <c r="I45" s="57">
        <v>147789</v>
      </c>
      <c r="J45" s="57">
        <v>358387</v>
      </c>
      <c r="K45" s="57">
        <v>313577</v>
      </c>
      <c r="L45" s="57">
        <v>300647</v>
      </c>
      <c r="M45" s="57">
        <v>401895</v>
      </c>
      <c r="N45" s="57">
        <v>486145</v>
      </c>
      <c r="O45" s="57">
        <v>436164</v>
      </c>
      <c r="P45" s="57">
        <v>422517</v>
      </c>
      <c r="Q45" s="57">
        <v>283098</v>
      </c>
      <c r="R45" s="57">
        <v>610424</v>
      </c>
      <c r="S45" s="57">
        <v>1021462</v>
      </c>
      <c r="T45" s="57">
        <v>1431159</v>
      </c>
      <c r="U45" s="57">
        <v>1316304</v>
      </c>
      <c r="V45" s="57">
        <v>1405251</v>
      </c>
      <c r="W45" s="57">
        <v>1824383</v>
      </c>
      <c r="X45" s="57">
        <v>1835559</v>
      </c>
      <c r="Y45" s="57">
        <v>1944625</v>
      </c>
      <c r="Z45" s="57">
        <v>2436721</v>
      </c>
      <c r="AA45" s="57">
        <v>2098247</v>
      </c>
      <c r="AB45" s="57">
        <v>691818</v>
      </c>
    </row>
    <row r="46" spans="1:28">
      <c r="A46" s="44" t="s">
        <v>744</v>
      </c>
      <c r="B46" s="57">
        <v>41357</v>
      </c>
      <c r="C46" s="57">
        <v>61066</v>
      </c>
      <c r="D46" s="57">
        <v>76082</v>
      </c>
      <c r="E46" s="57">
        <v>107931</v>
      </c>
      <c r="F46" s="57">
        <v>126452</v>
      </c>
      <c r="G46" s="57">
        <v>174019</v>
      </c>
      <c r="H46" s="57">
        <v>199519</v>
      </c>
      <c r="I46" s="57">
        <v>149489</v>
      </c>
      <c r="J46" s="57">
        <v>339710</v>
      </c>
      <c r="K46" s="57">
        <v>267826</v>
      </c>
      <c r="L46" s="57">
        <v>308484</v>
      </c>
      <c r="M46" s="57">
        <v>279553</v>
      </c>
      <c r="N46" s="57">
        <v>485643</v>
      </c>
      <c r="O46" s="57">
        <v>471533</v>
      </c>
      <c r="P46" s="57">
        <v>422542</v>
      </c>
      <c r="Q46" s="57">
        <v>283098</v>
      </c>
      <c r="R46" s="57">
        <v>610424</v>
      </c>
      <c r="S46" s="57">
        <v>1021462</v>
      </c>
      <c r="T46" s="57">
        <v>1274769</v>
      </c>
      <c r="U46" s="57">
        <v>1131507</v>
      </c>
      <c r="V46" s="57">
        <v>1375890</v>
      </c>
      <c r="W46" s="57">
        <v>1824383</v>
      </c>
      <c r="X46" s="57">
        <v>1835559</v>
      </c>
      <c r="Y46" s="57">
        <v>1944625</v>
      </c>
      <c r="Z46" s="57">
        <v>2436721</v>
      </c>
      <c r="AA46" s="57">
        <v>2098247</v>
      </c>
      <c r="AB46" s="57">
        <v>691818</v>
      </c>
    </row>
    <row r="47" spans="1:28">
      <c r="A47" s="38" t="s">
        <v>745</v>
      </c>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row>
    <row r="48" spans="1:28">
      <c r="A48" s="44" t="s">
        <v>746</v>
      </c>
      <c r="B48" s="128">
        <v>0.497</v>
      </c>
      <c r="C48" s="128">
        <v>1.0449999999999999</v>
      </c>
      <c r="D48" s="128">
        <v>0.98599999999999999</v>
      </c>
      <c r="E48" s="128">
        <v>1.081</v>
      </c>
      <c r="F48" s="128">
        <v>1.056</v>
      </c>
      <c r="G48" s="128">
        <v>0.97199999999999998</v>
      </c>
      <c r="H48" s="128">
        <v>1.079</v>
      </c>
      <c r="I48" s="128">
        <v>0.85599999999999998</v>
      </c>
      <c r="J48" s="128">
        <v>1.992</v>
      </c>
      <c r="K48" s="128">
        <v>1.655</v>
      </c>
      <c r="L48" s="128">
        <v>1.4450000000000001</v>
      </c>
      <c r="M48" s="128">
        <v>1.825</v>
      </c>
      <c r="N48" s="128">
        <v>2.2000000000000002</v>
      </c>
      <c r="O48" s="128">
        <v>1.956</v>
      </c>
      <c r="P48" s="128">
        <v>1.875</v>
      </c>
      <c r="Q48" s="128">
        <v>1.06</v>
      </c>
      <c r="R48" s="128">
        <v>2.097</v>
      </c>
      <c r="S48" s="128">
        <v>3.48</v>
      </c>
      <c r="T48" s="128">
        <v>4.7210000000000001</v>
      </c>
      <c r="U48" s="128">
        <v>4.2430000000000003</v>
      </c>
      <c r="V48" s="128">
        <v>4.5220000000000002</v>
      </c>
      <c r="W48" s="128">
        <v>5.883</v>
      </c>
      <c r="X48" s="128">
        <v>5.87</v>
      </c>
      <c r="Y48" s="128">
        <v>6.242</v>
      </c>
      <c r="Z48" s="128">
        <v>7.87</v>
      </c>
      <c r="AA48" s="128">
        <v>6.8140000000000001</v>
      </c>
      <c r="AB48" s="128">
        <v>2.2589999999999999</v>
      </c>
    </row>
    <row r="49" spans="1:28">
      <c r="A49" s="44" t="s">
        <v>747</v>
      </c>
      <c r="B49" s="128">
        <v>0.88</v>
      </c>
      <c r="C49" s="128">
        <v>1.1040000000000001</v>
      </c>
      <c r="D49" s="128">
        <v>1.034</v>
      </c>
      <c r="E49" s="128">
        <v>1.08</v>
      </c>
      <c r="F49" s="128">
        <v>0.999</v>
      </c>
      <c r="G49" s="128">
        <v>1.0109999999999999</v>
      </c>
      <c r="H49" s="128">
        <v>1.1539999999999999</v>
      </c>
      <c r="I49" s="128">
        <v>0.86599999999999999</v>
      </c>
      <c r="J49" s="128">
        <v>1.8879999999999999</v>
      </c>
      <c r="K49" s="128">
        <v>1.4139999999999999</v>
      </c>
      <c r="L49" s="128">
        <v>1.4830000000000001</v>
      </c>
      <c r="M49" s="128">
        <v>1.2689999999999999</v>
      </c>
      <c r="N49" s="128">
        <v>2.1970000000000001</v>
      </c>
      <c r="O49" s="128">
        <v>2.1150000000000002</v>
      </c>
      <c r="P49" s="128">
        <v>1.875</v>
      </c>
      <c r="Q49" s="128">
        <v>1.06</v>
      </c>
      <c r="R49" s="128">
        <v>2.097</v>
      </c>
      <c r="S49" s="128">
        <v>3.48</v>
      </c>
      <c r="T49" s="128">
        <v>4.2050000000000001</v>
      </c>
      <c r="U49" s="128">
        <v>3.6469999999999998</v>
      </c>
      <c r="V49" s="128">
        <v>4.4279999999999999</v>
      </c>
      <c r="W49" s="128">
        <v>5.883</v>
      </c>
      <c r="X49" s="128">
        <v>5.87</v>
      </c>
      <c r="Y49" s="128">
        <v>6.242</v>
      </c>
      <c r="Z49" s="128">
        <v>7.87</v>
      </c>
      <c r="AA49" s="128">
        <v>6.8140000000000001</v>
      </c>
      <c r="AB49" s="128">
        <v>2.2589999999999999</v>
      </c>
    </row>
    <row r="50" spans="1:28">
      <c r="A50" s="44" t="s">
        <v>748</v>
      </c>
      <c r="B50" s="57">
        <v>47012447</v>
      </c>
      <c r="C50" s="57">
        <v>55312078</v>
      </c>
      <c r="D50" s="57">
        <v>73585602</v>
      </c>
      <c r="E50" s="57">
        <v>99920280</v>
      </c>
      <c r="F50" s="57">
        <v>126522228</v>
      </c>
      <c r="G50" s="57">
        <v>172088590</v>
      </c>
      <c r="H50" s="57">
        <v>172894555</v>
      </c>
      <c r="I50" s="57">
        <v>172669133</v>
      </c>
      <c r="J50" s="57">
        <v>179910355</v>
      </c>
      <c r="K50" s="57">
        <v>189475124</v>
      </c>
      <c r="L50" s="57">
        <v>207989585</v>
      </c>
      <c r="M50" s="57">
        <v>220259480</v>
      </c>
      <c r="N50" s="57">
        <v>221024096</v>
      </c>
      <c r="O50" s="57">
        <v>222998313</v>
      </c>
      <c r="P50" s="57">
        <v>225332593</v>
      </c>
      <c r="Q50" s="57">
        <v>267054946</v>
      </c>
      <c r="R50" s="57">
        <v>291076008</v>
      </c>
      <c r="S50" s="57">
        <v>293504064</v>
      </c>
      <c r="T50" s="57">
        <v>303137350</v>
      </c>
      <c r="U50" s="57">
        <v>310255168</v>
      </c>
      <c r="V50" s="57">
        <v>310731032</v>
      </c>
      <c r="W50" s="57">
        <v>310102746</v>
      </c>
      <c r="X50" s="57">
        <v>312690756</v>
      </c>
      <c r="Y50" s="57">
        <v>311517345</v>
      </c>
      <c r="Z50" s="57">
        <v>309627178</v>
      </c>
      <c r="AA50" s="57">
        <v>307950112</v>
      </c>
      <c r="AB50" s="57">
        <v>306193205</v>
      </c>
    </row>
    <row r="51" spans="1:28">
      <c r="A51" s="44" t="s">
        <v>749</v>
      </c>
      <c r="B51" s="128">
        <v>0.497</v>
      </c>
      <c r="C51" s="128">
        <v>1.04</v>
      </c>
      <c r="D51" s="128">
        <v>0.96199999999999997</v>
      </c>
      <c r="E51" s="128">
        <v>1.081</v>
      </c>
      <c r="F51" s="128">
        <v>1.056</v>
      </c>
      <c r="G51" s="128">
        <v>0.97099999999999997</v>
      </c>
      <c r="H51" s="128">
        <v>1.0780000000000001</v>
      </c>
      <c r="I51" s="128">
        <v>0.85</v>
      </c>
      <c r="J51" s="128">
        <v>1.9850000000000001</v>
      </c>
      <c r="K51" s="128">
        <v>1.65</v>
      </c>
      <c r="L51" s="128">
        <v>1.4410000000000001</v>
      </c>
      <c r="M51" s="128">
        <v>1.819</v>
      </c>
      <c r="N51" s="128">
        <v>2.1920000000000002</v>
      </c>
      <c r="O51" s="128">
        <v>1.9510000000000001</v>
      </c>
      <c r="P51" s="128">
        <v>1.871</v>
      </c>
      <c r="Q51" s="128">
        <v>1.0549999999999999</v>
      </c>
      <c r="R51" s="128">
        <v>2.0950000000000002</v>
      </c>
      <c r="S51" s="128">
        <v>3.48</v>
      </c>
      <c r="T51" s="128">
        <v>4.7210000000000001</v>
      </c>
      <c r="U51" s="128">
        <v>4.2430000000000003</v>
      </c>
      <c r="V51" s="128">
        <v>4.5220000000000002</v>
      </c>
      <c r="W51" s="128">
        <v>5.88</v>
      </c>
      <c r="X51" s="128">
        <v>5.87</v>
      </c>
      <c r="Y51" s="128">
        <v>6.24</v>
      </c>
      <c r="Z51" s="128">
        <v>7.87</v>
      </c>
      <c r="AA51" s="128">
        <v>6.81</v>
      </c>
      <c r="AB51" s="128">
        <v>2.2589999999999999</v>
      </c>
    </row>
    <row r="52" spans="1:28">
      <c r="A52" s="44" t="s">
        <v>750</v>
      </c>
      <c r="B52" s="128">
        <v>0.88</v>
      </c>
      <c r="C52" s="128">
        <v>1.099</v>
      </c>
      <c r="D52" s="128">
        <v>1.01</v>
      </c>
      <c r="E52" s="128">
        <v>1.08</v>
      </c>
      <c r="F52" s="128">
        <v>0.999</v>
      </c>
      <c r="G52" s="128">
        <v>1.01</v>
      </c>
      <c r="H52" s="128">
        <v>1.153</v>
      </c>
      <c r="I52" s="128">
        <v>0.86</v>
      </c>
      <c r="J52" s="128">
        <v>1.8819999999999999</v>
      </c>
      <c r="K52" s="128">
        <v>1.409</v>
      </c>
      <c r="L52" s="128">
        <v>1.478</v>
      </c>
      <c r="M52" s="128">
        <v>1.266</v>
      </c>
      <c r="N52" s="128">
        <v>2.19</v>
      </c>
      <c r="O52" s="128">
        <v>2.109</v>
      </c>
      <c r="P52" s="128">
        <v>1.8720000000000001</v>
      </c>
      <c r="Q52" s="128">
        <v>1.0549999999999999</v>
      </c>
      <c r="R52" s="128">
        <v>2.0950000000000002</v>
      </c>
      <c r="S52" s="128">
        <v>3.48</v>
      </c>
      <c r="T52" s="128">
        <v>4.2050000000000001</v>
      </c>
      <c r="U52" s="128">
        <v>3.6469999999999998</v>
      </c>
      <c r="V52" s="128">
        <v>4.4279999999999999</v>
      </c>
      <c r="W52" s="128">
        <v>5.88</v>
      </c>
      <c r="X52" s="128">
        <v>5.87</v>
      </c>
      <c r="Y52" s="128">
        <v>6.24</v>
      </c>
      <c r="Z52" s="128">
        <v>7.87</v>
      </c>
      <c r="AA52" s="128">
        <v>6.81</v>
      </c>
      <c r="AB52" s="128">
        <v>2.2589999999999999</v>
      </c>
    </row>
    <row r="53" spans="1:28">
      <c r="A53" s="44" t="s">
        <v>751</v>
      </c>
      <c r="B53" s="57">
        <v>47012447</v>
      </c>
      <c r="C53" s="57">
        <v>55421692</v>
      </c>
      <c r="D53" s="57">
        <v>73721134</v>
      </c>
      <c r="E53" s="57">
        <v>100304344</v>
      </c>
      <c r="F53" s="57">
        <v>126879377</v>
      </c>
      <c r="G53" s="57">
        <v>172225592</v>
      </c>
      <c r="H53" s="57">
        <v>172994093</v>
      </c>
      <c r="I53" s="57">
        <v>173027547</v>
      </c>
      <c r="J53" s="57">
        <v>181500942</v>
      </c>
      <c r="K53" s="57">
        <v>190298656</v>
      </c>
      <c r="L53" s="57">
        <v>208856953</v>
      </c>
      <c r="M53" s="57">
        <v>221130490</v>
      </c>
      <c r="N53" s="57">
        <v>221927351</v>
      </c>
      <c r="O53" s="57">
        <v>223776784</v>
      </c>
      <c r="P53" s="57">
        <v>225883650</v>
      </c>
      <c r="Q53" s="57">
        <v>268472150</v>
      </c>
      <c r="R53" s="57">
        <v>291350468</v>
      </c>
      <c r="S53" s="57">
        <v>293573472</v>
      </c>
      <c r="T53" s="57">
        <v>303138422</v>
      </c>
      <c r="U53" s="57">
        <v>310255218</v>
      </c>
      <c r="V53" s="57">
        <v>310731032</v>
      </c>
      <c r="W53" s="57">
        <v>310102746</v>
      </c>
      <c r="X53" s="57">
        <v>312690756</v>
      </c>
      <c r="Y53" s="57">
        <v>311517345</v>
      </c>
      <c r="Z53" s="57">
        <v>309627178</v>
      </c>
      <c r="AA53" s="57">
        <v>307950112</v>
      </c>
      <c r="AB53" s="57">
        <v>306193205</v>
      </c>
    </row>
    <row r="54" spans="1:28">
      <c r="A54" s="44" t="s">
        <v>752</v>
      </c>
      <c r="B54" s="128">
        <v>0.36899999999999999</v>
      </c>
      <c r="C54" s="128">
        <v>0.40300000000000002</v>
      </c>
      <c r="D54" s="128">
        <v>0.55900000000000005</v>
      </c>
      <c r="E54" s="128">
        <v>0.59099999999999997</v>
      </c>
      <c r="F54" s="128">
        <v>0.60299999999999998</v>
      </c>
      <c r="G54" s="128">
        <v>0.66800000000000004</v>
      </c>
      <c r="H54" s="128">
        <v>0.65700000000000003</v>
      </c>
      <c r="I54" s="128">
        <v>0.91300000000000003</v>
      </c>
      <c r="J54" s="128">
        <v>0.502</v>
      </c>
      <c r="K54" s="128">
        <v>0.92800000000000005</v>
      </c>
      <c r="L54" s="128">
        <v>0.91600000000000004</v>
      </c>
      <c r="M54" s="128">
        <v>0.89900000000000002</v>
      </c>
      <c r="N54" s="128">
        <v>0.96699999999999997</v>
      </c>
      <c r="O54" s="128">
        <v>1.0920000000000001</v>
      </c>
      <c r="P54" s="128">
        <v>1.1850000000000001</v>
      </c>
      <c r="Q54" s="128">
        <v>1.248</v>
      </c>
      <c r="R54" s="128">
        <v>1.3879999999999999</v>
      </c>
      <c r="S54" s="128">
        <v>1.4630000000000001</v>
      </c>
      <c r="T54" s="128">
        <v>1.25</v>
      </c>
      <c r="U54" s="128">
        <v>1.897</v>
      </c>
      <c r="V54" s="128">
        <v>2.476</v>
      </c>
      <c r="W54" s="128">
        <v>3.0779999999999998</v>
      </c>
      <c r="X54" s="128">
        <v>3.484</v>
      </c>
      <c r="Y54" s="128">
        <v>3.8479999999999999</v>
      </c>
      <c r="Z54" s="128">
        <v>3.9790000000000001</v>
      </c>
      <c r="AA54" s="128">
        <v>4.0140000000000002</v>
      </c>
      <c r="AB54" s="128">
        <v>1.325</v>
      </c>
    </row>
    <row r="55" spans="1:28">
      <c r="A55" s="44" t="s">
        <v>753</v>
      </c>
      <c r="B55" s="128">
        <v>0.36899999999999999</v>
      </c>
      <c r="C55" s="128">
        <v>0.40300000000000002</v>
      </c>
      <c r="D55" s="128">
        <v>0.55800000000000005</v>
      </c>
      <c r="E55" s="128">
        <v>0.58799999999999997</v>
      </c>
      <c r="F55" s="128">
        <v>0.60099999999999998</v>
      </c>
      <c r="G55" s="128">
        <v>0.66700000000000004</v>
      </c>
      <c r="H55" s="128">
        <v>0.65600000000000003</v>
      </c>
      <c r="I55" s="128">
        <v>0.91100000000000003</v>
      </c>
      <c r="J55" s="128">
        <v>0.497</v>
      </c>
      <c r="K55" s="128">
        <v>0.92400000000000004</v>
      </c>
      <c r="L55" s="128">
        <v>0.91200000000000003</v>
      </c>
      <c r="M55" s="128">
        <v>0.89500000000000002</v>
      </c>
      <c r="N55" s="128">
        <v>0.96299999999999997</v>
      </c>
      <c r="O55" s="128">
        <v>1.0880000000000001</v>
      </c>
      <c r="P55" s="128">
        <v>1.1819999999999999</v>
      </c>
      <c r="Q55" s="128">
        <v>1.242</v>
      </c>
      <c r="R55" s="128">
        <v>1.3859999999999999</v>
      </c>
      <c r="S55" s="128">
        <v>1.4630000000000001</v>
      </c>
      <c r="T55" s="128">
        <v>1.25</v>
      </c>
      <c r="U55" s="128">
        <v>1.897</v>
      </c>
      <c r="V55" s="128">
        <v>2.476</v>
      </c>
      <c r="W55" s="128">
        <v>3.0779999999999998</v>
      </c>
      <c r="X55" s="128">
        <v>3.484</v>
      </c>
      <c r="Y55" s="128">
        <v>3.8479999999999999</v>
      </c>
      <c r="Z55" s="128">
        <v>3.9790000000000001</v>
      </c>
      <c r="AA55" s="128">
        <v>4.0140000000000002</v>
      </c>
      <c r="AB55" s="128">
        <v>1.325</v>
      </c>
    </row>
    <row r="56" spans="1:28">
      <c r="A56" s="44" t="s">
        <v>754</v>
      </c>
      <c r="B56" s="128">
        <v>1.9</v>
      </c>
      <c r="C56" s="128">
        <v>1.97</v>
      </c>
      <c r="D56" s="128">
        <v>1.629</v>
      </c>
      <c r="E56" s="128">
        <v>2.0099999999999998</v>
      </c>
      <c r="F56" s="128">
        <v>2.02</v>
      </c>
      <c r="G56" s="128">
        <v>2.02</v>
      </c>
      <c r="H56" s="128">
        <v>2.02</v>
      </c>
      <c r="I56" s="128">
        <v>2.08</v>
      </c>
      <c r="J56" s="128">
        <v>2.1749999999999998</v>
      </c>
      <c r="K56" s="128">
        <v>2.4</v>
      </c>
      <c r="L56" s="128">
        <v>2.6</v>
      </c>
      <c r="M56" s="128">
        <v>2.8</v>
      </c>
      <c r="N56" s="128">
        <v>3.04</v>
      </c>
      <c r="O56" s="128">
        <v>3.36</v>
      </c>
      <c r="P56" s="128">
        <v>3.6</v>
      </c>
      <c r="Q56" s="128">
        <v>2.7</v>
      </c>
      <c r="R56" s="128">
        <v>2.6</v>
      </c>
      <c r="S56" s="128">
        <v>3.3</v>
      </c>
      <c r="T56" s="128">
        <v>4.0999999999999996</v>
      </c>
      <c r="U56" s="128">
        <v>4.6500000000000004</v>
      </c>
      <c r="V56" s="128">
        <v>5.15</v>
      </c>
      <c r="W56" s="128">
        <v>6.05</v>
      </c>
      <c r="X56" s="128">
        <v>6.5</v>
      </c>
      <c r="Y56" s="128">
        <v>7.15</v>
      </c>
      <c r="Z56" s="128">
        <v>7.9</v>
      </c>
      <c r="AA56" s="128">
        <v>8.3000000000000007</v>
      </c>
      <c r="AB56" s="128">
        <v>3.4</v>
      </c>
    </row>
    <row r="57" spans="1:28">
      <c r="A57" s="44" t="s">
        <v>755</v>
      </c>
      <c r="B57" s="128">
        <v>287.8</v>
      </c>
      <c r="C57" s="128">
        <v>176.79</v>
      </c>
      <c r="D57" s="128">
        <v>195.46100000000001</v>
      </c>
      <c r="E57" s="128">
        <v>166.09899999999999</v>
      </c>
      <c r="F57" s="128">
        <v>163.10400000000001</v>
      </c>
      <c r="G57" s="128">
        <v>188.8</v>
      </c>
      <c r="H57" s="128">
        <v>165.66</v>
      </c>
      <c r="I57" s="128">
        <v>215.40100000000001</v>
      </c>
      <c r="J57" s="128">
        <v>108.163</v>
      </c>
      <c r="K57" s="128">
        <v>137.65899999999999</v>
      </c>
      <c r="L57" s="128">
        <v>166.96199999999999</v>
      </c>
      <c r="M57" s="128">
        <v>145.172</v>
      </c>
      <c r="N57" s="128">
        <v>132.929</v>
      </c>
      <c r="O57" s="128">
        <v>163.72300000000001</v>
      </c>
      <c r="P57" s="128">
        <v>183.86099999999999</v>
      </c>
      <c r="Q57" s="128">
        <v>47.997</v>
      </c>
      <c r="R57" s="128">
        <v>123.798</v>
      </c>
      <c r="S57" s="128">
        <v>94.832999999999998</v>
      </c>
      <c r="T57" s="128">
        <v>86.759</v>
      </c>
      <c r="U57" s="128">
        <v>109.578</v>
      </c>
      <c r="V57" s="128">
        <v>113.845</v>
      </c>
      <c r="W57" s="128">
        <v>102.816</v>
      </c>
      <c r="X57" s="128">
        <v>110.80200000000001</v>
      </c>
      <c r="Y57" s="128">
        <v>114.54300000000001</v>
      </c>
      <c r="Z57" s="128">
        <v>100.369</v>
      </c>
      <c r="AA57" s="128">
        <v>121.76300000000001</v>
      </c>
      <c r="AB57" s="128">
        <v>93.165999999999997</v>
      </c>
    </row>
    <row r="58" spans="1:28">
      <c r="A58" s="44" t="s">
        <v>756</v>
      </c>
      <c r="B58" s="57">
        <v>0.25</v>
      </c>
      <c r="C58" s="57">
        <v>0.25</v>
      </c>
      <c r="D58" s="57">
        <v>0.25</v>
      </c>
      <c r="E58" s="57">
        <v>0.25</v>
      </c>
      <c r="F58" s="57">
        <v>0.25</v>
      </c>
      <c r="G58" s="57">
        <v>0.25</v>
      </c>
      <c r="H58" s="57">
        <v>0.25</v>
      </c>
      <c r="I58" s="57">
        <v>0.25</v>
      </c>
      <c r="J58" s="57">
        <v>0.25</v>
      </c>
      <c r="K58" s="57">
        <v>0.25</v>
      </c>
      <c r="L58" s="57">
        <v>0.25</v>
      </c>
      <c r="M58" s="57">
        <v>0.25</v>
      </c>
      <c r="N58" s="57">
        <v>0.25</v>
      </c>
      <c r="O58" s="57">
        <v>0.25</v>
      </c>
      <c r="P58" s="57">
        <v>0.25</v>
      </c>
      <c r="Q58" s="57">
        <v>0.25</v>
      </c>
      <c r="R58" s="57">
        <v>0.25</v>
      </c>
      <c r="S58" s="57">
        <v>0.25</v>
      </c>
      <c r="T58" s="57">
        <v>0.25</v>
      </c>
      <c r="U58" s="57">
        <v>0.25</v>
      </c>
      <c r="V58" s="57">
        <v>0.25</v>
      </c>
      <c r="W58" s="57">
        <v>0.25</v>
      </c>
      <c r="X58" s="57">
        <v>0.25</v>
      </c>
      <c r="Y58" s="57">
        <v>0.25</v>
      </c>
      <c r="Z58" s="57">
        <v>0.25</v>
      </c>
      <c r="AA58" s="57">
        <v>0.25</v>
      </c>
      <c r="AB58" s="57">
        <v>0.25</v>
      </c>
    </row>
    <row r="59" spans="1:28">
      <c r="A59" s="38" t="s">
        <v>126</v>
      </c>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spans="1:28">
      <c r="A60" s="44" t="s">
        <v>757</v>
      </c>
      <c r="B60" s="57">
        <v>297427</v>
      </c>
      <c r="C60" s="57">
        <v>353801</v>
      </c>
      <c r="D60" s="57">
        <v>491875</v>
      </c>
      <c r="E60" s="57">
        <v>704745</v>
      </c>
      <c r="F60" s="57">
        <v>921024</v>
      </c>
      <c r="G60" s="57">
        <v>1248249</v>
      </c>
      <c r="H60" s="57">
        <v>1417807</v>
      </c>
      <c r="I60" s="57">
        <v>1392310</v>
      </c>
      <c r="J60" s="57">
        <v>1406463</v>
      </c>
      <c r="K60" s="57">
        <v>1480444</v>
      </c>
      <c r="L60" s="57">
        <v>1675542</v>
      </c>
      <c r="M60" s="57">
        <v>2023891</v>
      </c>
      <c r="N60" s="57">
        <v>2132067</v>
      </c>
      <c r="O60" s="57">
        <v>2409316</v>
      </c>
      <c r="P60" s="57">
        <v>2516364</v>
      </c>
      <c r="Q60" s="57">
        <v>2619232</v>
      </c>
      <c r="R60" s="57">
        <v>2831835</v>
      </c>
      <c r="S60" s="57">
        <v>3055592</v>
      </c>
      <c r="T60" s="57">
        <v>3301107</v>
      </c>
      <c r="U60" s="57">
        <v>3486728</v>
      </c>
      <c r="V60" s="57">
        <v>3631638</v>
      </c>
      <c r="W60" s="57">
        <v>3860399</v>
      </c>
      <c r="X60" s="57">
        <v>3998781</v>
      </c>
      <c r="Y60" s="57">
        <v>4105368</v>
      </c>
      <c r="Z60" s="57">
        <v>4216741</v>
      </c>
      <c r="AA60" s="57">
        <v>4174514</v>
      </c>
      <c r="AB60" s="57">
        <v>1780713</v>
      </c>
    </row>
    <row r="61" spans="1:28">
      <c r="A61" s="44" t="s">
        <v>758</v>
      </c>
      <c r="B61" s="57">
        <v>214231</v>
      </c>
      <c r="C61" s="57">
        <v>252539</v>
      </c>
      <c r="D61" s="57">
        <v>348293</v>
      </c>
      <c r="E61" s="57">
        <v>496206</v>
      </c>
      <c r="F61" s="57">
        <v>642212</v>
      </c>
      <c r="G61" s="57">
        <v>892958</v>
      </c>
      <c r="H61" s="57">
        <v>1021764</v>
      </c>
      <c r="I61" s="57">
        <v>972469</v>
      </c>
      <c r="J61" s="57">
        <v>989399</v>
      </c>
      <c r="K61" s="57">
        <v>1018898</v>
      </c>
      <c r="L61" s="57">
        <v>1077243</v>
      </c>
      <c r="M61" s="57">
        <v>1253423</v>
      </c>
      <c r="N61" s="57">
        <v>1372649</v>
      </c>
      <c r="O61" s="57">
        <v>1578632</v>
      </c>
      <c r="P61" s="57">
        <v>1594937</v>
      </c>
      <c r="Q61" s="57">
        <v>1629742</v>
      </c>
      <c r="R61" s="57">
        <v>1831008</v>
      </c>
      <c r="S61" s="57">
        <v>1960754</v>
      </c>
      <c r="T61" s="57">
        <v>2015703</v>
      </c>
      <c r="U61" s="57">
        <v>2211469</v>
      </c>
      <c r="V61" s="57">
        <v>2396642</v>
      </c>
      <c r="W61" s="57">
        <v>2678573</v>
      </c>
      <c r="X61" s="57">
        <v>2726228</v>
      </c>
      <c r="Y61" s="57">
        <v>2805140</v>
      </c>
      <c r="Z61" s="57">
        <v>2924611</v>
      </c>
      <c r="AA61" s="57">
        <v>2839443</v>
      </c>
      <c r="AB61" s="57">
        <v>1103037</v>
      </c>
    </row>
    <row r="62" spans="1:28">
      <c r="A62" s="44" t="s">
        <v>759</v>
      </c>
      <c r="B62" s="57">
        <v>214231</v>
      </c>
      <c r="C62" s="57">
        <v>252539</v>
      </c>
      <c r="D62" s="57">
        <v>348293</v>
      </c>
      <c r="E62" s="57">
        <v>496206</v>
      </c>
      <c r="F62" s="57">
        <v>642212</v>
      </c>
      <c r="G62" s="57">
        <v>854245</v>
      </c>
      <c r="H62" s="57">
        <v>987335</v>
      </c>
      <c r="I62" s="57">
        <v>927418</v>
      </c>
      <c r="J62" s="57">
        <v>915157</v>
      </c>
      <c r="K62" s="57">
        <v>961884</v>
      </c>
      <c r="L62" s="57">
        <v>1054843</v>
      </c>
      <c r="M62" s="57">
        <v>1205423</v>
      </c>
      <c r="N62" s="57">
        <v>1319349</v>
      </c>
      <c r="O62" s="57">
        <v>1534032</v>
      </c>
      <c r="P62" s="57">
        <v>1559537</v>
      </c>
      <c r="Q62" s="57">
        <v>1609742</v>
      </c>
      <c r="R62" s="57">
        <v>1815808</v>
      </c>
      <c r="S62" s="57">
        <v>1943154</v>
      </c>
      <c r="T62" s="57">
        <v>1999803</v>
      </c>
      <c r="U62" s="57">
        <v>2188669</v>
      </c>
      <c r="V62" s="57">
        <v>2385342</v>
      </c>
      <c r="W62" s="57">
        <v>2664973</v>
      </c>
      <c r="X62" s="57">
        <v>2720828</v>
      </c>
      <c r="Y62" s="57">
        <v>2802340</v>
      </c>
      <c r="Z62" s="57">
        <v>2923611</v>
      </c>
      <c r="AA62" s="57">
        <v>2837543</v>
      </c>
      <c r="AB62" s="57">
        <v>1103037</v>
      </c>
    </row>
    <row r="63" spans="1:28">
      <c r="A63" s="44" t="s">
        <v>760</v>
      </c>
      <c r="B63" s="57">
        <v>303235</v>
      </c>
      <c r="C63" s="47" t="s">
        <v>37</v>
      </c>
      <c r="D63" s="57">
        <v>500381</v>
      </c>
      <c r="E63" s="57">
        <v>715256</v>
      </c>
      <c r="F63" s="57">
        <v>934642</v>
      </c>
      <c r="G63" s="57">
        <v>1261614</v>
      </c>
      <c r="H63" s="57">
        <v>1431461</v>
      </c>
      <c r="I63" s="57">
        <v>1406096</v>
      </c>
      <c r="J63" s="57">
        <v>1420447</v>
      </c>
      <c r="K63" s="57">
        <v>1497472</v>
      </c>
      <c r="L63" s="57">
        <v>1696231</v>
      </c>
      <c r="M63" s="57">
        <v>2049475</v>
      </c>
      <c r="N63" s="57">
        <v>2161368</v>
      </c>
      <c r="O63" s="57">
        <v>2439815</v>
      </c>
      <c r="P63" s="57">
        <v>2547045</v>
      </c>
      <c r="Q63" s="57">
        <v>2651318</v>
      </c>
      <c r="R63" s="57">
        <v>2868585</v>
      </c>
      <c r="S63" s="57">
        <v>3099923</v>
      </c>
      <c r="T63" s="57">
        <v>3343629</v>
      </c>
      <c r="U63" s="57">
        <v>3527935</v>
      </c>
      <c r="V63" s="57">
        <v>3676113</v>
      </c>
      <c r="W63" s="57">
        <v>3903317</v>
      </c>
      <c r="X63" s="57">
        <v>4041650</v>
      </c>
      <c r="Y63" s="57">
        <v>4150713</v>
      </c>
      <c r="Z63" s="57">
        <v>4264061</v>
      </c>
      <c r="AA63" s="57">
        <v>4221653</v>
      </c>
      <c r="AB63" s="57">
        <v>1802573</v>
      </c>
    </row>
    <row r="64" spans="1:28">
      <c r="A64" s="44" t="s">
        <v>761</v>
      </c>
      <c r="B64" s="57">
        <v>473676</v>
      </c>
      <c r="C64" s="57">
        <v>553657</v>
      </c>
      <c r="D64" s="57">
        <v>747704</v>
      </c>
      <c r="E64" s="57">
        <v>1054167</v>
      </c>
      <c r="F64" s="57">
        <v>1405559</v>
      </c>
      <c r="G64" s="57">
        <v>1892703</v>
      </c>
      <c r="H64" s="57">
        <v>2020751</v>
      </c>
      <c r="I64" s="57">
        <v>2048835</v>
      </c>
      <c r="J64" s="57">
        <v>2113701</v>
      </c>
      <c r="K64" s="57">
        <v>2242399</v>
      </c>
      <c r="L64" s="57">
        <v>2585079</v>
      </c>
      <c r="M64" s="57">
        <v>3166853</v>
      </c>
      <c r="N64" s="57">
        <v>3332154</v>
      </c>
      <c r="O64" s="57">
        <v>3650799</v>
      </c>
      <c r="P64" s="57">
        <v>3783155</v>
      </c>
      <c r="Q64" s="57">
        <v>3775216</v>
      </c>
      <c r="R64" s="57">
        <v>3957630</v>
      </c>
      <c r="S64" s="57">
        <v>4306432</v>
      </c>
      <c r="T64" s="57">
        <v>4256157</v>
      </c>
      <c r="U64" s="57">
        <v>4543849</v>
      </c>
      <c r="V64" s="57">
        <v>4870818</v>
      </c>
      <c r="W64" s="57">
        <v>5266103</v>
      </c>
      <c r="X64" s="57">
        <v>5435229</v>
      </c>
      <c r="Y64" s="57">
        <v>5527336</v>
      </c>
      <c r="Z64" s="57">
        <v>5645288</v>
      </c>
      <c r="AA64" s="57">
        <v>5755189</v>
      </c>
      <c r="AB64" s="57">
        <v>2415401</v>
      </c>
    </row>
    <row r="65" spans="1:28">
      <c r="A65" s="44" t="s">
        <v>762</v>
      </c>
      <c r="B65" s="47" t="s">
        <v>37</v>
      </c>
      <c r="C65" s="47" t="s">
        <v>37</v>
      </c>
      <c r="D65" s="47" t="s">
        <v>37</v>
      </c>
      <c r="E65" s="47" t="s">
        <v>37</v>
      </c>
      <c r="F65" s="47" t="s">
        <v>37</v>
      </c>
      <c r="G65" s="47" t="s">
        <v>147</v>
      </c>
      <c r="H65" s="47" t="s">
        <v>37</v>
      </c>
      <c r="I65" s="47" t="s">
        <v>37</v>
      </c>
      <c r="J65" s="47" t="s">
        <v>37</v>
      </c>
      <c r="K65" s="128">
        <v>1.7310000000000001</v>
      </c>
      <c r="L65" s="128">
        <v>2.5579999999999998</v>
      </c>
      <c r="M65" s="128">
        <v>3.5339999999999998</v>
      </c>
      <c r="N65" s="128">
        <v>1.534</v>
      </c>
      <c r="O65" s="47" t="s">
        <v>147</v>
      </c>
      <c r="P65" s="128">
        <v>0.59399999999999997</v>
      </c>
      <c r="Q65" s="47" t="s">
        <v>147</v>
      </c>
      <c r="R65" s="128">
        <v>0.57099999999999995</v>
      </c>
      <c r="S65" s="128">
        <v>0.92200000000000004</v>
      </c>
      <c r="T65" s="128">
        <v>0.995</v>
      </c>
      <c r="U65" s="128">
        <v>2.8109999999999999</v>
      </c>
      <c r="V65" s="128">
        <v>1.702</v>
      </c>
      <c r="W65" s="128">
        <v>0.93400000000000005</v>
      </c>
      <c r="X65" s="128">
        <v>1.371</v>
      </c>
      <c r="Y65" s="128">
        <v>1.0289999999999999</v>
      </c>
      <c r="Z65" s="128">
        <v>1.29</v>
      </c>
      <c r="AA65" s="128">
        <v>1.2250000000000001</v>
      </c>
      <c r="AB65" s="47" t="s">
        <v>147</v>
      </c>
    </row>
    <row r="66" spans="1:28">
      <c r="A66" s="44" t="s">
        <v>763</v>
      </c>
      <c r="B66" s="47" t="s">
        <v>37</v>
      </c>
      <c r="C66" s="47" t="s">
        <v>37</v>
      </c>
      <c r="D66" s="47" t="s">
        <v>37</v>
      </c>
      <c r="E66" s="47" t="s">
        <v>37</v>
      </c>
      <c r="F66" s="47" t="s">
        <v>37</v>
      </c>
      <c r="G66" s="57">
        <v>-3374</v>
      </c>
      <c r="H66" s="47" t="s">
        <v>37</v>
      </c>
      <c r="I66" s="47" t="s">
        <v>37</v>
      </c>
      <c r="J66" s="47" t="s">
        <v>37</v>
      </c>
      <c r="K66" s="57">
        <v>7597</v>
      </c>
      <c r="L66" s="57">
        <v>11770</v>
      </c>
      <c r="M66" s="47" t="s">
        <v>37</v>
      </c>
      <c r="N66" s="47" t="s">
        <v>37</v>
      </c>
      <c r="O66" s="47" t="s">
        <v>37</v>
      </c>
      <c r="P66" s="47" t="s">
        <v>37</v>
      </c>
      <c r="Q66" s="47" t="s">
        <v>37</v>
      </c>
      <c r="R66" s="47" t="s">
        <v>37</v>
      </c>
      <c r="S66" s="47" t="s">
        <v>37</v>
      </c>
      <c r="T66" s="47" t="s">
        <v>37</v>
      </c>
      <c r="U66" s="47" t="s">
        <v>37</v>
      </c>
      <c r="V66" s="47" t="s">
        <v>37</v>
      </c>
      <c r="W66" s="47" t="s">
        <v>37</v>
      </c>
      <c r="X66" s="47" t="s">
        <v>37</v>
      </c>
      <c r="Y66" s="47" t="s">
        <v>37</v>
      </c>
      <c r="Z66" s="47" t="s">
        <v>37</v>
      </c>
      <c r="AA66" s="47" t="s">
        <v>37</v>
      </c>
      <c r="AB66" s="47" t="s">
        <v>37</v>
      </c>
    </row>
    <row r="67" spans="1:28">
      <c r="A67" s="44" t="s">
        <v>764</v>
      </c>
      <c r="B67" s="47" t="s">
        <v>37</v>
      </c>
      <c r="C67" s="47" t="s">
        <v>37</v>
      </c>
      <c r="D67" s="47" t="s">
        <v>37</v>
      </c>
      <c r="E67" s="47" t="s">
        <v>37</v>
      </c>
      <c r="F67" s="47" t="s">
        <v>37</v>
      </c>
      <c r="G67" s="57">
        <v>-3374</v>
      </c>
      <c r="H67" s="47" t="s">
        <v>37</v>
      </c>
      <c r="I67" s="47" t="s">
        <v>37</v>
      </c>
      <c r="J67" s="47" t="s">
        <v>37</v>
      </c>
      <c r="K67" s="57">
        <v>7597</v>
      </c>
      <c r="L67" s="57">
        <v>11770</v>
      </c>
      <c r="M67" s="47" t="s">
        <v>37</v>
      </c>
      <c r="N67" s="47" t="s">
        <v>37</v>
      </c>
      <c r="O67" s="47" t="s">
        <v>37</v>
      </c>
      <c r="P67" s="47" t="s">
        <v>37</v>
      </c>
      <c r="Q67" s="47" t="s">
        <v>37</v>
      </c>
      <c r="R67" s="47" t="s">
        <v>37</v>
      </c>
      <c r="S67" s="47" t="s">
        <v>37</v>
      </c>
      <c r="T67" s="47" t="s">
        <v>37</v>
      </c>
      <c r="U67" s="47" t="s">
        <v>37</v>
      </c>
      <c r="V67" s="47" t="s">
        <v>37</v>
      </c>
      <c r="W67" s="47" t="s">
        <v>37</v>
      </c>
      <c r="X67" s="47" t="s">
        <v>37</v>
      </c>
      <c r="Y67" s="47" t="s">
        <v>37</v>
      </c>
      <c r="Z67" s="47" t="s">
        <v>37</v>
      </c>
      <c r="AA67" s="47" t="s">
        <v>37</v>
      </c>
      <c r="AB67" s="47" t="s">
        <v>37</v>
      </c>
    </row>
    <row r="68" spans="1:28">
      <c r="A68" s="44" t="s">
        <v>765</v>
      </c>
      <c r="B68" s="57">
        <v>17331.875</v>
      </c>
      <c r="C68" s="57">
        <v>22316.875</v>
      </c>
      <c r="D68" s="57">
        <v>41132.375</v>
      </c>
      <c r="E68" s="57">
        <v>59015.375</v>
      </c>
      <c r="F68" s="57">
        <v>76253</v>
      </c>
      <c r="G68" s="57">
        <v>114932.375</v>
      </c>
      <c r="H68" s="57">
        <v>113549.375</v>
      </c>
      <c r="I68" s="57">
        <v>157684.125</v>
      </c>
      <c r="J68" s="57">
        <v>90236.25</v>
      </c>
      <c r="K68" s="57">
        <v>175842.625</v>
      </c>
      <c r="L68" s="57">
        <v>190508.25</v>
      </c>
      <c r="M68" s="57">
        <v>197952.25</v>
      </c>
      <c r="N68" s="57">
        <v>213804.75</v>
      </c>
      <c r="O68" s="57">
        <v>243440.5</v>
      </c>
      <c r="P68" s="57">
        <v>267002.875</v>
      </c>
      <c r="Q68" s="57">
        <v>333330.625</v>
      </c>
      <c r="R68" s="57">
        <v>403922.75</v>
      </c>
      <c r="S68" s="57">
        <v>429440.25</v>
      </c>
      <c r="T68" s="57">
        <v>378927.125</v>
      </c>
      <c r="U68" s="57">
        <v>588656</v>
      </c>
      <c r="V68" s="57">
        <v>769258.875</v>
      </c>
      <c r="W68" s="57">
        <v>954646.25</v>
      </c>
      <c r="X68" s="57">
        <v>1089570</v>
      </c>
      <c r="Y68" s="57">
        <v>1198819.625</v>
      </c>
      <c r="Z68" s="57">
        <v>1232051.25</v>
      </c>
      <c r="AA68" s="57">
        <v>1236232.875</v>
      </c>
      <c r="AB68" s="57">
        <v>405745</v>
      </c>
    </row>
    <row r="69" spans="1:28">
      <c r="A69" s="44" t="s">
        <v>766</v>
      </c>
      <c r="B69" s="57">
        <v>122980</v>
      </c>
      <c r="C69" s="47" t="s">
        <v>37</v>
      </c>
      <c r="D69" s="57">
        <v>202182</v>
      </c>
      <c r="E69" s="57">
        <v>287823</v>
      </c>
      <c r="F69" s="57">
        <v>419918</v>
      </c>
      <c r="G69" s="57">
        <v>579593</v>
      </c>
      <c r="H69" s="57">
        <v>635678</v>
      </c>
      <c r="I69" s="57">
        <v>607625</v>
      </c>
      <c r="J69" s="57">
        <v>598348</v>
      </c>
      <c r="K69" s="57">
        <v>594964</v>
      </c>
      <c r="L69" s="57">
        <v>653798</v>
      </c>
      <c r="M69" s="47" t="s">
        <v>37</v>
      </c>
      <c r="N69" s="47" t="s">
        <v>37</v>
      </c>
      <c r="O69" s="47" t="s">
        <v>37</v>
      </c>
      <c r="P69" s="47" t="s">
        <v>37</v>
      </c>
      <c r="Q69" s="47" t="s">
        <v>37</v>
      </c>
      <c r="R69" s="47" t="s">
        <v>37</v>
      </c>
      <c r="S69" s="47" t="s">
        <v>37</v>
      </c>
      <c r="T69" s="47" t="s">
        <v>37</v>
      </c>
      <c r="U69" s="47" t="s">
        <v>37</v>
      </c>
      <c r="V69" s="47" t="s">
        <v>37</v>
      </c>
      <c r="W69" s="47" t="s">
        <v>37</v>
      </c>
      <c r="X69" s="47" t="s">
        <v>37</v>
      </c>
      <c r="Y69" s="47" t="s">
        <v>37</v>
      </c>
      <c r="Z69" s="47" t="s">
        <v>37</v>
      </c>
      <c r="AA69" s="47" t="s">
        <v>37</v>
      </c>
      <c r="AB69" s="47" t="s">
        <v>37</v>
      </c>
    </row>
    <row r="70" spans="1:28">
      <c r="A70" s="38" t="s">
        <v>767</v>
      </c>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spans="1:28">
      <c r="A71" s="44" t="s">
        <v>768</v>
      </c>
      <c r="B71" s="57">
        <v>17000</v>
      </c>
      <c r="C71" s="57">
        <v>18888</v>
      </c>
      <c r="D71" s="57">
        <v>24756</v>
      </c>
      <c r="E71" s="57">
        <v>32891</v>
      </c>
      <c r="F71" s="57">
        <v>50754</v>
      </c>
      <c r="G71" s="57">
        <v>65843</v>
      </c>
      <c r="H71" s="57">
        <v>65797</v>
      </c>
      <c r="I71" s="57">
        <v>63258</v>
      </c>
      <c r="J71" s="57">
        <v>59581</v>
      </c>
      <c r="K71" s="57">
        <v>61090</v>
      </c>
      <c r="L71" s="57">
        <v>68775</v>
      </c>
      <c r="M71" s="57">
        <v>92377</v>
      </c>
      <c r="N71" s="57">
        <v>88480</v>
      </c>
      <c r="O71" s="57">
        <v>94340</v>
      </c>
      <c r="P71" s="57">
        <v>96783</v>
      </c>
      <c r="Q71" s="57">
        <v>93565</v>
      </c>
      <c r="R71" s="57">
        <v>97194</v>
      </c>
      <c r="S71" s="57">
        <v>107002</v>
      </c>
      <c r="T71" s="57">
        <v>109809</v>
      </c>
      <c r="U71" s="57">
        <v>117894</v>
      </c>
      <c r="V71" s="57">
        <v>136656</v>
      </c>
      <c r="W71" s="57">
        <v>134854</v>
      </c>
      <c r="X71" s="57">
        <v>142801</v>
      </c>
      <c r="Y71" s="57">
        <v>150865</v>
      </c>
      <c r="Z71" s="57">
        <v>151241</v>
      </c>
      <c r="AA71" s="57">
        <v>150344</v>
      </c>
      <c r="AB71" s="57">
        <v>46216</v>
      </c>
    </row>
    <row r="72" spans="1:28">
      <c r="A72" s="44" t="s">
        <v>769</v>
      </c>
      <c r="B72" s="57">
        <v>17000</v>
      </c>
      <c r="C72" s="57">
        <v>18888</v>
      </c>
      <c r="D72" s="57">
        <v>24756</v>
      </c>
      <c r="E72" s="57">
        <v>32891</v>
      </c>
      <c r="F72" s="57">
        <v>50754</v>
      </c>
      <c r="G72" s="57">
        <v>65843</v>
      </c>
      <c r="H72" s="57">
        <v>65797</v>
      </c>
      <c r="I72" s="57">
        <v>63258</v>
      </c>
      <c r="J72" s="57">
        <v>59581</v>
      </c>
      <c r="K72" s="57">
        <v>61090</v>
      </c>
      <c r="L72" s="57">
        <v>68775</v>
      </c>
      <c r="M72" s="57">
        <v>92377</v>
      </c>
      <c r="N72" s="57">
        <v>88480</v>
      </c>
      <c r="O72" s="57">
        <v>94340</v>
      </c>
      <c r="P72" s="57">
        <v>96783</v>
      </c>
      <c r="Q72" s="57">
        <v>93565</v>
      </c>
      <c r="R72" s="57">
        <v>97194</v>
      </c>
      <c r="S72" s="57">
        <v>107002</v>
      </c>
      <c r="T72" s="57">
        <v>109809</v>
      </c>
      <c r="U72" s="57">
        <v>117894</v>
      </c>
      <c r="V72" s="57">
        <v>136656</v>
      </c>
      <c r="W72" s="57">
        <v>134854</v>
      </c>
      <c r="X72" s="57">
        <v>142801</v>
      </c>
      <c r="Y72" s="57">
        <v>150865</v>
      </c>
      <c r="Z72" s="57">
        <v>151241</v>
      </c>
      <c r="AA72" s="57">
        <v>150344</v>
      </c>
      <c r="AB72" s="57">
        <v>46216</v>
      </c>
    </row>
    <row r="73" spans="1:28">
      <c r="A73" s="44" t="s">
        <v>770</v>
      </c>
      <c r="B73" s="47" t="s">
        <v>37</v>
      </c>
      <c r="C73" s="47" t="s">
        <v>37</v>
      </c>
      <c r="D73" s="47" t="s">
        <v>37</v>
      </c>
      <c r="E73" s="47" t="s">
        <v>37</v>
      </c>
      <c r="F73" s="47" t="s">
        <v>37</v>
      </c>
      <c r="G73" s="47" t="s">
        <v>37</v>
      </c>
      <c r="H73" s="47" t="s">
        <v>37</v>
      </c>
      <c r="I73" s="57">
        <v>47812</v>
      </c>
      <c r="J73" s="57">
        <v>48230</v>
      </c>
      <c r="K73" s="57">
        <v>95178</v>
      </c>
      <c r="L73" s="57">
        <v>107954</v>
      </c>
      <c r="M73" s="57">
        <v>135075</v>
      </c>
      <c r="N73" s="57">
        <v>145986</v>
      </c>
      <c r="O73" s="57">
        <v>156197</v>
      </c>
      <c r="P73" s="57">
        <v>165852</v>
      </c>
      <c r="Q73" s="57">
        <v>128172</v>
      </c>
      <c r="R73" s="57">
        <v>130581</v>
      </c>
      <c r="S73" s="57">
        <v>172890</v>
      </c>
      <c r="T73" s="57">
        <v>179066</v>
      </c>
      <c r="U73" s="57">
        <v>196677</v>
      </c>
      <c r="V73" s="57">
        <v>213957</v>
      </c>
      <c r="W73" s="57">
        <v>211078</v>
      </c>
      <c r="X73" s="57">
        <v>219383</v>
      </c>
      <c r="Y73" s="57">
        <v>187122</v>
      </c>
      <c r="Z73" s="57">
        <v>183220</v>
      </c>
      <c r="AA73" s="57">
        <v>224969</v>
      </c>
      <c r="AB73" s="57">
        <v>104650</v>
      </c>
    </row>
    <row r="74" spans="1:28">
      <c r="A74" s="44" t="s">
        <v>771</v>
      </c>
      <c r="B74" s="57">
        <v>5808</v>
      </c>
      <c r="C74" s="47" t="s">
        <v>37</v>
      </c>
      <c r="D74" s="57">
        <v>8506</v>
      </c>
      <c r="E74" s="57">
        <v>10511</v>
      </c>
      <c r="F74" s="57">
        <v>13618</v>
      </c>
      <c r="G74" s="57">
        <v>13365</v>
      </c>
      <c r="H74" s="57">
        <v>13654</v>
      </c>
      <c r="I74" s="57">
        <v>13786</v>
      </c>
      <c r="J74" s="57">
        <v>13984</v>
      </c>
      <c r="K74" s="57">
        <v>17028</v>
      </c>
      <c r="L74" s="57">
        <v>20689</v>
      </c>
      <c r="M74" s="57">
        <v>25584</v>
      </c>
      <c r="N74" s="57">
        <v>29301</v>
      </c>
      <c r="O74" s="57">
        <v>30499</v>
      </c>
      <c r="P74" s="57">
        <v>30681</v>
      </c>
      <c r="Q74" s="57">
        <v>32086</v>
      </c>
      <c r="R74" s="57">
        <v>36750</v>
      </c>
      <c r="S74" s="57">
        <v>44331</v>
      </c>
      <c r="T74" s="57">
        <v>42522</v>
      </c>
      <c r="U74" s="57">
        <v>41207</v>
      </c>
      <c r="V74" s="57">
        <v>44475</v>
      </c>
      <c r="W74" s="57">
        <v>42918</v>
      </c>
      <c r="X74" s="57">
        <v>42869</v>
      </c>
      <c r="Y74" s="57">
        <v>45345</v>
      </c>
      <c r="Z74" s="57">
        <v>47320</v>
      </c>
      <c r="AA74" s="57">
        <v>47139</v>
      </c>
      <c r="AB74" s="57">
        <v>21860</v>
      </c>
    </row>
    <row r="75" spans="1:28">
      <c r="A75" s="44" t="s">
        <v>772</v>
      </c>
      <c r="B75" s="47" t="s">
        <v>37</v>
      </c>
      <c r="C75" s="47" t="s">
        <v>37</v>
      </c>
      <c r="D75" s="57">
        <v>4999.2820000000002</v>
      </c>
      <c r="E75" s="57">
        <v>5748.1719999999996</v>
      </c>
      <c r="F75" s="57">
        <v>7317.2240000000002</v>
      </c>
      <c r="G75" s="57">
        <v>8065.51</v>
      </c>
      <c r="H75" s="57">
        <v>8691.1530000000002</v>
      </c>
      <c r="I75" s="57">
        <v>8078.7060000000001</v>
      </c>
      <c r="J75" s="57">
        <v>7470.4769999999999</v>
      </c>
      <c r="K75" s="57">
        <v>8494.2479999999996</v>
      </c>
      <c r="L75" s="57">
        <v>9185.4189999999999</v>
      </c>
      <c r="M75" s="57">
        <v>12006.674000000001</v>
      </c>
      <c r="N75" s="57">
        <v>13539.172</v>
      </c>
      <c r="O75" s="57">
        <v>14688.074000000001</v>
      </c>
      <c r="P75" s="57">
        <v>13581.865</v>
      </c>
      <c r="Q75" s="57">
        <v>14089.091</v>
      </c>
      <c r="R75" s="57">
        <v>16772.7</v>
      </c>
      <c r="S75" s="57">
        <v>19519.826000000001</v>
      </c>
      <c r="T75" s="57">
        <v>17820.46</v>
      </c>
      <c r="U75" s="57">
        <v>15806.346</v>
      </c>
      <c r="V75" s="57">
        <v>16497.734</v>
      </c>
      <c r="W75" s="57">
        <v>15176.491</v>
      </c>
      <c r="X75" s="57">
        <v>13429.656999999999</v>
      </c>
      <c r="Y75" s="57">
        <v>12711.473</v>
      </c>
      <c r="Z75" s="57">
        <v>13200.009</v>
      </c>
      <c r="AA75" s="57">
        <v>12930.793</v>
      </c>
      <c r="AB75" s="47" t="s">
        <v>37</v>
      </c>
    </row>
    <row r="76" spans="1:28">
      <c r="A76" s="44" t="s">
        <v>773</v>
      </c>
      <c r="B76" s="47" t="s">
        <v>37</v>
      </c>
      <c r="C76" s="47" t="s">
        <v>37</v>
      </c>
      <c r="D76" s="57">
        <v>3506.7179999999998</v>
      </c>
      <c r="E76" s="57">
        <v>4762.8280000000004</v>
      </c>
      <c r="F76" s="57">
        <v>6300.7759999999998</v>
      </c>
      <c r="G76" s="57">
        <v>5299.49</v>
      </c>
      <c r="H76" s="57">
        <v>4962.8469999999998</v>
      </c>
      <c r="I76" s="57">
        <v>5707.2939999999999</v>
      </c>
      <c r="J76" s="57">
        <v>6513.5230000000001</v>
      </c>
      <c r="K76" s="57">
        <v>8533.7520000000004</v>
      </c>
      <c r="L76" s="57">
        <v>11503.581</v>
      </c>
      <c r="M76" s="57">
        <v>13577.325999999999</v>
      </c>
      <c r="N76" s="57">
        <v>15761.828</v>
      </c>
      <c r="O76" s="57">
        <v>15810.925999999999</v>
      </c>
      <c r="P76" s="57">
        <v>17099.134999999998</v>
      </c>
      <c r="Q76" s="57">
        <v>17996.909</v>
      </c>
      <c r="R76" s="57">
        <v>19977.3</v>
      </c>
      <c r="S76" s="57">
        <v>24811.173999999999</v>
      </c>
      <c r="T76" s="57">
        <v>24701.54</v>
      </c>
      <c r="U76" s="57">
        <v>25400.653999999999</v>
      </c>
      <c r="V76" s="57">
        <v>27977.266</v>
      </c>
      <c r="W76" s="57">
        <v>27741.508999999998</v>
      </c>
      <c r="X76" s="57">
        <v>29439.343000000001</v>
      </c>
      <c r="Y76" s="57">
        <v>32633.526999999998</v>
      </c>
      <c r="Z76" s="57">
        <v>34119.991000000002</v>
      </c>
      <c r="AA76" s="57">
        <v>34208.207000000002</v>
      </c>
      <c r="AB76" s="47" t="s">
        <v>37</v>
      </c>
    </row>
    <row r="77" spans="1:28">
      <c r="A77" s="44" t="s">
        <v>774</v>
      </c>
      <c r="B77" s="57">
        <v>22940</v>
      </c>
      <c r="C77" s="57">
        <v>24614</v>
      </c>
      <c r="D77" s="57">
        <v>31779</v>
      </c>
      <c r="E77" s="57">
        <v>43000</v>
      </c>
      <c r="F77" s="57">
        <v>53296</v>
      </c>
      <c r="G77" s="57">
        <v>70760</v>
      </c>
      <c r="H77" s="57">
        <v>73918</v>
      </c>
      <c r="I77" s="57">
        <v>77940</v>
      </c>
      <c r="J77" s="57">
        <v>73493</v>
      </c>
      <c r="K77" s="57">
        <v>81005</v>
      </c>
      <c r="L77" s="57">
        <v>89297</v>
      </c>
      <c r="M77" s="57">
        <v>105489</v>
      </c>
      <c r="N77" s="57">
        <v>105983</v>
      </c>
      <c r="O77" s="57">
        <v>120224</v>
      </c>
      <c r="P77" s="57">
        <v>107879</v>
      </c>
      <c r="Q77" s="57">
        <v>91736</v>
      </c>
      <c r="R77" s="57">
        <v>102425</v>
      </c>
      <c r="S77" s="57">
        <v>113496</v>
      </c>
      <c r="T77" s="57">
        <v>93960</v>
      </c>
      <c r="U77" s="57">
        <v>98219</v>
      </c>
      <c r="V77" s="57">
        <v>100016</v>
      </c>
      <c r="W77" s="57">
        <v>101369</v>
      </c>
      <c r="X77" s="57">
        <v>99723</v>
      </c>
      <c r="Y77" s="57">
        <v>96900</v>
      </c>
      <c r="Z77" s="57">
        <v>99588</v>
      </c>
      <c r="AA77" s="57">
        <v>100495</v>
      </c>
      <c r="AB77" s="57">
        <v>38511</v>
      </c>
    </row>
    <row r="78" spans="1:28">
      <c r="A78" s="44" t="s">
        <v>775</v>
      </c>
      <c r="B78" s="47" t="s">
        <v>37</v>
      </c>
      <c r="C78" s="47" t="s">
        <v>37</v>
      </c>
      <c r="D78" s="47" t="s">
        <v>37</v>
      </c>
      <c r="E78" s="47" t="s">
        <v>37</v>
      </c>
      <c r="F78" s="47" t="s">
        <v>37</v>
      </c>
      <c r="G78" s="47" t="s">
        <v>37</v>
      </c>
      <c r="H78" s="47" t="s">
        <v>37</v>
      </c>
      <c r="I78" s="47" t="s">
        <v>37</v>
      </c>
      <c r="J78" s="47" t="s">
        <v>37</v>
      </c>
      <c r="K78" s="47" t="s">
        <v>37</v>
      </c>
      <c r="L78" s="47" t="s">
        <v>37</v>
      </c>
      <c r="M78" s="47" t="s">
        <v>37</v>
      </c>
      <c r="N78" s="57">
        <v>23369</v>
      </c>
      <c r="O78" s="47" t="s">
        <v>37</v>
      </c>
      <c r="P78" s="47" t="s">
        <v>37</v>
      </c>
      <c r="Q78" s="47" t="s">
        <v>37</v>
      </c>
      <c r="R78" s="47" t="s">
        <v>37</v>
      </c>
      <c r="S78" s="47" t="s">
        <v>37</v>
      </c>
      <c r="T78" s="47" t="s">
        <v>37</v>
      </c>
      <c r="U78" s="47" t="s">
        <v>37</v>
      </c>
      <c r="V78" s="47" t="s">
        <v>37</v>
      </c>
      <c r="W78" s="47" t="s">
        <v>37</v>
      </c>
      <c r="X78" s="47" t="s">
        <v>37</v>
      </c>
      <c r="Y78" s="47" t="s">
        <v>37</v>
      </c>
      <c r="Z78" s="47" t="s">
        <v>37</v>
      </c>
      <c r="AA78" s="47" t="s">
        <v>37</v>
      </c>
      <c r="AB78" s="47" t="s">
        <v>37</v>
      </c>
    </row>
    <row r="79" spans="1:28">
      <c r="A79" s="44" t="s">
        <v>776</v>
      </c>
      <c r="B79" s="47" t="s">
        <v>37</v>
      </c>
      <c r="C79" s="47" t="s">
        <v>37</v>
      </c>
      <c r="D79" s="47" t="s">
        <v>37</v>
      </c>
      <c r="E79" s="47" t="s">
        <v>37</v>
      </c>
      <c r="F79" s="47" t="s">
        <v>37</v>
      </c>
      <c r="G79" s="47" t="s">
        <v>37</v>
      </c>
      <c r="H79" s="57">
        <v>11770</v>
      </c>
      <c r="I79" s="57">
        <v>11512</v>
      </c>
      <c r="J79" s="57">
        <v>8957</v>
      </c>
      <c r="K79" s="57">
        <v>10355</v>
      </c>
      <c r="L79" s="57">
        <v>11935</v>
      </c>
      <c r="M79" s="57">
        <v>14320</v>
      </c>
      <c r="N79" s="47" t="s">
        <v>37</v>
      </c>
      <c r="O79" s="57">
        <v>26779</v>
      </c>
      <c r="P79" s="57">
        <v>28640</v>
      </c>
      <c r="Q79" s="57">
        <v>22870</v>
      </c>
      <c r="R79" s="57">
        <v>21500</v>
      </c>
      <c r="S79" s="57">
        <v>26200</v>
      </c>
      <c r="T79" s="57">
        <v>32400</v>
      </c>
      <c r="U79" s="57">
        <v>39100</v>
      </c>
      <c r="V79" s="57">
        <v>39900</v>
      </c>
      <c r="W79" s="57">
        <v>34300</v>
      </c>
      <c r="X79" s="57">
        <v>40100</v>
      </c>
      <c r="Y79" s="57">
        <v>23000</v>
      </c>
      <c r="Z79" s="57">
        <v>19800</v>
      </c>
      <c r="AA79" s="57">
        <v>26800</v>
      </c>
      <c r="AB79" s="57">
        <v>12900</v>
      </c>
    </row>
    <row r="80" spans="1:28">
      <c r="A80" s="38" t="s">
        <v>777</v>
      </c>
      <c r="B80" s="169" t="s">
        <v>37</v>
      </c>
      <c r="C80" s="169" t="s">
        <v>37</v>
      </c>
      <c r="D80" s="169" t="s">
        <v>37</v>
      </c>
      <c r="E80" s="169" t="s">
        <v>37</v>
      </c>
      <c r="F80" s="169" t="s">
        <v>37</v>
      </c>
      <c r="G80" s="169" t="s">
        <v>37</v>
      </c>
      <c r="H80" s="168">
        <v>11770</v>
      </c>
      <c r="I80" s="168">
        <v>11512</v>
      </c>
      <c r="J80" s="168">
        <v>8957</v>
      </c>
      <c r="K80" s="168">
        <v>10355</v>
      </c>
      <c r="L80" s="168">
        <v>11935</v>
      </c>
      <c r="M80" s="168">
        <v>14320</v>
      </c>
      <c r="N80" s="168">
        <v>23369</v>
      </c>
      <c r="O80" s="168">
        <v>26779</v>
      </c>
      <c r="P80" s="168">
        <v>28640</v>
      </c>
      <c r="Q80" s="168">
        <v>22870</v>
      </c>
      <c r="R80" s="168">
        <v>21500</v>
      </c>
      <c r="S80" s="168">
        <v>26200</v>
      </c>
      <c r="T80" s="168">
        <v>32400</v>
      </c>
      <c r="U80" s="168">
        <v>39100</v>
      </c>
      <c r="V80" s="168">
        <v>39900</v>
      </c>
      <c r="W80" s="168">
        <v>34300</v>
      </c>
      <c r="X80" s="168">
        <v>40100</v>
      </c>
      <c r="Y80" s="168">
        <v>23000</v>
      </c>
      <c r="Z80" s="168">
        <v>19800</v>
      </c>
      <c r="AA80" s="168">
        <v>26800</v>
      </c>
      <c r="AB80" s="168">
        <v>12900</v>
      </c>
    </row>
    <row r="81" spans="1:28">
      <c r="A81" s="44" t="s">
        <v>133</v>
      </c>
      <c r="B81" s="47" t="s">
        <v>778</v>
      </c>
      <c r="C81" s="47" t="s">
        <v>135</v>
      </c>
      <c r="D81" s="47" t="s">
        <v>778</v>
      </c>
      <c r="E81" s="47" t="s">
        <v>778</v>
      </c>
      <c r="F81" s="47" t="s">
        <v>778</v>
      </c>
      <c r="G81" s="47" t="s">
        <v>778</v>
      </c>
      <c r="H81" s="47" t="s">
        <v>778</v>
      </c>
      <c r="I81" s="47" t="s">
        <v>136</v>
      </c>
      <c r="J81" s="47" t="s">
        <v>138</v>
      </c>
      <c r="K81" s="47" t="s">
        <v>138</v>
      </c>
      <c r="L81" s="47" t="s">
        <v>138</v>
      </c>
      <c r="M81" s="47" t="s">
        <v>138</v>
      </c>
      <c r="N81" s="47" t="s">
        <v>779</v>
      </c>
      <c r="O81" s="47" t="s">
        <v>138</v>
      </c>
      <c r="P81" s="47" t="s">
        <v>138</v>
      </c>
      <c r="Q81" s="47" t="s">
        <v>136</v>
      </c>
      <c r="R81" s="47" t="s">
        <v>778</v>
      </c>
      <c r="S81" s="47" t="s">
        <v>778</v>
      </c>
      <c r="T81" s="47" t="s">
        <v>138</v>
      </c>
      <c r="U81" s="47" t="s">
        <v>138</v>
      </c>
      <c r="V81" s="47" t="s">
        <v>136</v>
      </c>
      <c r="W81" s="47" t="s">
        <v>136</v>
      </c>
      <c r="X81" s="47" t="s">
        <v>136</v>
      </c>
      <c r="Y81" s="47" t="s">
        <v>778</v>
      </c>
      <c r="Z81" s="47" t="s">
        <v>778</v>
      </c>
      <c r="AA81" s="47" t="s">
        <v>139</v>
      </c>
      <c r="AB81" s="47" t="s">
        <v>139</v>
      </c>
    </row>
    <row r="82" spans="1:28">
      <c r="A82" s="44" t="s">
        <v>140</v>
      </c>
      <c r="B82" s="47" t="s">
        <v>141</v>
      </c>
      <c r="C82" s="47" t="s">
        <v>141</v>
      </c>
      <c r="D82" s="47" t="s">
        <v>141</v>
      </c>
      <c r="E82" s="47" t="s">
        <v>141</v>
      </c>
      <c r="F82" s="47" t="s">
        <v>141</v>
      </c>
      <c r="G82" s="47" t="s">
        <v>141</v>
      </c>
      <c r="H82" s="47" t="s">
        <v>141</v>
      </c>
      <c r="I82" s="47" t="s">
        <v>141</v>
      </c>
      <c r="J82" s="47" t="s">
        <v>141</v>
      </c>
      <c r="K82" s="47" t="s">
        <v>141</v>
      </c>
      <c r="L82" s="47" t="s">
        <v>141</v>
      </c>
      <c r="M82" s="47" t="s">
        <v>141</v>
      </c>
      <c r="N82" s="47" t="s">
        <v>141</v>
      </c>
      <c r="O82" s="47" t="s">
        <v>141</v>
      </c>
      <c r="P82" s="47" t="s">
        <v>141</v>
      </c>
      <c r="Q82" s="47" t="s">
        <v>141</v>
      </c>
      <c r="R82" s="47" t="s">
        <v>141</v>
      </c>
      <c r="S82" s="47" t="s">
        <v>141</v>
      </c>
      <c r="T82" s="47" t="s">
        <v>141</v>
      </c>
      <c r="U82" s="47" t="s">
        <v>141</v>
      </c>
      <c r="V82" s="47" t="s">
        <v>141</v>
      </c>
      <c r="W82" s="47" t="s">
        <v>141</v>
      </c>
      <c r="X82" s="47" t="s">
        <v>141</v>
      </c>
      <c r="Y82" s="47" t="s">
        <v>141</v>
      </c>
      <c r="Z82" s="47" t="s">
        <v>141</v>
      </c>
      <c r="AA82" s="47" t="s">
        <v>141</v>
      </c>
      <c r="AB82" s="47" t="s">
        <v>141</v>
      </c>
    </row>
    <row r="83" spans="1:28">
      <c r="A83" s="38" t="s">
        <v>780</v>
      </c>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row>
    <row r="84" spans="1:28">
      <c r="A84" s="44" t="s">
        <v>781</v>
      </c>
      <c r="B84" s="47" t="s">
        <v>37</v>
      </c>
      <c r="C84" s="47" t="s">
        <v>37</v>
      </c>
      <c r="D84" s="47" t="s">
        <v>37</v>
      </c>
      <c r="E84" s="57">
        <v>1708063</v>
      </c>
      <c r="F84" s="57">
        <v>1333677</v>
      </c>
      <c r="G84" s="57">
        <v>1968987</v>
      </c>
      <c r="H84" s="57">
        <v>1989746</v>
      </c>
      <c r="I84" s="57">
        <v>2667786</v>
      </c>
      <c r="J84" s="57">
        <v>3347471</v>
      </c>
      <c r="K84" s="57">
        <v>2683410</v>
      </c>
      <c r="L84" s="57">
        <v>1944393</v>
      </c>
      <c r="M84" s="57">
        <v>1760316</v>
      </c>
      <c r="N84" s="57">
        <v>1565422</v>
      </c>
      <c r="O84" s="57">
        <v>1214763</v>
      </c>
      <c r="P84" s="57">
        <v>1006738</v>
      </c>
      <c r="Q84" s="57">
        <v>724632</v>
      </c>
      <c r="R84" s="57">
        <v>505682</v>
      </c>
      <c r="S84" s="47" t="s">
        <v>37</v>
      </c>
      <c r="T84" s="47" t="s">
        <v>37</v>
      </c>
      <c r="U84" s="47" t="s">
        <v>37</v>
      </c>
      <c r="V84" s="47" t="s">
        <v>37</v>
      </c>
      <c r="W84" s="47" t="s">
        <v>37</v>
      </c>
      <c r="X84" s="47" t="s">
        <v>37</v>
      </c>
      <c r="Y84" s="47" t="s">
        <v>37</v>
      </c>
      <c r="Z84" s="47" t="s">
        <v>37</v>
      </c>
      <c r="AA84" s="47" t="s">
        <v>37</v>
      </c>
      <c r="AB84" s="47" t="s">
        <v>37</v>
      </c>
    </row>
    <row r="85" spans="1:28">
      <c r="A85" s="44" t="s">
        <v>782</v>
      </c>
      <c r="B85" s="47" t="s">
        <v>37</v>
      </c>
      <c r="C85" s="47" t="s">
        <v>37</v>
      </c>
      <c r="D85" s="47" t="s">
        <v>37</v>
      </c>
      <c r="E85" s="57">
        <v>457753</v>
      </c>
      <c r="F85" s="57">
        <v>689209</v>
      </c>
      <c r="G85" s="57">
        <v>162000</v>
      </c>
      <c r="H85" s="57">
        <v>750750</v>
      </c>
      <c r="I85" s="57">
        <v>1111836</v>
      </c>
      <c r="J85" s="57">
        <v>24000</v>
      </c>
      <c r="K85" s="47" t="s">
        <v>37</v>
      </c>
      <c r="L85" s="57">
        <v>263884</v>
      </c>
      <c r="M85" s="57">
        <v>18000</v>
      </c>
      <c r="N85" s="57">
        <v>70000</v>
      </c>
      <c r="O85" s="57">
        <v>23000</v>
      </c>
      <c r="P85" s="47" t="s">
        <v>37</v>
      </c>
      <c r="Q85" s="47" t="s">
        <v>37</v>
      </c>
      <c r="R85" s="47" t="s">
        <v>37</v>
      </c>
      <c r="S85" s="47" t="s">
        <v>37</v>
      </c>
      <c r="T85" s="47" t="s">
        <v>37</v>
      </c>
      <c r="U85" s="47" t="s">
        <v>37</v>
      </c>
      <c r="V85" s="47" t="s">
        <v>37</v>
      </c>
      <c r="W85" s="47" t="s">
        <v>37</v>
      </c>
      <c r="X85" s="47" t="s">
        <v>37</v>
      </c>
      <c r="Y85" s="47" t="s">
        <v>37</v>
      </c>
      <c r="Z85" s="47" t="s">
        <v>37</v>
      </c>
      <c r="AA85" s="47" t="s">
        <v>37</v>
      </c>
      <c r="AB85" s="47" t="s">
        <v>37</v>
      </c>
    </row>
    <row r="86" spans="1:28">
      <c r="A86" s="44" t="s">
        <v>783</v>
      </c>
      <c r="B86" s="47" t="s">
        <v>37</v>
      </c>
      <c r="C86" s="47" t="s">
        <v>37</v>
      </c>
      <c r="D86" s="47" t="s">
        <v>37</v>
      </c>
      <c r="E86" s="57">
        <v>369902</v>
      </c>
      <c r="F86" s="57">
        <v>46149</v>
      </c>
      <c r="G86" s="57">
        <v>82988</v>
      </c>
      <c r="H86" s="57">
        <v>44710</v>
      </c>
      <c r="I86" s="57">
        <v>383226</v>
      </c>
      <c r="J86" s="57">
        <v>671836</v>
      </c>
      <c r="K86" s="57">
        <v>733617</v>
      </c>
      <c r="L86" s="57">
        <v>392943</v>
      </c>
      <c r="M86" s="57">
        <v>206464</v>
      </c>
      <c r="N86" s="57">
        <v>414659</v>
      </c>
      <c r="O86" s="57">
        <v>231025</v>
      </c>
      <c r="P86" s="57">
        <v>282106</v>
      </c>
      <c r="Q86" s="57">
        <v>181850</v>
      </c>
      <c r="R86" s="57">
        <v>178683</v>
      </c>
      <c r="S86" s="47" t="s">
        <v>37</v>
      </c>
      <c r="T86" s="47" t="s">
        <v>37</v>
      </c>
      <c r="U86" s="47" t="s">
        <v>37</v>
      </c>
      <c r="V86" s="47" t="s">
        <v>37</v>
      </c>
      <c r="W86" s="47" t="s">
        <v>37</v>
      </c>
      <c r="X86" s="47" t="s">
        <v>37</v>
      </c>
      <c r="Y86" s="47" t="s">
        <v>37</v>
      </c>
      <c r="Z86" s="47" t="s">
        <v>37</v>
      </c>
      <c r="AA86" s="47" t="s">
        <v>37</v>
      </c>
      <c r="AB86" s="47" t="s">
        <v>37</v>
      </c>
    </row>
    <row r="87" spans="1:28">
      <c r="A87" s="44" t="s">
        <v>784</v>
      </c>
      <c r="B87" s="47" t="s">
        <v>37</v>
      </c>
      <c r="C87" s="47" t="s">
        <v>37</v>
      </c>
      <c r="D87" s="47" t="s">
        <v>37</v>
      </c>
      <c r="E87" s="57">
        <v>13484</v>
      </c>
      <c r="F87" s="57">
        <v>7750</v>
      </c>
      <c r="G87" s="57">
        <v>58253</v>
      </c>
      <c r="H87" s="57">
        <v>28000</v>
      </c>
      <c r="I87" s="57">
        <v>48925</v>
      </c>
      <c r="J87" s="57">
        <v>16225</v>
      </c>
      <c r="K87" s="57">
        <v>5400</v>
      </c>
      <c r="L87" s="57">
        <v>55018</v>
      </c>
      <c r="M87" s="57">
        <v>6430</v>
      </c>
      <c r="N87" s="57">
        <v>6000</v>
      </c>
      <c r="O87" s="47" t="s">
        <v>37</v>
      </c>
      <c r="P87" s="47" t="s">
        <v>37</v>
      </c>
      <c r="Q87" s="57">
        <v>37100</v>
      </c>
      <c r="R87" s="47" t="s">
        <v>37</v>
      </c>
      <c r="S87" s="47" t="s">
        <v>37</v>
      </c>
      <c r="T87" s="47" t="s">
        <v>37</v>
      </c>
      <c r="U87" s="47" t="s">
        <v>37</v>
      </c>
      <c r="V87" s="47" t="s">
        <v>37</v>
      </c>
      <c r="W87" s="47" t="s">
        <v>37</v>
      </c>
      <c r="X87" s="47" t="s">
        <v>37</v>
      </c>
      <c r="Y87" s="47" t="s">
        <v>37</v>
      </c>
      <c r="Z87" s="47" t="s">
        <v>37</v>
      </c>
      <c r="AA87" s="47" t="s">
        <v>37</v>
      </c>
      <c r="AB87" s="47" t="s">
        <v>37</v>
      </c>
    </row>
    <row r="88" spans="1:28">
      <c r="A88" s="44" t="s">
        <v>785</v>
      </c>
      <c r="B88" s="47" t="s">
        <v>37</v>
      </c>
      <c r="C88" s="47" t="s">
        <v>37</v>
      </c>
      <c r="D88" s="47" t="s">
        <v>37</v>
      </c>
      <c r="E88" s="57">
        <v>1333677</v>
      </c>
      <c r="F88" s="57">
        <v>1968987</v>
      </c>
      <c r="G88" s="57">
        <v>1989746</v>
      </c>
      <c r="H88" s="57">
        <v>2667786</v>
      </c>
      <c r="I88" s="57">
        <v>3347471</v>
      </c>
      <c r="J88" s="57">
        <v>2683410</v>
      </c>
      <c r="K88" s="57">
        <v>1944393</v>
      </c>
      <c r="L88" s="57">
        <v>1760316</v>
      </c>
      <c r="M88" s="57">
        <v>1565422</v>
      </c>
      <c r="N88" s="57">
        <v>1214763</v>
      </c>
      <c r="O88" s="57">
        <v>1006738</v>
      </c>
      <c r="P88" s="57">
        <v>724632</v>
      </c>
      <c r="Q88" s="57">
        <v>505682</v>
      </c>
      <c r="R88" s="57">
        <v>326999</v>
      </c>
      <c r="S88" s="47" t="s">
        <v>37</v>
      </c>
      <c r="T88" s="47" t="s">
        <v>37</v>
      </c>
      <c r="U88" s="47" t="s">
        <v>37</v>
      </c>
      <c r="V88" s="47" t="s">
        <v>37</v>
      </c>
      <c r="W88" s="47" t="s">
        <v>37</v>
      </c>
      <c r="X88" s="47" t="s">
        <v>37</v>
      </c>
      <c r="Y88" s="47" t="s">
        <v>37</v>
      </c>
      <c r="Z88" s="47" t="s">
        <v>37</v>
      </c>
      <c r="AA88" s="47" t="s">
        <v>37</v>
      </c>
      <c r="AB88" s="47" t="s">
        <v>37</v>
      </c>
    </row>
    <row r="89" spans="1:28">
      <c r="A89" s="44" t="s">
        <v>786</v>
      </c>
      <c r="B89" s="47" t="s">
        <v>37</v>
      </c>
      <c r="C89" s="47" t="s">
        <v>37</v>
      </c>
      <c r="D89" s="47" t="s">
        <v>37</v>
      </c>
      <c r="E89" s="128">
        <v>13.474</v>
      </c>
      <c r="F89" s="128">
        <v>24.792999999999999</v>
      </c>
      <c r="G89" s="128">
        <v>24.986000000000001</v>
      </c>
      <c r="H89" s="128">
        <v>24.614999999999998</v>
      </c>
      <c r="I89" s="128">
        <v>25.071999999999999</v>
      </c>
      <c r="J89" s="128">
        <v>25.56</v>
      </c>
      <c r="K89" s="128">
        <v>26.222999999999999</v>
      </c>
      <c r="L89" s="128">
        <v>29.602</v>
      </c>
      <c r="M89" s="128">
        <v>30.327999999999999</v>
      </c>
      <c r="N89" s="128">
        <v>32.021999999999998</v>
      </c>
      <c r="O89" s="128">
        <v>33.479999999999997</v>
      </c>
      <c r="P89" s="128">
        <v>30.18</v>
      </c>
      <c r="Q89" s="128">
        <v>28.88</v>
      </c>
      <c r="R89" s="128">
        <v>29.75</v>
      </c>
      <c r="S89" s="47" t="s">
        <v>37</v>
      </c>
      <c r="T89" s="47" t="s">
        <v>37</v>
      </c>
      <c r="U89" s="47" t="s">
        <v>37</v>
      </c>
      <c r="V89" s="47" t="s">
        <v>37</v>
      </c>
      <c r="W89" s="47" t="s">
        <v>37</v>
      </c>
      <c r="X89" s="47" t="s">
        <v>37</v>
      </c>
      <c r="Y89" s="47" t="s">
        <v>37</v>
      </c>
      <c r="Z89" s="47" t="s">
        <v>37</v>
      </c>
      <c r="AA89" s="47" t="s">
        <v>37</v>
      </c>
      <c r="AB89" s="47" t="s">
        <v>37</v>
      </c>
    </row>
    <row r="90" spans="1:28">
      <c r="A90" s="44" t="s">
        <v>787</v>
      </c>
      <c r="B90" s="47" t="s">
        <v>37</v>
      </c>
      <c r="C90" s="47" t="s">
        <v>37</v>
      </c>
      <c r="D90" s="47" t="s">
        <v>37</v>
      </c>
      <c r="E90" s="128">
        <v>29.31</v>
      </c>
      <c r="F90" s="128">
        <v>28.228000000000002</v>
      </c>
      <c r="G90" s="128">
        <v>25.905999999999999</v>
      </c>
      <c r="H90" s="128">
        <v>23.494</v>
      </c>
      <c r="I90" s="128">
        <v>25.416</v>
      </c>
      <c r="J90" s="128">
        <v>33.68</v>
      </c>
      <c r="K90" s="47" t="s">
        <v>37</v>
      </c>
      <c r="L90" s="128">
        <v>49.79</v>
      </c>
      <c r="M90" s="128">
        <v>61.48</v>
      </c>
      <c r="N90" s="128">
        <v>90.87</v>
      </c>
      <c r="O90" s="47" t="s">
        <v>37</v>
      </c>
      <c r="P90" s="47" t="s">
        <v>37</v>
      </c>
      <c r="Q90" s="47" t="s">
        <v>37</v>
      </c>
      <c r="R90" s="47" t="s">
        <v>37</v>
      </c>
      <c r="S90" s="47" t="s">
        <v>37</v>
      </c>
      <c r="T90" s="47" t="s">
        <v>37</v>
      </c>
      <c r="U90" s="47" t="s">
        <v>37</v>
      </c>
      <c r="V90" s="47" t="s">
        <v>37</v>
      </c>
      <c r="W90" s="47" t="s">
        <v>37</v>
      </c>
      <c r="X90" s="47" t="s">
        <v>37</v>
      </c>
      <c r="Y90" s="47" t="s">
        <v>37</v>
      </c>
      <c r="Z90" s="47" t="s">
        <v>37</v>
      </c>
      <c r="AA90" s="47" t="s">
        <v>37</v>
      </c>
      <c r="AB90" s="47" t="s">
        <v>37</v>
      </c>
    </row>
    <row r="91" spans="1:28">
      <c r="A91" s="38" t="s">
        <v>788</v>
      </c>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row>
    <row r="92" spans="1:28">
      <c r="A92" s="44" t="s">
        <v>789</v>
      </c>
      <c r="B92" s="47" t="s">
        <v>37</v>
      </c>
      <c r="C92" s="47" t="s">
        <v>37</v>
      </c>
      <c r="D92" s="47" t="s">
        <v>37</v>
      </c>
      <c r="E92" s="57">
        <v>1708063</v>
      </c>
      <c r="F92" s="57">
        <v>1333677</v>
      </c>
      <c r="G92" s="57">
        <v>1968987</v>
      </c>
      <c r="H92" s="57">
        <v>1989746</v>
      </c>
      <c r="I92" s="57">
        <v>2667786</v>
      </c>
      <c r="J92" s="57">
        <v>3347471</v>
      </c>
      <c r="K92" s="57">
        <v>2683410</v>
      </c>
      <c r="L92" s="57">
        <v>1944393</v>
      </c>
      <c r="M92" s="57">
        <v>1760316</v>
      </c>
      <c r="N92" s="57">
        <v>1565422</v>
      </c>
      <c r="O92" s="57">
        <v>1214763</v>
      </c>
      <c r="P92" s="57">
        <v>1006738</v>
      </c>
      <c r="Q92" s="57">
        <v>724632</v>
      </c>
      <c r="R92" s="57">
        <v>505682</v>
      </c>
      <c r="S92" s="47" t="s">
        <v>37</v>
      </c>
      <c r="T92" s="47" t="s">
        <v>37</v>
      </c>
      <c r="U92" s="47" t="s">
        <v>37</v>
      </c>
      <c r="V92" s="47" t="s">
        <v>37</v>
      </c>
      <c r="W92" s="47" t="s">
        <v>37</v>
      </c>
      <c r="X92" s="47" t="s">
        <v>37</v>
      </c>
      <c r="Y92" s="47" t="s">
        <v>37</v>
      </c>
      <c r="Z92" s="47" t="s">
        <v>37</v>
      </c>
      <c r="AA92" s="47" t="s">
        <v>37</v>
      </c>
      <c r="AB92" s="47" t="s">
        <v>37</v>
      </c>
    </row>
    <row r="93" spans="1:28">
      <c r="A93" s="44" t="s">
        <v>790</v>
      </c>
      <c r="B93" s="47" t="s">
        <v>37</v>
      </c>
      <c r="C93" s="47" t="s">
        <v>37</v>
      </c>
      <c r="D93" s="47" t="s">
        <v>37</v>
      </c>
      <c r="E93" s="57">
        <v>457753</v>
      </c>
      <c r="F93" s="57">
        <v>689209</v>
      </c>
      <c r="G93" s="57">
        <v>162000</v>
      </c>
      <c r="H93" s="57">
        <v>750750</v>
      </c>
      <c r="I93" s="57">
        <v>1111836</v>
      </c>
      <c r="J93" s="57">
        <v>24000</v>
      </c>
      <c r="K93" s="47" t="s">
        <v>37</v>
      </c>
      <c r="L93" s="57">
        <v>263884</v>
      </c>
      <c r="M93" s="57">
        <v>18000</v>
      </c>
      <c r="N93" s="57">
        <v>70000</v>
      </c>
      <c r="O93" s="57">
        <v>23000</v>
      </c>
      <c r="P93" s="47" t="s">
        <v>37</v>
      </c>
      <c r="Q93" s="47" t="s">
        <v>37</v>
      </c>
      <c r="R93" s="47" t="s">
        <v>37</v>
      </c>
      <c r="S93" s="47" t="s">
        <v>37</v>
      </c>
      <c r="T93" s="47" t="s">
        <v>37</v>
      </c>
      <c r="U93" s="47" t="s">
        <v>37</v>
      </c>
      <c r="V93" s="47" t="s">
        <v>37</v>
      </c>
      <c r="W93" s="47" t="s">
        <v>37</v>
      </c>
      <c r="X93" s="47" t="s">
        <v>37</v>
      </c>
      <c r="Y93" s="47" t="s">
        <v>37</v>
      </c>
      <c r="Z93" s="47" t="s">
        <v>37</v>
      </c>
      <c r="AA93" s="47" t="s">
        <v>37</v>
      </c>
      <c r="AB93" s="47" t="s">
        <v>37</v>
      </c>
    </row>
    <row r="94" spans="1:28">
      <c r="A94" s="44" t="s">
        <v>791</v>
      </c>
      <c r="B94" s="47" t="s">
        <v>37</v>
      </c>
      <c r="C94" s="47" t="s">
        <v>37</v>
      </c>
      <c r="D94" s="47" t="s">
        <v>37</v>
      </c>
      <c r="E94" s="57">
        <v>369902</v>
      </c>
      <c r="F94" s="57">
        <v>46149</v>
      </c>
      <c r="G94" s="57">
        <v>82988</v>
      </c>
      <c r="H94" s="57">
        <v>44710</v>
      </c>
      <c r="I94" s="57">
        <v>383226</v>
      </c>
      <c r="J94" s="57">
        <v>671836</v>
      </c>
      <c r="K94" s="57">
        <v>733617</v>
      </c>
      <c r="L94" s="57">
        <v>392943</v>
      </c>
      <c r="M94" s="57">
        <v>206464</v>
      </c>
      <c r="N94" s="57">
        <v>414659</v>
      </c>
      <c r="O94" s="57">
        <v>231025</v>
      </c>
      <c r="P94" s="57">
        <v>282106</v>
      </c>
      <c r="Q94" s="57">
        <v>181850</v>
      </c>
      <c r="R94" s="57">
        <v>178683</v>
      </c>
      <c r="S94" s="47" t="s">
        <v>37</v>
      </c>
      <c r="T94" s="47" t="s">
        <v>37</v>
      </c>
      <c r="U94" s="47" t="s">
        <v>37</v>
      </c>
      <c r="V94" s="47" t="s">
        <v>37</v>
      </c>
      <c r="W94" s="47" t="s">
        <v>37</v>
      </c>
      <c r="X94" s="47" t="s">
        <v>37</v>
      </c>
      <c r="Y94" s="47" t="s">
        <v>37</v>
      </c>
      <c r="Z94" s="47" t="s">
        <v>37</v>
      </c>
      <c r="AA94" s="47" t="s">
        <v>37</v>
      </c>
      <c r="AB94" s="47" t="s">
        <v>37</v>
      </c>
    </row>
    <row r="95" spans="1:28">
      <c r="A95" s="44" t="s">
        <v>792</v>
      </c>
      <c r="B95" s="47" t="s">
        <v>37</v>
      </c>
      <c r="C95" s="47" t="s">
        <v>37</v>
      </c>
      <c r="D95" s="47" t="s">
        <v>37</v>
      </c>
      <c r="E95" s="57">
        <v>13484</v>
      </c>
      <c r="F95" s="57">
        <v>7750</v>
      </c>
      <c r="G95" s="57">
        <v>58253</v>
      </c>
      <c r="H95" s="57">
        <v>28000</v>
      </c>
      <c r="I95" s="57">
        <v>48925</v>
      </c>
      <c r="J95" s="57">
        <v>16225</v>
      </c>
      <c r="K95" s="57">
        <v>5400</v>
      </c>
      <c r="L95" s="57">
        <v>55018</v>
      </c>
      <c r="M95" s="57">
        <v>6430</v>
      </c>
      <c r="N95" s="57">
        <v>6000</v>
      </c>
      <c r="O95" s="47" t="s">
        <v>37</v>
      </c>
      <c r="P95" s="47" t="s">
        <v>37</v>
      </c>
      <c r="Q95" s="57">
        <v>37100</v>
      </c>
      <c r="R95" s="47" t="s">
        <v>37</v>
      </c>
      <c r="S95" s="47" t="s">
        <v>37</v>
      </c>
      <c r="T95" s="47" t="s">
        <v>37</v>
      </c>
      <c r="U95" s="47" t="s">
        <v>37</v>
      </c>
      <c r="V95" s="47" t="s">
        <v>37</v>
      </c>
      <c r="W95" s="47" t="s">
        <v>37</v>
      </c>
      <c r="X95" s="47" t="s">
        <v>37</v>
      </c>
      <c r="Y95" s="47" t="s">
        <v>37</v>
      </c>
      <c r="Z95" s="47" t="s">
        <v>37</v>
      </c>
      <c r="AA95" s="47" t="s">
        <v>37</v>
      </c>
      <c r="AB95" s="47" t="s">
        <v>37</v>
      </c>
    </row>
    <row r="96" spans="1:28">
      <c r="A96" s="44" t="s">
        <v>793</v>
      </c>
      <c r="B96" s="47" t="s">
        <v>37</v>
      </c>
      <c r="C96" s="47" t="s">
        <v>37</v>
      </c>
      <c r="D96" s="47" t="s">
        <v>37</v>
      </c>
      <c r="E96" s="57">
        <v>1333677</v>
      </c>
      <c r="F96" s="57">
        <v>1968987</v>
      </c>
      <c r="G96" s="57">
        <v>1989746</v>
      </c>
      <c r="H96" s="57">
        <v>2667786</v>
      </c>
      <c r="I96" s="57">
        <v>3347471</v>
      </c>
      <c r="J96" s="57">
        <v>2683410</v>
      </c>
      <c r="K96" s="57">
        <v>1944393</v>
      </c>
      <c r="L96" s="57">
        <v>1760316</v>
      </c>
      <c r="M96" s="57">
        <v>1565422</v>
      </c>
      <c r="N96" s="57">
        <v>1214763</v>
      </c>
      <c r="O96" s="57">
        <v>1006738</v>
      </c>
      <c r="P96" s="57">
        <v>724632</v>
      </c>
      <c r="Q96" s="57">
        <v>505682</v>
      </c>
      <c r="R96" s="57">
        <v>326999</v>
      </c>
      <c r="S96" s="47" t="s">
        <v>37</v>
      </c>
      <c r="T96" s="47" t="s">
        <v>37</v>
      </c>
      <c r="U96" s="47" t="s">
        <v>37</v>
      </c>
      <c r="V96" s="47" t="s">
        <v>37</v>
      </c>
      <c r="W96" s="47" t="s">
        <v>37</v>
      </c>
      <c r="X96" s="47" t="s">
        <v>37</v>
      </c>
      <c r="Y96" s="47" t="s">
        <v>37</v>
      </c>
      <c r="Z96" s="47" t="s">
        <v>37</v>
      </c>
      <c r="AA96" s="47" t="s">
        <v>37</v>
      </c>
      <c r="AB96" s="47" t="s">
        <v>37</v>
      </c>
    </row>
    <row r="97" spans="1:28">
      <c r="A97" s="38" t="s">
        <v>794</v>
      </c>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row>
    <row r="98" spans="1:28">
      <c r="A98" s="44" t="s">
        <v>795</v>
      </c>
      <c r="B98" s="47" t="s">
        <v>37</v>
      </c>
      <c r="C98" s="47" t="s">
        <v>37</v>
      </c>
      <c r="D98" s="47" t="s">
        <v>37</v>
      </c>
      <c r="E98" s="47" t="s">
        <v>37</v>
      </c>
      <c r="F98" s="47" t="s">
        <v>37</v>
      </c>
      <c r="G98" s="47" t="s">
        <v>37</v>
      </c>
      <c r="H98" s="47" t="s">
        <v>37</v>
      </c>
      <c r="I98" s="57">
        <v>11512</v>
      </c>
      <c r="J98" s="57">
        <v>8957</v>
      </c>
      <c r="K98" s="57">
        <v>10355</v>
      </c>
      <c r="L98" s="57">
        <v>11935</v>
      </c>
      <c r="M98" s="57">
        <v>14320</v>
      </c>
      <c r="N98" s="57">
        <v>23369</v>
      </c>
      <c r="O98" s="57">
        <v>26779</v>
      </c>
      <c r="P98" s="57">
        <v>28640</v>
      </c>
      <c r="Q98" s="57">
        <v>22870</v>
      </c>
      <c r="R98" s="57">
        <v>16839</v>
      </c>
      <c r="S98" s="57">
        <v>9700</v>
      </c>
      <c r="T98" s="57">
        <v>10400</v>
      </c>
      <c r="U98" s="57">
        <v>13400</v>
      </c>
      <c r="V98" s="57">
        <v>12300</v>
      </c>
      <c r="W98" s="57">
        <v>9400</v>
      </c>
      <c r="X98" s="57">
        <v>9100</v>
      </c>
      <c r="Y98" s="57">
        <v>9000</v>
      </c>
      <c r="Z98" s="57">
        <v>7800</v>
      </c>
      <c r="AA98" s="57">
        <v>11000</v>
      </c>
      <c r="AB98" s="57">
        <v>6000</v>
      </c>
    </row>
    <row r="99" spans="1:28">
      <c r="A99" s="44" t="s">
        <v>796</v>
      </c>
      <c r="B99" s="47" t="s">
        <v>37</v>
      </c>
      <c r="C99" s="47" t="s">
        <v>37</v>
      </c>
      <c r="D99" s="47" t="s">
        <v>37</v>
      </c>
      <c r="E99" s="47" t="s">
        <v>37</v>
      </c>
      <c r="F99" s="47" t="s">
        <v>37</v>
      </c>
      <c r="G99" s="47" t="s">
        <v>37</v>
      </c>
      <c r="H99" s="57">
        <v>11770</v>
      </c>
      <c r="I99" s="57">
        <v>11512</v>
      </c>
      <c r="J99" s="57">
        <v>8957</v>
      </c>
      <c r="K99" s="57">
        <v>10355</v>
      </c>
      <c r="L99" s="57">
        <v>11935</v>
      </c>
      <c r="M99" s="57">
        <v>14320</v>
      </c>
      <c r="N99" s="57">
        <v>23369</v>
      </c>
      <c r="O99" s="57">
        <v>26779</v>
      </c>
      <c r="P99" s="57">
        <v>28640</v>
      </c>
      <c r="Q99" s="57">
        <v>22870</v>
      </c>
      <c r="R99" s="57">
        <v>21500</v>
      </c>
      <c r="S99" s="57">
        <v>26200</v>
      </c>
      <c r="T99" s="57">
        <v>32400</v>
      </c>
      <c r="U99" s="57">
        <v>39100</v>
      </c>
      <c r="V99" s="57">
        <v>39900</v>
      </c>
      <c r="W99" s="57">
        <v>34300</v>
      </c>
      <c r="X99" s="57">
        <v>40100</v>
      </c>
      <c r="Y99" s="57">
        <v>23000</v>
      </c>
      <c r="Z99" s="57">
        <v>19800</v>
      </c>
      <c r="AA99" s="57">
        <v>26800</v>
      </c>
      <c r="AB99" s="57">
        <v>12900</v>
      </c>
    </row>
    <row r="100" spans="1:28">
      <c r="A100" s="38" t="s">
        <v>797</v>
      </c>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row>
    <row r="101" spans="1:28">
      <c r="A101" s="44" t="s">
        <v>798</v>
      </c>
      <c r="B101" s="57">
        <v>1586</v>
      </c>
      <c r="C101" s="47" t="s">
        <v>37</v>
      </c>
      <c r="D101" s="57">
        <v>5831</v>
      </c>
      <c r="E101" s="57">
        <v>11589</v>
      </c>
      <c r="F101" s="57">
        <v>10567</v>
      </c>
      <c r="G101" s="57">
        <v>19641</v>
      </c>
      <c r="H101" s="57">
        <v>19831</v>
      </c>
      <c r="I101" s="57">
        <v>9807</v>
      </c>
      <c r="J101" s="57">
        <v>4249</v>
      </c>
      <c r="K101" s="57">
        <v>10705</v>
      </c>
      <c r="L101" s="57">
        <v>14612</v>
      </c>
      <c r="M101" s="57">
        <v>14433</v>
      </c>
      <c r="N101" s="57">
        <v>30115</v>
      </c>
      <c r="O101" s="57">
        <v>35793</v>
      </c>
      <c r="P101" s="57">
        <v>28451</v>
      </c>
      <c r="Q101" s="57">
        <v>14749</v>
      </c>
      <c r="R101" s="57">
        <v>3715</v>
      </c>
      <c r="S101" s="57">
        <v>5815</v>
      </c>
      <c r="T101" s="57">
        <v>20703</v>
      </c>
      <c r="U101" s="57">
        <v>15585</v>
      </c>
      <c r="V101" s="57">
        <v>16500</v>
      </c>
      <c r="W101" s="57">
        <v>32664</v>
      </c>
      <c r="X101" s="57">
        <v>31250</v>
      </c>
      <c r="Y101" s="57">
        <v>24754</v>
      </c>
      <c r="Z101" s="57">
        <v>19871</v>
      </c>
      <c r="AA101" s="57">
        <v>33342</v>
      </c>
      <c r="AB101" s="47" t="s">
        <v>37</v>
      </c>
    </row>
    <row r="102" spans="1:28">
      <c r="A102" s="44" t="s">
        <v>799</v>
      </c>
      <c r="B102" s="47" t="s">
        <v>37</v>
      </c>
      <c r="C102" s="47" t="s">
        <v>37</v>
      </c>
      <c r="D102" s="47" t="s">
        <v>37</v>
      </c>
      <c r="E102" s="47" t="s">
        <v>37</v>
      </c>
      <c r="F102" s="47" t="s">
        <v>37</v>
      </c>
      <c r="G102" s="47" t="s">
        <v>37</v>
      </c>
      <c r="H102" s="47" t="s">
        <v>37</v>
      </c>
      <c r="I102" s="57">
        <v>1706</v>
      </c>
      <c r="J102" s="57">
        <v>1876</v>
      </c>
      <c r="K102" s="57">
        <v>1850</v>
      </c>
      <c r="L102" s="57">
        <v>2533</v>
      </c>
      <c r="M102" s="57">
        <v>2772</v>
      </c>
      <c r="N102" s="57">
        <v>5027</v>
      </c>
      <c r="O102" s="57">
        <v>2462</v>
      </c>
      <c r="P102" s="57">
        <v>4927</v>
      </c>
      <c r="Q102" s="57">
        <v>4367</v>
      </c>
      <c r="R102" s="57">
        <v>3085</v>
      </c>
      <c r="S102" s="57">
        <v>3961</v>
      </c>
      <c r="T102" s="57">
        <v>999</v>
      </c>
      <c r="U102" s="57">
        <v>3900</v>
      </c>
      <c r="V102" s="57">
        <v>3925</v>
      </c>
      <c r="W102" s="57">
        <v>4527</v>
      </c>
      <c r="X102" s="47" t="s">
        <v>37</v>
      </c>
      <c r="Y102" s="47" t="s">
        <v>37</v>
      </c>
      <c r="Z102" s="47" t="s">
        <v>37</v>
      </c>
      <c r="AA102" s="47" t="s">
        <v>37</v>
      </c>
      <c r="AB102" s="47" t="s">
        <v>37</v>
      </c>
    </row>
  </sheetData>
  <phoneticPr fontId="4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FAD22-AEF0-A846-A531-2216ACDC8E9A}">
  <dimension ref="A1:AC79"/>
  <sheetViews>
    <sheetView zoomScale="160" zoomScaleNormal="160" workbookViewId="0">
      <pane xSplit="1" ySplit="1" topLeftCell="B68" activePane="bottomRight" state="frozen"/>
      <selection pane="topRight" activeCell="B1" sqref="B1"/>
      <selection pane="bottomLeft" activeCell="A2" sqref="A2"/>
      <selection pane="bottomRight" activeCell="A68" sqref="A68"/>
    </sheetView>
  </sheetViews>
  <sheetFormatPr defaultColWidth="10.58203125" defaultRowHeight="14"/>
  <cols>
    <col min="1" max="1" width="34.5" customWidth="1"/>
    <col min="2" max="2" width="10.5" customWidth="1"/>
  </cols>
  <sheetData>
    <row r="1" spans="1:29" ht="14.5" thickBot="1">
      <c r="A1" s="3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710</v>
      </c>
    </row>
    <row r="2" spans="1:29" ht="28">
      <c r="A2" s="44" t="s">
        <v>30</v>
      </c>
      <c r="B2" s="44"/>
      <c r="C2" s="47" t="s">
        <v>31</v>
      </c>
      <c r="D2" s="47" t="s">
        <v>31</v>
      </c>
      <c r="E2" s="47" t="s">
        <v>31</v>
      </c>
      <c r="F2" s="47" t="s">
        <v>31</v>
      </c>
      <c r="G2" s="47" t="s">
        <v>31</v>
      </c>
      <c r="H2" s="47" t="s">
        <v>31</v>
      </c>
      <c r="I2" s="47" t="s">
        <v>31</v>
      </c>
      <c r="J2" s="47" t="s">
        <v>31</v>
      </c>
      <c r="K2" s="47" t="s">
        <v>31</v>
      </c>
      <c r="L2" s="47" t="s">
        <v>31</v>
      </c>
      <c r="M2" s="47" t="s">
        <v>31</v>
      </c>
      <c r="N2" s="47" t="s">
        <v>31</v>
      </c>
      <c r="O2" s="47" t="s">
        <v>31</v>
      </c>
      <c r="P2" s="47" t="s">
        <v>31</v>
      </c>
      <c r="Q2" s="47" t="s">
        <v>31</v>
      </c>
      <c r="R2" s="47" t="s">
        <v>31</v>
      </c>
      <c r="S2" s="47" t="s">
        <v>31</v>
      </c>
      <c r="T2" s="47" t="s">
        <v>31</v>
      </c>
      <c r="U2" s="47" t="s">
        <v>31</v>
      </c>
      <c r="V2" s="47" t="s">
        <v>31</v>
      </c>
      <c r="W2" s="47" t="s">
        <v>31</v>
      </c>
      <c r="X2" s="47" t="s">
        <v>31</v>
      </c>
      <c r="Y2" s="47" t="s">
        <v>31</v>
      </c>
      <c r="Z2" s="47" t="s">
        <v>31</v>
      </c>
      <c r="AA2" s="47" t="s">
        <v>31</v>
      </c>
      <c r="AB2" s="47" t="s">
        <v>31</v>
      </c>
      <c r="AC2" s="47" t="s">
        <v>31</v>
      </c>
    </row>
    <row r="3" spans="1:29">
      <c r="A3" s="44" t="s">
        <v>711</v>
      </c>
      <c r="B3" s="44"/>
      <c r="C3" s="56">
        <v>34699</v>
      </c>
      <c r="D3" s="56">
        <v>35064</v>
      </c>
      <c r="E3" s="56">
        <v>35430</v>
      </c>
      <c r="F3" s="56">
        <v>35795</v>
      </c>
      <c r="G3" s="56">
        <v>36160</v>
      </c>
      <c r="H3" s="56">
        <v>36525</v>
      </c>
      <c r="I3" s="56">
        <v>36891</v>
      </c>
      <c r="J3" s="56">
        <v>37256</v>
      </c>
      <c r="K3" s="56">
        <v>37621</v>
      </c>
      <c r="L3" s="56">
        <v>37986</v>
      </c>
      <c r="M3" s="56">
        <v>38352</v>
      </c>
      <c r="N3" s="56">
        <v>38717</v>
      </c>
      <c r="O3" s="56">
        <v>39082</v>
      </c>
      <c r="P3" s="56">
        <v>39447</v>
      </c>
      <c r="Q3" s="56">
        <v>39813</v>
      </c>
      <c r="R3" s="56">
        <v>40178</v>
      </c>
      <c r="S3" s="56">
        <v>40543</v>
      </c>
      <c r="T3" s="56">
        <v>40908</v>
      </c>
      <c r="U3" s="56">
        <v>41274</v>
      </c>
      <c r="V3" s="56">
        <v>41639</v>
      </c>
      <c r="W3" s="56">
        <v>42004</v>
      </c>
      <c r="X3" s="56">
        <v>42369</v>
      </c>
      <c r="Y3" s="56">
        <v>42735</v>
      </c>
      <c r="Z3" s="56">
        <v>43100</v>
      </c>
      <c r="AA3" s="56">
        <v>43465</v>
      </c>
      <c r="AB3" s="56">
        <v>43830</v>
      </c>
      <c r="AC3" s="56">
        <v>44012</v>
      </c>
    </row>
    <row r="4" spans="1:29">
      <c r="A4" s="44" t="s">
        <v>712</v>
      </c>
      <c r="B4" s="44"/>
      <c r="C4" s="56">
        <v>35515</v>
      </c>
      <c r="D4" s="56">
        <v>35997</v>
      </c>
      <c r="E4" s="56">
        <v>36250</v>
      </c>
      <c r="F4" s="56">
        <v>36614</v>
      </c>
      <c r="G4" s="56">
        <v>36979</v>
      </c>
      <c r="H4" s="56">
        <v>37344</v>
      </c>
      <c r="I4" s="56">
        <v>37687</v>
      </c>
      <c r="J4" s="56">
        <v>38061</v>
      </c>
      <c r="K4" s="56">
        <v>38427</v>
      </c>
      <c r="L4" s="56">
        <v>38784</v>
      </c>
      <c r="M4" s="56">
        <v>39141</v>
      </c>
      <c r="N4" s="56">
        <v>39504</v>
      </c>
      <c r="O4" s="56">
        <v>39934</v>
      </c>
      <c r="P4" s="56">
        <v>40234</v>
      </c>
      <c r="Q4" s="56">
        <v>40599</v>
      </c>
      <c r="R4" s="56">
        <v>40967</v>
      </c>
      <c r="S4" s="56">
        <v>41333</v>
      </c>
      <c r="T4" s="56">
        <v>41697</v>
      </c>
      <c r="U4" s="56">
        <v>42062</v>
      </c>
      <c r="V4" s="56">
        <v>42426</v>
      </c>
      <c r="W4" s="56">
        <v>42790</v>
      </c>
      <c r="X4" s="56">
        <v>43154</v>
      </c>
      <c r="Y4" s="56">
        <v>43518</v>
      </c>
      <c r="Z4" s="56">
        <v>43882</v>
      </c>
      <c r="AA4" s="56">
        <v>43882</v>
      </c>
      <c r="AB4" s="56">
        <v>43882</v>
      </c>
      <c r="AC4" s="56">
        <v>44053</v>
      </c>
    </row>
    <row r="5" spans="1:29">
      <c r="A5" s="44" t="s">
        <v>713</v>
      </c>
      <c r="B5" s="44"/>
      <c r="C5" s="47" t="s">
        <v>41</v>
      </c>
      <c r="D5" s="47" t="s">
        <v>41</v>
      </c>
      <c r="E5" s="47" t="s">
        <v>41</v>
      </c>
      <c r="F5" s="47" t="s">
        <v>41</v>
      </c>
      <c r="G5" s="47" t="s">
        <v>41</v>
      </c>
      <c r="H5" s="47" t="s">
        <v>41</v>
      </c>
      <c r="I5" s="47" t="s">
        <v>41</v>
      </c>
      <c r="J5" s="47" t="s">
        <v>41</v>
      </c>
      <c r="K5" s="47" t="s">
        <v>41</v>
      </c>
      <c r="L5" s="47" t="s">
        <v>41</v>
      </c>
      <c r="M5" s="47" t="s">
        <v>41</v>
      </c>
      <c r="N5" s="47" t="s">
        <v>41</v>
      </c>
      <c r="O5" s="47" t="s">
        <v>41</v>
      </c>
      <c r="P5" s="47" t="s">
        <v>41</v>
      </c>
      <c r="Q5" s="47" t="s">
        <v>41</v>
      </c>
      <c r="R5" s="47" t="s">
        <v>41</v>
      </c>
      <c r="S5" s="47" t="s">
        <v>41</v>
      </c>
      <c r="T5" s="47" t="s">
        <v>41</v>
      </c>
      <c r="U5" s="47" t="s">
        <v>41</v>
      </c>
      <c r="V5" s="47" t="s">
        <v>41</v>
      </c>
      <c r="W5" s="47" t="s">
        <v>41</v>
      </c>
      <c r="X5" s="47" t="s">
        <v>41</v>
      </c>
      <c r="Y5" s="47" t="s">
        <v>41</v>
      </c>
      <c r="Z5" s="47" t="s">
        <v>41</v>
      </c>
      <c r="AA5" s="47" t="s">
        <v>41</v>
      </c>
      <c r="AB5" s="47" t="s">
        <v>41</v>
      </c>
      <c r="AC5" s="47" t="s">
        <v>41</v>
      </c>
    </row>
    <row r="6" spans="1:29">
      <c r="A6" s="44" t="s">
        <v>30</v>
      </c>
      <c r="B6" s="44"/>
      <c r="C6" s="47"/>
      <c r="D6" s="47"/>
      <c r="E6" s="47"/>
      <c r="F6" s="47"/>
      <c r="G6" s="47"/>
      <c r="H6" s="47"/>
      <c r="I6" s="47"/>
      <c r="J6" s="47"/>
      <c r="K6" s="47"/>
      <c r="L6" s="47"/>
      <c r="M6" s="47"/>
      <c r="N6" s="47"/>
      <c r="O6" s="47"/>
      <c r="P6" s="47"/>
      <c r="Q6" s="47"/>
      <c r="R6" s="47"/>
      <c r="S6" s="47"/>
      <c r="T6" s="47"/>
      <c r="U6" s="47"/>
      <c r="V6" s="47"/>
      <c r="W6" s="47"/>
      <c r="X6" s="47"/>
      <c r="Y6" s="47"/>
      <c r="Z6" s="47"/>
      <c r="AA6" s="47"/>
      <c r="AB6" s="47"/>
      <c r="AC6" s="47"/>
    </row>
    <row r="7" spans="1:29">
      <c r="A7" s="38" t="s">
        <v>800</v>
      </c>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row>
    <row r="8" spans="1:29">
      <c r="A8" s="44" t="s">
        <v>801</v>
      </c>
      <c r="B8" s="44"/>
      <c r="C8" s="57">
        <v>105139</v>
      </c>
      <c r="D8" s="57">
        <v>62721</v>
      </c>
      <c r="E8" s="57">
        <v>64309</v>
      </c>
      <c r="F8" s="57">
        <v>109699</v>
      </c>
      <c r="G8" s="57">
        <v>129195</v>
      </c>
      <c r="H8" s="57">
        <v>157632</v>
      </c>
      <c r="I8" s="57">
        <v>223111</v>
      </c>
      <c r="J8" s="57">
        <v>259760</v>
      </c>
      <c r="K8" s="57">
        <v>397129</v>
      </c>
      <c r="L8" s="57">
        <v>535623</v>
      </c>
      <c r="M8" s="57">
        <v>520084</v>
      </c>
      <c r="N8" s="57">
        <v>337048</v>
      </c>
      <c r="O8" s="57">
        <v>929360</v>
      </c>
      <c r="P8" s="57">
        <v>501982</v>
      </c>
      <c r="Q8" s="57">
        <v>773544</v>
      </c>
      <c r="R8" s="57">
        <v>3957718</v>
      </c>
      <c r="S8" s="57">
        <v>796718</v>
      </c>
      <c r="T8" s="57">
        <v>798650</v>
      </c>
      <c r="U8" s="57">
        <v>1184518</v>
      </c>
      <c r="V8" s="57">
        <v>1691006</v>
      </c>
      <c r="W8" s="57">
        <v>612282</v>
      </c>
      <c r="X8" s="57">
        <v>701134</v>
      </c>
      <c r="Y8" s="57">
        <v>560059</v>
      </c>
      <c r="Z8" s="57">
        <v>1482309</v>
      </c>
      <c r="AA8" s="57">
        <v>514335</v>
      </c>
      <c r="AB8" s="57">
        <v>669373</v>
      </c>
      <c r="AC8" s="57">
        <v>3306100</v>
      </c>
    </row>
    <row r="9" spans="1:29">
      <c r="A9" s="44" t="s">
        <v>802</v>
      </c>
      <c r="B9" s="44"/>
      <c r="C9" s="47" t="s">
        <v>37</v>
      </c>
      <c r="D9" s="47" t="s">
        <v>37</v>
      </c>
      <c r="E9" s="47" t="s">
        <v>37</v>
      </c>
      <c r="F9" s="47" t="s">
        <v>37</v>
      </c>
      <c r="G9" s="47" t="s">
        <v>37</v>
      </c>
      <c r="H9" s="47" t="s">
        <v>37</v>
      </c>
      <c r="I9" s="47" t="s">
        <v>37</v>
      </c>
      <c r="J9" s="47" t="s">
        <v>37</v>
      </c>
      <c r="K9" s="47" t="s">
        <v>37</v>
      </c>
      <c r="L9" s="47" t="s">
        <v>37</v>
      </c>
      <c r="M9" s="47" t="s">
        <v>37</v>
      </c>
      <c r="N9" s="47" t="s">
        <v>37</v>
      </c>
      <c r="O9" s="47" t="s">
        <v>37</v>
      </c>
      <c r="P9" s="47" t="s">
        <v>37</v>
      </c>
      <c r="Q9" s="47" t="s">
        <v>37</v>
      </c>
      <c r="R9" s="47" t="s">
        <v>37</v>
      </c>
      <c r="S9" s="47" t="s">
        <v>37</v>
      </c>
      <c r="T9" s="47" t="s">
        <v>37</v>
      </c>
      <c r="U9" s="47" t="s">
        <v>37</v>
      </c>
      <c r="V9" s="47" t="s">
        <v>37</v>
      </c>
      <c r="W9" s="57">
        <v>900</v>
      </c>
      <c r="X9" s="47" t="s">
        <v>37</v>
      </c>
      <c r="Y9" s="47" t="s">
        <v>37</v>
      </c>
      <c r="Z9" s="47" t="s">
        <v>37</v>
      </c>
      <c r="AA9" s="47" t="s">
        <v>37</v>
      </c>
      <c r="AB9" s="47" t="s">
        <v>37</v>
      </c>
      <c r="AC9" s="47" t="s">
        <v>37</v>
      </c>
    </row>
    <row r="10" spans="1:29">
      <c r="A10" s="38" t="s">
        <v>803</v>
      </c>
      <c r="B10" s="38"/>
      <c r="C10" s="168">
        <v>105139</v>
      </c>
      <c r="D10" s="168">
        <v>62721</v>
      </c>
      <c r="E10" s="168">
        <v>64309</v>
      </c>
      <c r="F10" s="168">
        <v>109699</v>
      </c>
      <c r="G10" s="168">
        <v>129195</v>
      </c>
      <c r="H10" s="168">
        <v>157632</v>
      </c>
      <c r="I10" s="168">
        <v>223111</v>
      </c>
      <c r="J10" s="168">
        <v>259760</v>
      </c>
      <c r="K10" s="168">
        <v>397129</v>
      </c>
      <c r="L10" s="168">
        <v>535623</v>
      </c>
      <c r="M10" s="168">
        <v>520084</v>
      </c>
      <c r="N10" s="168">
        <v>337048</v>
      </c>
      <c r="O10" s="168">
        <v>929360</v>
      </c>
      <c r="P10" s="168">
        <v>501982</v>
      </c>
      <c r="Q10" s="168">
        <v>773544</v>
      </c>
      <c r="R10" s="168">
        <v>3957718</v>
      </c>
      <c r="S10" s="168">
        <v>796718</v>
      </c>
      <c r="T10" s="168">
        <v>798650</v>
      </c>
      <c r="U10" s="168">
        <v>1184518</v>
      </c>
      <c r="V10" s="168">
        <v>1691006</v>
      </c>
      <c r="W10" s="168">
        <v>613182</v>
      </c>
      <c r="X10" s="168">
        <v>701134</v>
      </c>
      <c r="Y10" s="168">
        <v>560059</v>
      </c>
      <c r="Z10" s="168">
        <v>1482309</v>
      </c>
      <c r="AA10" s="168">
        <v>514335</v>
      </c>
      <c r="AB10" s="168">
        <v>669373</v>
      </c>
      <c r="AC10" s="168">
        <v>3306100</v>
      </c>
    </row>
    <row r="11" spans="1:29">
      <c r="A11" s="44" t="s">
        <v>804</v>
      </c>
      <c r="B11" s="44"/>
      <c r="C11" s="57">
        <v>146555</v>
      </c>
      <c r="D11" s="57">
        <v>144400</v>
      </c>
      <c r="E11" s="57">
        <v>166119</v>
      </c>
      <c r="F11" s="57">
        <v>188359</v>
      </c>
      <c r="G11" s="57">
        <v>218581</v>
      </c>
      <c r="H11" s="57">
        <v>289152</v>
      </c>
      <c r="I11" s="57">
        <v>302198</v>
      </c>
      <c r="J11" s="57">
        <v>316842</v>
      </c>
      <c r="K11" s="57">
        <v>311361</v>
      </c>
      <c r="L11" s="57">
        <v>305200</v>
      </c>
      <c r="M11" s="57">
        <v>361590</v>
      </c>
      <c r="N11" s="57">
        <v>357079</v>
      </c>
      <c r="O11" s="57">
        <v>380128</v>
      </c>
      <c r="P11" s="57">
        <v>447224</v>
      </c>
      <c r="Q11" s="57">
        <v>414856</v>
      </c>
      <c r="R11" s="57">
        <v>402729</v>
      </c>
      <c r="S11" s="57">
        <v>426736</v>
      </c>
      <c r="T11" s="57">
        <v>486731</v>
      </c>
      <c r="U11" s="57">
        <v>521301</v>
      </c>
      <c r="V11" s="57">
        <v>520361</v>
      </c>
      <c r="W11" s="57">
        <v>580197</v>
      </c>
      <c r="X11" s="57">
        <v>624605</v>
      </c>
      <c r="Y11" s="57">
        <v>664619</v>
      </c>
      <c r="Z11" s="57">
        <v>742672</v>
      </c>
      <c r="AA11" s="57">
        <v>763815</v>
      </c>
      <c r="AB11" s="57">
        <v>832151</v>
      </c>
      <c r="AC11" s="57">
        <v>1457695</v>
      </c>
    </row>
    <row r="12" spans="1:29">
      <c r="A12" s="44" t="s">
        <v>805</v>
      </c>
      <c r="B12" s="44"/>
      <c r="C12" s="57">
        <v>75405</v>
      </c>
      <c r="D12" s="57">
        <v>102522</v>
      </c>
      <c r="E12" s="57">
        <v>75452</v>
      </c>
      <c r="F12" s="57">
        <v>93809</v>
      </c>
      <c r="G12" s="57">
        <v>115378</v>
      </c>
      <c r="H12" s="57">
        <v>162082</v>
      </c>
      <c r="I12" s="57">
        <v>182401</v>
      </c>
      <c r="J12" s="57">
        <v>79738</v>
      </c>
      <c r="K12" s="57">
        <v>75105</v>
      </c>
      <c r="L12" s="47" t="s">
        <v>37</v>
      </c>
      <c r="M12" s="47" t="s">
        <v>37</v>
      </c>
      <c r="N12" s="47" t="s">
        <v>37</v>
      </c>
      <c r="O12" s="47" t="s">
        <v>37</v>
      </c>
      <c r="P12" s="57">
        <v>548000</v>
      </c>
      <c r="Q12" s="57">
        <v>520700</v>
      </c>
      <c r="R12" s="57">
        <v>632000</v>
      </c>
      <c r="S12" s="57">
        <v>651000</v>
      </c>
      <c r="T12" s="57">
        <v>651000</v>
      </c>
      <c r="U12" s="57">
        <v>25400</v>
      </c>
      <c r="V12" s="47" t="s">
        <v>37</v>
      </c>
      <c r="W12" s="47" t="s">
        <v>37</v>
      </c>
      <c r="X12" s="47" t="s">
        <v>37</v>
      </c>
      <c r="Y12" s="47" t="s">
        <v>37</v>
      </c>
      <c r="Z12" s="47" t="s">
        <v>37</v>
      </c>
      <c r="AA12" s="47" t="s">
        <v>37</v>
      </c>
      <c r="AB12" s="47" t="s">
        <v>37</v>
      </c>
      <c r="AC12" s="47" t="s">
        <v>37</v>
      </c>
    </row>
    <row r="13" spans="1:29">
      <c r="A13" s="38" t="s">
        <v>806</v>
      </c>
      <c r="B13" s="38"/>
      <c r="C13" s="168">
        <v>221960</v>
      </c>
      <c r="D13" s="168">
        <v>246922</v>
      </c>
      <c r="E13" s="168">
        <v>241571</v>
      </c>
      <c r="F13" s="168">
        <v>282168</v>
      </c>
      <c r="G13" s="168">
        <v>333959</v>
      </c>
      <c r="H13" s="168">
        <v>451234</v>
      </c>
      <c r="I13" s="168">
        <v>484599</v>
      </c>
      <c r="J13" s="168">
        <v>396580</v>
      </c>
      <c r="K13" s="168">
        <v>386466</v>
      </c>
      <c r="L13" s="168">
        <v>305200</v>
      </c>
      <c r="M13" s="168">
        <v>361590</v>
      </c>
      <c r="N13" s="168">
        <v>357079</v>
      </c>
      <c r="O13" s="168">
        <v>380128</v>
      </c>
      <c r="P13" s="168">
        <v>995224</v>
      </c>
      <c r="Q13" s="168">
        <v>935556</v>
      </c>
      <c r="R13" s="168">
        <v>1034729</v>
      </c>
      <c r="S13" s="168">
        <v>1077736</v>
      </c>
      <c r="T13" s="168">
        <v>1137731</v>
      </c>
      <c r="U13" s="168">
        <v>546701</v>
      </c>
      <c r="V13" s="168">
        <v>520361</v>
      </c>
      <c r="W13" s="168">
        <v>580197</v>
      </c>
      <c r="X13" s="168">
        <v>624605</v>
      </c>
      <c r="Y13" s="168">
        <v>664619</v>
      </c>
      <c r="Z13" s="168">
        <v>742672</v>
      </c>
      <c r="AA13" s="168">
        <v>763815</v>
      </c>
      <c r="AB13" s="168">
        <v>832151</v>
      </c>
      <c r="AC13" s="168">
        <v>1457695</v>
      </c>
    </row>
    <row r="14" spans="1:29">
      <c r="A14" s="44" t="s">
        <v>807</v>
      </c>
      <c r="B14" s="44"/>
      <c r="C14" s="47" t="s">
        <v>37</v>
      </c>
      <c r="D14" s="47" t="s">
        <v>37</v>
      </c>
      <c r="E14" s="57">
        <v>6110</v>
      </c>
      <c r="F14" s="57">
        <v>8553</v>
      </c>
      <c r="G14" s="47" t="s">
        <v>37</v>
      </c>
      <c r="H14" s="47" t="s">
        <v>37</v>
      </c>
      <c r="I14" s="47" t="s">
        <v>37</v>
      </c>
      <c r="J14" s="47" t="s">
        <v>37</v>
      </c>
      <c r="K14" s="47" t="s">
        <v>37</v>
      </c>
      <c r="L14" s="47" t="s">
        <v>37</v>
      </c>
      <c r="M14" s="47" t="s">
        <v>37</v>
      </c>
      <c r="N14" s="47" t="s">
        <v>37</v>
      </c>
      <c r="O14" s="47" t="s">
        <v>37</v>
      </c>
      <c r="P14" s="47" t="s">
        <v>37</v>
      </c>
      <c r="Q14" s="47" t="s">
        <v>37</v>
      </c>
      <c r="R14" s="47" t="s">
        <v>37</v>
      </c>
      <c r="S14" s="47" t="s">
        <v>37</v>
      </c>
      <c r="T14" s="47" t="s">
        <v>37</v>
      </c>
      <c r="U14" s="47" t="s">
        <v>37</v>
      </c>
      <c r="V14" s="47" t="s">
        <v>37</v>
      </c>
      <c r="W14" s="47" t="s">
        <v>37</v>
      </c>
      <c r="X14" s="47" t="s">
        <v>37</v>
      </c>
      <c r="Y14" s="47" t="s">
        <v>37</v>
      </c>
      <c r="Z14" s="47" t="s">
        <v>37</v>
      </c>
      <c r="AA14" s="47" t="s">
        <v>37</v>
      </c>
      <c r="AB14" s="47" t="s">
        <v>37</v>
      </c>
      <c r="AC14" s="47" t="s">
        <v>37</v>
      </c>
    </row>
    <row r="15" spans="1:29">
      <c r="A15" s="44" t="s">
        <v>808</v>
      </c>
      <c r="B15" s="44"/>
      <c r="C15" s="47" t="s">
        <v>37</v>
      </c>
      <c r="D15" s="47" t="s">
        <v>37</v>
      </c>
      <c r="E15" s="47" t="s">
        <v>37</v>
      </c>
      <c r="F15" s="47" t="s">
        <v>37</v>
      </c>
      <c r="G15" s="47" t="s">
        <v>37</v>
      </c>
      <c r="H15" s="47" t="s">
        <v>37</v>
      </c>
      <c r="I15" s="47" t="s">
        <v>37</v>
      </c>
      <c r="J15" s="47" t="s">
        <v>37</v>
      </c>
      <c r="K15" s="47" t="s">
        <v>37</v>
      </c>
      <c r="L15" s="57">
        <v>344774</v>
      </c>
      <c r="M15" s="57">
        <v>514496</v>
      </c>
      <c r="N15" s="57">
        <v>343777</v>
      </c>
      <c r="O15" s="57">
        <v>417083</v>
      </c>
      <c r="P15" s="57">
        <v>337293</v>
      </c>
      <c r="Q15" s="57">
        <v>387797</v>
      </c>
      <c r="R15" s="57">
        <v>372129</v>
      </c>
      <c r="S15" s="57">
        <v>406749</v>
      </c>
      <c r="T15" s="57">
        <v>343936</v>
      </c>
      <c r="U15" s="57">
        <v>434177</v>
      </c>
      <c r="V15" s="57">
        <v>3483771</v>
      </c>
      <c r="W15" s="57">
        <v>371417</v>
      </c>
      <c r="X15" s="57">
        <v>385576</v>
      </c>
      <c r="Y15" s="57">
        <v>451457</v>
      </c>
      <c r="Z15" s="57">
        <v>584190</v>
      </c>
      <c r="AA15" s="57">
        <v>375663</v>
      </c>
      <c r="AB15" s="57">
        <v>351782</v>
      </c>
      <c r="AC15" s="57">
        <v>25300</v>
      </c>
    </row>
    <row r="16" spans="1:29">
      <c r="A16" s="38" t="s">
        <v>809</v>
      </c>
      <c r="B16" s="38"/>
      <c r="C16" s="168">
        <v>327099</v>
      </c>
      <c r="D16" s="168">
        <v>309643</v>
      </c>
      <c r="E16" s="168">
        <v>311990</v>
      </c>
      <c r="F16" s="168">
        <v>400420</v>
      </c>
      <c r="G16" s="168">
        <v>463154</v>
      </c>
      <c r="H16" s="168">
        <v>608866</v>
      </c>
      <c r="I16" s="168">
        <v>707710</v>
      </c>
      <c r="J16" s="168">
        <v>656340</v>
      </c>
      <c r="K16" s="168">
        <v>783595</v>
      </c>
      <c r="L16" s="168">
        <v>1185597</v>
      </c>
      <c r="M16" s="168">
        <v>1396170</v>
      </c>
      <c r="N16" s="168">
        <v>1037904</v>
      </c>
      <c r="O16" s="168">
        <v>1726571</v>
      </c>
      <c r="P16" s="168">
        <v>1834499</v>
      </c>
      <c r="Q16" s="168">
        <v>2096897</v>
      </c>
      <c r="R16" s="168">
        <v>5364576</v>
      </c>
      <c r="S16" s="168">
        <v>2281203</v>
      </c>
      <c r="T16" s="168">
        <v>2280317</v>
      </c>
      <c r="U16" s="168">
        <v>2165396</v>
      </c>
      <c r="V16" s="168">
        <v>5695138</v>
      </c>
      <c r="W16" s="168">
        <v>1564796</v>
      </c>
      <c r="X16" s="168">
        <v>1711315</v>
      </c>
      <c r="Y16" s="168">
        <v>1676135</v>
      </c>
      <c r="Z16" s="168">
        <v>2809171</v>
      </c>
      <c r="AA16" s="168">
        <v>1653813</v>
      </c>
      <c r="AB16" s="168">
        <v>1853306</v>
      </c>
      <c r="AC16" s="168">
        <v>4789095</v>
      </c>
    </row>
    <row r="17" spans="1:29">
      <c r="A17" s="44" t="s">
        <v>810</v>
      </c>
      <c r="B17" s="44"/>
      <c r="C17" s="57">
        <v>1900027</v>
      </c>
      <c r="D17" s="57">
        <v>2162161</v>
      </c>
      <c r="E17" s="57">
        <v>5301021</v>
      </c>
      <c r="F17" s="57">
        <v>6867354</v>
      </c>
      <c r="G17" s="57">
        <v>11850014</v>
      </c>
      <c r="H17" s="57">
        <v>12802052</v>
      </c>
      <c r="I17" s="57">
        <v>13045133</v>
      </c>
      <c r="J17" s="57">
        <v>13194396</v>
      </c>
      <c r="K17" s="57">
        <v>14249615</v>
      </c>
      <c r="L17" s="57">
        <v>14971823</v>
      </c>
      <c r="M17" s="57">
        <v>21253761</v>
      </c>
      <c r="N17" s="57">
        <v>21745309</v>
      </c>
      <c r="O17" s="57">
        <v>22863963</v>
      </c>
      <c r="P17" s="57">
        <v>24415025</v>
      </c>
      <c r="Q17" s="57">
        <v>25205715</v>
      </c>
      <c r="R17" s="57">
        <v>25336189</v>
      </c>
      <c r="S17" s="57">
        <v>27508735</v>
      </c>
      <c r="T17" s="57">
        <v>29657046</v>
      </c>
      <c r="U17" s="57">
        <v>34252521</v>
      </c>
      <c r="V17" s="57">
        <v>30336639</v>
      </c>
      <c r="W17" s="57">
        <v>31318532</v>
      </c>
      <c r="X17" s="57">
        <v>33463124</v>
      </c>
      <c r="Y17" s="57">
        <v>35226089</v>
      </c>
      <c r="Z17" s="57">
        <v>36393464</v>
      </c>
      <c r="AA17" s="57">
        <v>37092670</v>
      </c>
      <c r="AB17" s="57">
        <v>38319155</v>
      </c>
      <c r="AC17" s="57">
        <v>38489154</v>
      </c>
    </row>
    <row r="18" spans="1:29">
      <c r="A18" s="44" t="s">
        <v>811</v>
      </c>
      <c r="B18" s="44"/>
      <c r="C18" s="57">
        <v>-70916</v>
      </c>
      <c r="D18" s="57">
        <v>-152817</v>
      </c>
      <c r="E18" s="57">
        <v>-279072</v>
      </c>
      <c r="F18" s="57">
        <v>-461792</v>
      </c>
      <c r="G18" s="57">
        <v>-722371</v>
      </c>
      <c r="H18" s="57">
        <v>-1098881</v>
      </c>
      <c r="I18" s="57">
        <v>-1480719</v>
      </c>
      <c r="J18" s="57">
        <v>-1877175</v>
      </c>
      <c r="K18" s="57">
        <v>-2222242</v>
      </c>
      <c r="L18" s="57">
        <v>-2556578</v>
      </c>
      <c r="M18" s="57">
        <v>-3162523</v>
      </c>
      <c r="N18" s="57">
        <v>-3809293</v>
      </c>
      <c r="O18" s="57">
        <v>-4606130</v>
      </c>
      <c r="P18" s="57">
        <v>-5312095</v>
      </c>
      <c r="Q18" s="57">
        <v>-6184285</v>
      </c>
      <c r="R18" s="57">
        <v>-7004534</v>
      </c>
      <c r="S18" s="57">
        <v>-7711304</v>
      </c>
      <c r="T18" s="57">
        <v>-8388130</v>
      </c>
      <c r="U18" s="57">
        <v>-9068388</v>
      </c>
      <c r="V18" s="57">
        <v>-8092794</v>
      </c>
      <c r="W18" s="57">
        <v>-8950747</v>
      </c>
      <c r="X18" s="57">
        <v>-9915386</v>
      </c>
      <c r="Y18" s="57">
        <v>-10865754</v>
      </c>
      <c r="Z18" s="57">
        <v>-11935949</v>
      </c>
      <c r="AA18" s="57">
        <v>-12884539</v>
      </c>
      <c r="AB18" s="57">
        <v>-13905776</v>
      </c>
      <c r="AC18" s="57">
        <v>-14389809</v>
      </c>
    </row>
    <row r="19" spans="1:29">
      <c r="A19" s="38" t="s">
        <v>812</v>
      </c>
      <c r="B19" s="38"/>
      <c r="C19" s="168">
        <v>1829111</v>
      </c>
      <c r="D19" s="168">
        <v>2009344</v>
      </c>
      <c r="E19" s="168">
        <v>5021949</v>
      </c>
      <c r="F19" s="168">
        <v>6405562</v>
      </c>
      <c r="G19" s="168">
        <v>11127643</v>
      </c>
      <c r="H19" s="168">
        <v>11703171</v>
      </c>
      <c r="I19" s="168">
        <v>11564414</v>
      </c>
      <c r="J19" s="168">
        <v>11317221</v>
      </c>
      <c r="K19" s="168">
        <v>12027373</v>
      </c>
      <c r="L19" s="168">
        <v>12415245</v>
      </c>
      <c r="M19" s="168">
        <v>18091238</v>
      </c>
      <c r="N19" s="168">
        <v>17936016</v>
      </c>
      <c r="O19" s="168">
        <v>18257833</v>
      </c>
      <c r="P19" s="168">
        <v>19102930</v>
      </c>
      <c r="Q19" s="168">
        <v>19021430</v>
      </c>
      <c r="R19" s="168">
        <v>18331655</v>
      </c>
      <c r="S19" s="168">
        <v>19797431</v>
      </c>
      <c r="T19" s="168">
        <v>21268916</v>
      </c>
      <c r="U19" s="168">
        <v>25184133</v>
      </c>
      <c r="V19" s="168">
        <v>22243845</v>
      </c>
      <c r="W19" s="168">
        <v>22367785</v>
      </c>
      <c r="X19" s="168">
        <v>23547738</v>
      </c>
      <c r="Y19" s="168">
        <v>24360335</v>
      </c>
      <c r="Z19" s="168">
        <v>24457515</v>
      </c>
      <c r="AA19" s="168">
        <v>24208131</v>
      </c>
      <c r="AB19" s="168">
        <v>24413379</v>
      </c>
      <c r="AC19" s="168">
        <v>24099345</v>
      </c>
    </row>
    <row r="20" spans="1:29">
      <c r="A20" s="44" t="s">
        <v>813</v>
      </c>
      <c r="B20" s="44"/>
      <c r="C20" s="57">
        <v>7966</v>
      </c>
      <c r="D20" s="57">
        <v>125066</v>
      </c>
      <c r="E20" s="57">
        <v>423479</v>
      </c>
      <c r="F20" s="57">
        <v>692272</v>
      </c>
      <c r="G20" s="57">
        <v>1399104</v>
      </c>
      <c r="H20" s="57">
        <v>1608692</v>
      </c>
      <c r="I20" s="57">
        <v>1357570</v>
      </c>
      <c r="J20" s="57">
        <v>1451137</v>
      </c>
      <c r="K20" s="57">
        <v>1665654</v>
      </c>
      <c r="L20" s="57">
        <v>1902819</v>
      </c>
      <c r="M20" s="57">
        <v>2067888</v>
      </c>
      <c r="N20" s="57">
        <v>1722992</v>
      </c>
      <c r="O20" s="57">
        <v>1711122</v>
      </c>
      <c r="P20" s="57">
        <v>2147339</v>
      </c>
      <c r="Q20" s="57">
        <v>1980613</v>
      </c>
      <c r="R20" s="57">
        <v>1932707</v>
      </c>
      <c r="S20" s="57">
        <v>2297358</v>
      </c>
      <c r="T20" s="57">
        <v>2063166</v>
      </c>
      <c r="U20" s="57">
        <v>4395608</v>
      </c>
      <c r="V20" s="57">
        <v>4712867</v>
      </c>
      <c r="W20" s="57">
        <v>4975386</v>
      </c>
      <c r="X20" s="57">
        <v>4790220</v>
      </c>
      <c r="Y20" s="57">
        <v>4531710</v>
      </c>
      <c r="Z20" s="57">
        <v>4531953</v>
      </c>
      <c r="AA20" s="57">
        <v>4424533</v>
      </c>
      <c r="AB20" s="57">
        <v>4659816</v>
      </c>
      <c r="AC20" s="57">
        <v>4170766</v>
      </c>
    </row>
    <row r="21" spans="1:29">
      <c r="A21" s="44" t="s">
        <v>335</v>
      </c>
      <c r="B21" s="44"/>
      <c r="C21" s="47" t="s">
        <v>37</v>
      </c>
      <c r="D21" s="47" t="s">
        <v>37</v>
      </c>
      <c r="E21" s="47" t="s">
        <v>37</v>
      </c>
      <c r="F21" s="47" t="s">
        <v>37</v>
      </c>
      <c r="G21" s="57">
        <v>58134</v>
      </c>
      <c r="H21" s="57">
        <v>39556</v>
      </c>
      <c r="I21" s="57">
        <v>38384</v>
      </c>
      <c r="J21" s="57">
        <v>37212</v>
      </c>
      <c r="K21" s="47" t="s">
        <v>37</v>
      </c>
      <c r="L21" s="57">
        <v>20098</v>
      </c>
      <c r="M21" s="57">
        <v>20098</v>
      </c>
      <c r="N21" s="57">
        <v>20098</v>
      </c>
      <c r="O21" s="57">
        <v>20098</v>
      </c>
      <c r="P21" s="57">
        <v>20098</v>
      </c>
      <c r="Q21" s="57">
        <v>20098</v>
      </c>
      <c r="R21" s="57">
        <v>20098</v>
      </c>
      <c r="S21" s="57">
        <v>20098</v>
      </c>
      <c r="T21" s="57">
        <v>20098</v>
      </c>
      <c r="U21" s="57">
        <v>20098</v>
      </c>
      <c r="V21" s="57">
        <v>20098</v>
      </c>
      <c r="W21" s="57">
        <v>20098</v>
      </c>
      <c r="X21" s="57">
        <v>20098</v>
      </c>
      <c r="Y21" s="57">
        <v>20098</v>
      </c>
      <c r="Z21" s="57">
        <v>20098</v>
      </c>
      <c r="AA21" s="57">
        <v>20098</v>
      </c>
      <c r="AB21" s="57">
        <v>20098</v>
      </c>
      <c r="AC21" s="47" t="s">
        <v>37</v>
      </c>
    </row>
    <row r="22" spans="1:29">
      <c r="A22" s="44" t="s">
        <v>814</v>
      </c>
      <c r="B22" s="44"/>
      <c r="C22" s="47" t="s">
        <v>37</v>
      </c>
      <c r="D22" s="47" t="s">
        <v>37</v>
      </c>
      <c r="E22" s="47" t="s">
        <v>37</v>
      </c>
      <c r="F22" s="47" t="s">
        <v>37</v>
      </c>
      <c r="G22" s="47" t="s">
        <v>37</v>
      </c>
      <c r="H22" s="47" t="s">
        <v>37</v>
      </c>
      <c r="I22" s="47" t="s">
        <v>37</v>
      </c>
      <c r="J22" s="47" t="s">
        <v>37</v>
      </c>
      <c r="K22" s="47" t="s">
        <v>37</v>
      </c>
      <c r="L22" s="57">
        <v>14268</v>
      </c>
      <c r="M22" s="57">
        <v>303285</v>
      </c>
      <c r="N22" s="57">
        <v>223680</v>
      </c>
      <c r="O22" s="57">
        <v>164186</v>
      </c>
      <c r="P22" s="57">
        <v>116167</v>
      </c>
      <c r="Q22" s="57">
        <v>66092</v>
      </c>
      <c r="R22" s="57">
        <v>33324</v>
      </c>
      <c r="S22" s="57">
        <v>162665</v>
      </c>
      <c r="T22" s="57">
        <v>276048</v>
      </c>
      <c r="U22" s="57">
        <v>487034</v>
      </c>
      <c r="V22" s="57">
        <v>356267</v>
      </c>
      <c r="W22" s="57">
        <v>291696</v>
      </c>
      <c r="X22" s="57">
        <v>255582</v>
      </c>
      <c r="Y22" s="57">
        <v>265039</v>
      </c>
      <c r="Z22" s="57">
        <v>188459</v>
      </c>
      <c r="AA22" s="57">
        <v>130638</v>
      </c>
      <c r="AB22" s="57">
        <v>75754</v>
      </c>
      <c r="AC22" s="47" t="s">
        <v>37</v>
      </c>
    </row>
    <row r="23" spans="1:29">
      <c r="A23" s="44" t="s">
        <v>815</v>
      </c>
      <c r="B23" s="44"/>
      <c r="C23" s="47" t="s">
        <v>37</v>
      </c>
      <c r="D23" s="47" t="s">
        <v>37</v>
      </c>
      <c r="E23" s="47" t="s">
        <v>37</v>
      </c>
      <c r="F23" s="47" t="s">
        <v>37</v>
      </c>
      <c r="G23" s="47" t="s">
        <v>37</v>
      </c>
      <c r="H23" s="47" t="s">
        <v>37</v>
      </c>
      <c r="I23" s="47" t="s">
        <v>37</v>
      </c>
      <c r="J23" s="47" t="s">
        <v>37</v>
      </c>
      <c r="K23" s="47" t="s">
        <v>37</v>
      </c>
      <c r="L23" s="57">
        <v>22500</v>
      </c>
      <c r="M23" s="57">
        <v>11300</v>
      </c>
      <c r="N23" s="57">
        <v>7100</v>
      </c>
      <c r="O23" s="47" t="s">
        <v>37</v>
      </c>
      <c r="P23" s="47" t="s">
        <v>37</v>
      </c>
      <c r="Q23" s="47" t="s">
        <v>37</v>
      </c>
      <c r="R23" s="47" t="s">
        <v>37</v>
      </c>
      <c r="S23" s="47" t="s">
        <v>37</v>
      </c>
      <c r="T23" s="47" t="s">
        <v>37</v>
      </c>
      <c r="U23" s="47" t="s">
        <v>37</v>
      </c>
      <c r="V23" s="47" t="s">
        <v>37</v>
      </c>
      <c r="W23" s="47" t="s">
        <v>37</v>
      </c>
      <c r="X23" s="47" t="s">
        <v>37</v>
      </c>
      <c r="Y23" s="47" t="s">
        <v>37</v>
      </c>
      <c r="Z23" s="47" t="s">
        <v>37</v>
      </c>
      <c r="AA23" s="47" t="s">
        <v>37</v>
      </c>
      <c r="AB23" s="47" t="s">
        <v>37</v>
      </c>
      <c r="AC23" s="47" t="s">
        <v>37</v>
      </c>
    </row>
    <row r="24" spans="1:29">
      <c r="A24" s="44" t="s">
        <v>816</v>
      </c>
      <c r="B24" s="44"/>
      <c r="C24" s="57">
        <v>85878</v>
      </c>
      <c r="D24" s="57">
        <v>81398</v>
      </c>
      <c r="E24" s="57">
        <v>138492</v>
      </c>
      <c r="F24" s="57">
        <v>105742</v>
      </c>
      <c r="G24" s="57">
        <v>127454</v>
      </c>
      <c r="H24" s="57">
        <v>262958</v>
      </c>
      <c r="I24" s="57">
        <v>269867</v>
      </c>
      <c r="J24" s="57">
        <v>349044</v>
      </c>
      <c r="K24" s="57">
        <v>427880</v>
      </c>
      <c r="L24" s="57">
        <v>124194</v>
      </c>
      <c r="M24" s="57">
        <v>180040</v>
      </c>
      <c r="N24" s="57">
        <v>183249</v>
      </c>
      <c r="O24" s="57">
        <v>204645</v>
      </c>
      <c r="P24" s="57">
        <v>221433</v>
      </c>
      <c r="Q24" s="57">
        <v>237619</v>
      </c>
      <c r="R24" s="57">
        <v>265906</v>
      </c>
      <c r="S24" s="57">
        <v>298674</v>
      </c>
      <c r="T24" s="57">
        <v>308380</v>
      </c>
      <c r="U24" s="57">
        <v>334337</v>
      </c>
      <c r="V24" s="57">
        <v>296359</v>
      </c>
      <c r="W24" s="57">
        <v>312569</v>
      </c>
      <c r="X24" s="57">
        <v>240229</v>
      </c>
      <c r="Y24" s="57">
        <v>250261</v>
      </c>
      <c r="Z24" s="57">
        <v>250442</v>
      </c>
      <c r="AA24" s="57">
        <v>249010</v>
      </c>
      <c r="AB24" s="57">
        <v>209277</v>
      </c>
      <c r="AC24" s="57">
        <v>966964</v>
      </c>
    </row>
    <row r="25" spans="1:29">
      <c r="A25" s="44" t="s">
        <v>817</v>
      </c>
      <c r="B25" s="44"/>
      <c r="C25" s="57">
        <v>27174</v>
      </c>
      <c r="D25" s="57">
        <v>30985</v>
      </c>
      <c r="E25" s="47" t="s">
        <v>37</v>
      </c>
      <c r="F25" s="57">
        <v>58671</v>
      </c>
      <c r="G25" s="57">
        <v>101511</v>
      </c>
      <c r="H25" s="47" t="s">
        <v>37</v>
      </c>
      <c r="I25" s="47" t="s">
        <v>37</v>
      </c>
      <c r="J25" s="47" t="s">
        <v>37</v>
      </c>
      <c r="K25" s="47" t="s">
        <v>37</v>
      </c>
      <c r="L25" s="47" t="s">
        <v>37</v>
      </c>
      <c r="M25" s="47" t="s">
        <v>37</v>
      </c>
      <c r="N25" s="47" t="s">
        <v>37</v>
      </c>
      <c r="O25" s="47" t="s">
        <v>37</v>
      </c>
      <c r="P25" s="47" t="s">
        <v>37</v>
      </c>
      <c r="Q25" s="47" t="s">
        <v>37</v>
      </c>
      <c r="R25" s="47" t="s">
        <v>37</v>
      </c>
      <c r="S25" s="47" t="s">
        <v>37</v>
      </c>
      <c r="T25" s="47" t="s">
        <v>37</v>
      </c>
      <c r="U25" s="47" t="s">
        <v>37</v>
      </c>
      <c r="V25" s="47" t="s">
        <v>37</v>
      </c>
      <c r="W25" s="47" t="s">
        <v>37</v>
      </c>
      <c r="X25" s="47" t="s">
        <v>37</v>
      </c>
      <c r="Y25" s="47" t="s">
        <v>37</v>
      </c>
      <c r="Z25" s="47" t="s">
        <v>37</v>
      </c>
      <c r="AA25" s="47" t="s">
        <v>37</v>
      </c>
      <c r="AB25" s="47" t="s">
        <v>37</v>
      </c>
      <c r="AC25" s="47" t="s">
        <v>37</v>
      </c>
    </row>
    <row r="26" spans="1:29">
      <c r="A26" s="38" t="s">
        <v>818</v>
      </c>
      <c r="B26" s="38"/>
      <c r="C26" s="168">
        <v>2277228</v>
      </c>
      <c r="D26" s="168">
        <v>2556436</v>
      </c>
      <c r="E26" s="168">
        <v>5895910</v>
      </c>
      <c r="F26" s="168">
        <v>7662667</v>
      </c>
      <c r="G26" s="168">
        <v>13277000</v>
      </c>
      <c r="H26" s="168">
        <v>14223243</v>
      </c>
      <c r="I26" s="168">
        <v>13937945</v>
      </c>
      <c r="J26" s="168">
        <v>13810954</v>
      </c>
      <c r="K26" s="168">
        <v>14904502</v>
      </c>
      <c r="L26" s="168">
        <v>15684721</v>
      </c>
      <c r="M26" s="168">
        <v>22070019</v>
      </c>
      <c r="N26" s="168">
        <v>21131039</v>
      </c>
      <c r="O26" s="168">
        <v>22084455</v>
      </c>
      <c r="P26" s="168">
        <v>23442466</v>
      </c>
      <c r="Q26" s="168">
        <v>23422749</v>
      </c>
      <c r="R26" s="168">
        <v>25948266</v>
      </c>
      <c r="S26" s="168">
        <v>24857429</v>
      </c>
      <c r="T26" s="168">
        <v>26216925</v>
      </c>
      <c r="U26" s="168">
        <v>32586606</v>
      </c>
      <c r="V26" s="168">
        <v>33324574</v>
      </c>
      <c r="W26" s="168">
        <v>29532330</v>
      </c>
      <c r="X26" s="168">
        <v>30565182</v>
      </c>
      <c r="Y26" s="168">
        <v>31103578</v>
      </c>
      <c r="Z26" s="168">
        <v>32257638</v>
      </c>
      <c r="AA26" s="168">
        <v>30686223</v>
      </c>
      <c r="AB26" s="168">
        <v>31231630</v>
      </c>
      <c r="AC26" s="168">
        <v>34026170</v>
      </c>
    </row>
    <row r="27" spans="1:29">
      <c r="A27" s="38" t="s">
        <v>819</v>
      </c>
      <c r="B27" s="38"/>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row>
    <row r="28" spans="1:29">
      <c r="A28" s="44" t="s">
        <v>820</v>
      </c>
      <c r="B28" s="44"/>
      <c r="C28" s="57">
        <v>102750</v>
      </c>
      <c r="D28" s="57">
        <v>111406</v>
      </c>
      <c r="E28" s="57">
        <v>166915</v>
      </c>
      <c r="F28" s="57">
        <v>243396</v>
      </c>
      <c r="G28" s="57">
        <v>407600</v>
      </c>
      <c r="H28" s="57">
        <v>478907</v>
      </c>
      <c r="I28" s="57">
        <v>451207</v>
      </c>
      <c r="J28" s="57">
        <v>544431</v>
      </c>
      <c r="K28" s="57">
        <v>624505</v>
      </c>
      <c r="L28" s="57">
        <v>667610</v>
      </c>
      <c r="M28" s="57">
        <v>779445</v>
      </c>
      <c r="N28" s="57">
        <v>1092334</v>
      </c>
      <c r="O28" s="57">
        <v>922590</v>
      </c>
      <c r="P28" s="57">
        <v>1104344</v>
      </c>
      <c r="Q28" s="57">
        <v>991948</v>
      </c>
      <c r="R28" s="57">
        <v>926630</v>
      </c>
      <c r="S28" s="57">
        <v>954738</v>
      </c>
      <c r="T28" s="57">
        <v>957312</v>
      </c>
      <c r="U28" s="57">
        <v>1174972</v>
      </c>
      <c r="V28" s="57">
        <v>1088002</v>
      </c>
      <c r="W28" s="57">
        <v>1156581</v>
      </c>
      <c r="X28" s="57">
        <v>1206001</v>
      </c>
      <c r="Y28" s="57">
        <v>1097922</v>
      </c>
      <c r="Z28" s="57">
        <v>1175090</v>
      </c>
      <c r="AA28" s="57">
        <v>1250161</v>
      </c>
      <c r="AB28" s="57">
        <v>1345905</v>
      </c>
      <c r="AC28" s="57">
        <v>1216831</v>
      </c>
    </row>
    <row r="29" spans="1:29">
      <c r="A29" s="44" t="s">
        <v>821</v>
      </c>
      <c r="B29" s="44"/>
      <c r="C29" s="47" t="s">
        <v>37</v>
      </c>
      <c r="D29" s="57">
        <v>1725</v>
      </c>
      <c r="E29" s="57">
        <v>3288</v>
      </c>
      <c r="F29" s="57">
        <v>1725</v>
      </c>
      <c r="G29" s="57">
        <v>7586</v>
      </c>
      <c r="H29" s="47" t="s">
        <v>37</v>
      </c>
      <c r="I29" s="47" t="s">
        <v>37</v>
      </c>
      <c r="J29" s="47" t="s">
        <v>37</v>
      </c>
      <c r="K29" s="47" t="s">
        <v>37</v>
      </c>
      <c r="L29" s="47" t="s">
        <v>37</v>
      </c>
      <c r="M29" s="47" t="s">
        <v>37</v>
      </c>
      <c r="N29" s="47" t="s">
        <v>37</v>
      </c>
      <c r="O29" s="47" t="s">
        <v>37</v>
      </c>
      <c r="P29" s="47" t="s">
        <v>37</v>
      </c>
      <c r="Q29" s="47" t="s">
        <v>37</v>
      </c>
      <c r="R29" s="47" t="s">
        <v>37</v>
      </c>
      <c r="S29" s="57">
        <v>116200</v>
      </c>
      <c r="T29" s="57">
        <v>115100</v>
      </c>
      <c r="U29" s="57">
        <v>112800</v>
      </c>
      <c r="V29" s="57">
        <v>103400</v>
      </c>
      <c r="W29" s="57">
        <v>93500</v>
      </c>
      <c r="X29" s="57">
        <v>88100</v>
      </c>
      <c r="Y29" s="57">
        <v>83500</v>
      </c>
      <c r="Z29" s="57">
        <v>81800</v>
      </c>
      <c r="AA29" s="57">
        <v>82500</v>
      </c>
      <c r="AB29" s="57">
        <v>74500</v>
      </c>
      <c r="AC29" s="47" t="s">
        <v>37</v>
      </c>
    </row>
    <row r="30" spans="1:29">
      <c r="A30" s="44" t="s">
        <v>822</v>
      </c>
      <c r="B30" s="44"/>
      <c r="C30" s="47" t="s">
        <v>37</v>
      </c>
      <c r="D30" s="47" t="s">
        <v>37</v>
      </c>
      <c r="E30" s="47" t="s">
        <v>37</v>
      </c>
      <c r="F30" s="47" t="s">
        <v>37</v>
      </c>
      <c r="G30" s="47" t="s">
        <v>37</v>
      </c>
      <c r="H30" s="47" t="s">
        <v>37</v>
      </c>
      <c r="I30" s="47" t="s">
        <v>37</v>
      </c>
      <c r="J30" s="47" t="s">
        <v>37</v>
      </c>
      <c r="K30" s="47" t="s">
        <v>37</v>
      </c>
      <c r="L30" s="47" t="s">
        <v>37</v>
      </c>
      <c r="M30" s="47" t="s">
        <v>37</v>
      </c>
      <c r="N30" s="47" t="s">
        <v>37</v>
      </c>
      <c r="O30" s="47" t="s">
        <v>37</v>
      </c>
      <c r="P30" s="47" t="s">
        <v>37</v>
      </c>
      <c r="Q30" s="47" t="s">
        <v>37</v>
      </c>
      <c r="R30" s="57">
        <v>13000</v>
      </c>
      <c r="S30" s="57">
        <v>19500</v>
      </c>
      <c r="T30" s="57">
        <v>10000</v>
      </c>
      <c r="U30" s="57">
        <v>1500</v>
      </c>
      <c r="V30" s="57">
        <v>400</v>
      </c>
      <c r="W30" s="57">
        <v>2100</v>
      </c>
      <c r="X30" s="47" t="s">
        <v>37</v>
      </c>
      <c r="Y30" s="47" t="s">
        <v>37</v>
      </c>
      <c r="Z30" s="47" t="s">
        <v>37</v>
      </c>
      <c r="AA30" s="47" t="s">
        <v>37</v>
      </c>
      <c r="AB30" s="57">
        <v>2857060</v>
      </c>
      <c r="AC30" s="57">
        <v>2181216</v>
      </c>
    </row>
    <row r="31" spans="1:29">
      <c r="A31" s="44" t="s">
        <v>823</v>
      </c>
      <c r="B31" s="44"/>
      <c r="C31" s="47" t="s">
        <v>37</v>
      </c>
      <c r="D31" s="47" t="s">
        <v>37</v>
      </c>
      <c r="E31" s="47" t="s">
        <v>37</v>
      </c>
      <c r="F31" s="47" t="s">
        <v>37</v>
      </c>
      <c r="G31" s="47" t="s">
        <v>37</v>
      </c>
      <c r="H31" s="47" t="s">
        <v>37</v>
      </c>
      <c r="I31" s="47" t="s">
        <v>37</v>
      </c>
      <c r="J31" s="47" t="s">
        <v>37</v>
      </c>
      <c r="K31" s="47" t="s">
        <v>37</v>
      </c>
      <c r="L31" s="47" t="s">
        <v>37</v>
      </c>
      <c r="M31" s="47" t="s">
        <v>37</v>
      </c>
      <c r="N31" s="47" t="s">
        <v>37</v>
      </c>
      <c r="O31" s="47" t="s">
        <v>37</v>
      </c>
      <c r="P31" s="47" t="s">
        <v>37</v>
      </c>
      <c r="Q31" s="47" t="s">
        <v>37</v>
      </c>
      <c r="R31" s="47" t="s">
        <v>37</v>
      </c>
      <c r="S31" s="47" t="s">
        <v>37</v>
      </c>
      <c r="T31" s="47" t="s">
        <v>37</v>
      </c>
      <c r="U31" s="47" t="s">
        <v>37</v>
      </c>
      <c r="V31" s="47" t="s">
        <v>37</v>
      </c>
      <c r="W31" s="47" t="s">
        <v>37</v>
      </c>
      <c r="X31" s="47" t="s">
        <v>37</v>
      </c>
      <c r="Y31" s="47" t="s">
        <v>37</v>
      </c>
      <c r="Z31" s="47" t="s">
        <v>37</v>
      </c>
      <c r="AA31" s="47" t="s">
        <v>37</v>
      </c>
      <c r="AB31" s="57">
        <v>32438</v>
      </c>
      <c r="AC31" s="57">
        <v>32706</v>
      </c>
    </row>
    <row r="32" spans="1:29">
      <c r="A32" s="44" t="s">
        <v>824</v>
      </c>
      <c r="B32" s="44"/>
      <c r="C32" s="57">
        <v>97871</v>
      </c>
      <c r="D32" s="57">
        <v>102714</v>
      </c>
      <c r="E32" s="57">
        <v>17106</v>
      </c>
      <c r="F32" s="57">
        <v>20563</v>
      </c>
      <c r="G32" s="57">
        <v>29139</v>
      </c>
      <c r="H32" s="57">
        <v>33871</v>
      </c>
      <c r="I32" s="57">
        <v>62900</v>
      </c>
      <c r="J32" s="57">
        <v>26084</v>
      </c>
      <c r="K32" s="57">
        <v>13898</v>
      </c>
      <c r="L32" s="57">
        <v>14412</v>
      </c>
      <c r="M32" s="57">
        <v>37739</v>
      </c>
      <c r="N32" s="57">
        <v>194476</v>
      </c>
      <c r="O32" s="57">
        <v>227588</v>
      </c>
      <c r="P32" s="57">
        <v>352798</v>
      </c>
      <c r="Q32" s="57">
        <v>380730</v>
      </c>
      <c r="R32" s="57">
        <v>457754</v>
      </c>
      <c r="S32" s="57">
        <v>485855</v>
      </c>
      <c r="T32" s="57">
        <v>695569</v>
      </c>
      <c r="U32" s="57">
        <v>724744</v>
      </c>
      <c r="V32" s="57">
        <v>2168867</v>
      </c>
      <c r="W32" s="57">
        <v>1167163</v>
      </c>
      <c r="X32" s="57">
        <v>1368544</v>
      </c>
      <c r="Y32" s="57">
        <v>1359738</v>
      </c>
      <c r="Z32" s="57">
        <v>1408778</v>
      </c>
      <c r="AA32" s="57">
        <v>1536911</v>
      </c>
      <c r="AB32" s="57">
        <v>1587037</v>
      </c>
      <c r="AC32" s="57">
        <v>2038529</v>
      </c>
    </row>
    <row r="33" spans="1:29">
      <c r="A33" s="38" t="s">
        <v>825</v>
      </c>
      <c r="B33" s="38"/>
      <c r="C33" s="168">
        <v>200621</v>
      </c>
      <c r="D33" s="168">
        <v>215845</v>
      </c>
      <c r="E33" s="168">
        <v>187309</v>
      </c>
      <c r="F33" s="168">
        <v>265684</v>
      </c>
      <c r="G33" s="168">
        <v>444325</v>
      </c>
      <c r="H33" s="168">
        <v>512778</v>
      </c>
      <c r="I33" s="168">
        <v>514107</v>
      </c>
      <c r="J33" s="168">
        <v>570515</v>
      </c>
      <c r="K33" s="168">
        <v>638403</v>
      </c>
      <c r="L33" s="168">
        <v>682022</v>
      </c>
      <c r="M33" s="168">
        <v>817184</v>
      </c>
      <c r="N33" s="168">
        <v>1286810</v>
      </c>
      <c r="O33" s="168">
        <v>1150178</v>
      </c>
      <c r="P33" s="168">
        <v>1457142</v>
      </c>
      <c r="Q33" s="168">
        <v>1372678</v>
      </c>
      <c r="R33" s="168">
        <v>1397384</v>
      </c>
      <c r="S33" s="168">
        <v>1576293</v>
      </c>
      <c r="T33" s="168">
        <v>1777981</v>
      </c>
      <c r="U33" s="168">
        <v>2014016</v>
      </c>
      <c r="V33" s="168">
        <v>3360669</v>
      </c>
      <c r="W33" s="168">
        <v>2419344</v>
      </c>
      <c r="X33" s="168">
        <v>2662645</v>
      </c>
      <c r="Y33" s="168">
        <v>2541160</v>
      </c>
      <c r="Z33" s="168">
        <v>2665668</v>
      </c>
      <c r="AA33" s="168">
        <v>2869572</v>
      </c>
      <c r="AB33" s="168">
        <v>5896940</v>
      </c>
      <c r="AC33" s="168">
        <v>5469282</v>
      </c>
    </row>
    <row r="34" spans="1:29">
      <c r="A34" s="44" t="s">
        <v>826</v>
      </c>
      <c r="B34" s="44"/>
      <c r="C34" s="57">
        <v>1938091</v>
      </c>
      <c r="D34" s="57">
        <v>1980759</v>
      </c>
      <c r="E34" s="57">
        <v>3681984</v>
      </c>
      <c r="F34" s="57">
        <v>5077990</v>
      </c>
      <c r="G34" s="57">
        <v>7973372</v>
      </c>
      <c r="H34" s="57">
        <v>8768951</v>
      </c>
      <c r="I34" s="57">
        <v>8728582</v>
      </c>
      <c r="J34" s="57">
        <v>8841378</v>
      </c>
      <c r="K34" s="57">
        <v>9546081</v>
      </c>
      <c r="L34" s="57">
        <v>10266388</v>
      </c>
      <c r="M34" s="57">
        <v>14586393</v>
      </c>
      <c r="N34" s="57">
        <v>14106117</v>
      </c>
      <c r="O34" s="57">
        <v>15394489</v>
      </c>
      <c r="P34" s="57">
        <v>17218674</v>
      </c>
      <c r="Q34" s="57">
        <v>18042532</v>
      </c>
      <c r="R34" s="57">
        <v>18630302</v>
      </c>
      <c r="S34" s="57">
        <v>17473760</v>
      </c>
      <c r="T34" s="57">
        <v>18446440</v>
      </c>
      <c r="U34" s="57">
        <v>23113007</v>
      </c>
      <c r="V34" s="57">
        <v>22669917</v>
      </c>
      <c r="W34" s="57">
        <v>20852993</v>
      </c>
      <c r="X34" s="57">
        <v>22416682</v>
      </c>
      <c r="Y34" s="57">
        <v>22977104</v>
      </c>
      <c r="Z34" s="57">
        <v>24632463</v>
      </c>
      <c r="AA34" s="57">
        <v>23305535</v>
      </c>
      <c r="AB34" s="57">
        <v>21306170</v>
      </c>
      <c r="AC34" s="57">
        <v>25087667</v>
      </c>
    </row>
    <row r="35" spans="1:29">
      <c r="A35" s="44" t="s">
        <v>827</v>
      </c>
      <c r="B35" s="44"/>
      <c r="C35" s="47" t="s">
        <v>37</v>
      </c>
      <c r="D35" s="47" t="s">
        <v>37</v>
      </c>
      <c r="E35" s="47" t="s">
        <v>37</v>
      </c>
      <c r="F35" s="47" t="s">
        <v>37</v>
      </c>
      <c r="G35" s="47" t="s">
        <v>37</v>
      </c>
      <c r="H35" s="47" t="s">
        <v>37</v>
      </c>
      <c r="I35" s="47" t="s">
        <v>37</v>
      </c>
      <c r="J35" s="47" t="s">
        <v>37</v>
      </c>
      <c r="K35" s="47" t="s">
        <v>37</v>
      </c>
      <c r="L35" s="47" t="s">
        <v>37</v>
      </c>
      <c r="M35" s="47" t="s">
        <v>37</v>
      </c>
      <c r="N35" s="47" t="s">
        <v>37</v>
      </c>
      <c r="O35" s="47" t="s">
        <v>37</v>
      </c>
      <c r="P35" s="47" t="s">
        <v>37</v>
      </c>
      <c r="Q35" s="47" t="s">
        <v>37</v>
      </c>
      <c r="R35" s="47" t="s">
        <v>37</v>
      </c>
      <c r="S35" s="47" t="s">
        <v>37</v>
      </c>
      <c r="T35" s="47" t="s">
        <v>37</v>
      </c>
      <c r="U35" s="47" t="s">
        <v>37</v>
      </c>
      <c r="V35" s="47" t="s">
        <v>37</v>
      </c>
      <c r="W35" s="47" t="s">
        <v>37</v>
      </c>
      <c r="X35" s="47" t="s">
        <v>37</v>
      </c>
      <c r="Y35" s="47" t="s">
        <v>37</v>
      </c>
      <c r="Z35" s="47" t="s">
        <v>37</v>
      </c>
      <c r="AA35" s="47" t="s">
        <v>37</v>
      </c>
      <c r="AB35" s="57">
        <v>484371</v>
      </c>
      <c r="AC35" s="57">
        <v>486710</v>
      </c>
    </row>
    <row r="36" spans="1:29">
      <c r="A36" s="44" t="s">
        <v>828</v>
      </c>
      <c r="B36" s="44"/>
      <c r="C36" s="47" t="s">
        <v>37</v>
      </c>
      <c r="D36" s="47" t="s">
        <v>37</v>
      </c>
      <c r="E36" s="47" t="s">
        <v>37</v>
      </c>
      <c r="F36" s="47" t="s">
        <v>37</v>
      </c>
      <c r="G36" s="47" t="s">
        <v>37</v>
      </c>
      <c r="H36" s="47" t="s">
        <v>37</v>
      </c>
      <c r="I36" s="47" t="s">
        <v>37</v>
      </c>
      <c r="J36" s="47" t="s">
        <v>37</v>
      </c>
      <c r="K36" s="47" t="s">
        <v>37</v>
      </c>
      <c r="L36" s="47" t="s">
        <v>37</v>
      </c>
      <c r="M36" s="47" t="s">
        <v>37</v>
      </c>
      <c r="N36" s="47" t="s">
        <v>37</v>
      </c>
      <c r="O36" s="47" t="s">
        <v>37</v>
      </c>
      <c r="P36" s="47" t="s">
        <v>37</v>
      </c>
      <c r="Q36" s="57">
        <v>94300</v>
      </c>
      <c r="R36" s="57">
        <v>60900</v>
      </c>
      <c r="S36" s="57">
        <v>39000</v>
      </c>
      <c r="T36" s="47" t="s">
        <v>37</v>
      </c>
      <c r="U36" s="47" t="s">
        <v>37</v>
      </c>
      <c r="V36" s="47" t="s">
        <v>37</v>
      </c>
      <c r="W36" s="47" t="s">
        <v>37</v>
      </c>
      <c r="X36" s="47" t="s">
        <v>37</v>
      </c>
      <c r="Y36" s="47" t="s">
        <v>37</v>
      </c>
      <c r="Z36" s="47" t="s">
        <v>37</v>
      </c>
      <c r="AA36" s="47" t="s">
        <v>37</v>
      </c>
      <c r="AB36" s="47" t="s">
        <v>37</v>
      </c>
      <c r="AC36" s="47" t="s">
        <v>37</v>
      </c>
    </row>
    <row r="37" spans="1:29">
      <c r="A37" s="44" t="s">
        <v>829</v>
      </c>
      <c r="B37" s="44"/>
      <c r="C37" s="47" t="s">
        <v>37</v>
      </c>
      <c r="D37" s="47" t="s">
        <v>37</v>
      </c>
      <c r="E37" s="47" t="s">
        <v>37</v>
      </c>
      <c r="F37" s="47" t="s">
        <v>37</v>
      </c>
      <c r="G37" s="47" t="s">
        <v>37</v>
      </c>
      <c r="H37" s="47" t="s">
        <v>37</v>
      </c>
      <c r="I37" s="47" t="s">
        <v>37</v>
      </c>
      <c r="J37" s="47" t="s">
        <v>37</v>
      </c>
      <c r="K37" s="47" t="s">
        <v>37</v>
      </c>
      <c r="L37" s="47" t="s">
        <v>37</v>
      </c>
      <c r="M37" s="47" t="s">
        <v>37</v>
      </c>
      <c r="N37" s="47" t="s">
        <v>37</v>
      </c>
      <c r="O37" s="47" t="s">
        <v>37</v>
      </c>
      <c r="P37" s="47" t="s">
        <v>37</v>
      </c>
      <c r="Q37" s="47" t="s">
        <v>37</v>
      </c>
      <c r="R37" s="47" t="s">
        <v>37</v>
      </c>
      <c r="S37" s="47" t="s">
        <v>37</v>
      </c>
      <c r="T37" s="47" t="s">
        <v>37</v>
      </c>
      <c r="U37" s="47" t="s">
        <v>37</v>
      </c>
      <c r="V37" s="47" t="s">
        <v>37</v>
      </c>
      <c r="W37" s="57">
        <v>1100</v>
      </c>
      <c r="X37" s="47" t="s">
        <v>37</v>
      </c>
      <c r="Y37" s="57">
        <v>265700</v>
      </c>
      <c r="Z37" s="57">
        <v>301700</v>
      </c>
      <c r="AA37" s="57">
        <v>278300</v>
      </c>
      <c r="AB37" s="57">
        <v>257700</v>
      </c>
      <c r="AC37" s="47" t="s">
        <v>37</v>
      </c>
    </row>
    <row r="38" spans="1:29">
      <c r="A38" s="44" t="s">
        <v>830</v>
      </c>
      <c r="B38" s="44"/>
      <c r="C38" s="57">
        <v>36823</v>
      </c>
      <c r="D38" s="57">
        <v>40194</v>
      </c>
      <c r="E38" s="57">
        <v>81443</v>
      </c>
      <c r="F38" s="57">
        <v>67694</v>
      </c>
      <c r="G38" s="57">
        <v>95131</v>
      </c>
      <c r="H38" s="57">
        <v>213909</v>
      </c>
      <c r="I38" s="57">
        <v>227552</v>
      </c>
      <c r="J38" s="57">
        <v>213279</v>
      </c>
      <c r="K38" s="57">
        <v>228508</v>
      </c>
      <c r="L38" s="57">
        <v>280414</v>
      </c>
      <c r="M38" s="57">
        <v>645792</v>
      </c>
      <c r="N38" s="57">
        <v>163524</v>
      </c>
      <c r="O38" s="57">
        <v>364850</v>
      </c>
      <c r="P38" s="57">
        <v>302637</v>
      </c>
      <c r="Q38" s="57">
        <v>155151</v>
      </c>
      <c r="R38" s="57">
        <v>146345</v>
      </c>
      <c r="S38" s="57">
        <v>49155</v>
      </c>
      <c r="T38" s="57">
        <v>180271</v>
      </c>
      <c r="U38" s="57">
        <v>388488</v>
      </c>
      <c r="V38" s="57">
        <v>280871</v>
      </c>
      <c r="W38" s="57">
        <v>281851</v>
      </c>
      <c r="X38" s="57">
        <v>243949</v>
      </c>
      <c r="Y38" s="57">
        <v>221940</v>
      </c>
      <c r="Z38" s="57">
        <v>228563</v>
      </c>
      <c r="AA38" s="57">
        <v>205697</v>
      </c>
      <c r="AB38" s="57">
        <v>156138</v>
      </c>
      <c r="AC38" s="57">
        <v>459680</v>
      </c>
    </row>
    <row r="39" spans="1:29">
      <c r="A39" s="38" t="s">
        <v>55</v>
      </c>
      <c r="B39" s="38"/>
      <c r="C39" s="168">
        <v>2175535</v>
      </c>
      <c r="D39" s="168">
        <v>2236798</v>
      </c>
      <c r="E39" s="168">
        <v>3950736</v>
      </c>
      <c r="F39" s="168">
        <v>5411368</v>
      </c>
      <c r="G39" s="168">
        <v>8512828</v>
      </c>
      <c r="H39" s="168">
        <v>9495638</v>
      </c>
      <c r="I39" s="168">
        <v>9470241</v>
      </c>
      <c r="J39" s="168">
        <v>9625172</v>
      </c>
      <c r="K39" s="168">
        <v>10412992</v>
      </c>
      <c r="L39" s="168">
        <v>11228824</v>
      </c>
      <c r="M39" s="168">
        <v>16049369</v>
      </c>
      <c r="N39" s="168">
        <v>15556451</v>
      </c>
      <c r="O39" s="168">
        <v>16909517</v>
      </c>
      <c r="P39" s="168">
        <v>18978453</v>
      </c>
      <c r="Q39" s="168">
        <v>19664661</v>
      </c>
      <c r="R39" s="168">
        <v>20234931</v>
      </c>
      <c r="S39" s="168">
        <v>19138208</v>
      </c>
      <c r="T39" s="168">
        <v>20404692</v>
      </c>
      <c r="U39" s="168">
        <v>25515511</v>
      </c>
      <c r="V39" s="168">
        <v>26311457</v>
      </c>
      <c r="W39" s="168">
        <v>23555288</v>
      </c>
      <c r="X39" s="168">
        <v>25323276</v>
      </c>
      <c r="Y39" s="168">
        <v>26005904</v>
      </c>
      <c r="Z39" s="168">
        <v>27828394</v>
      </c>
      <c r="AA39" s="168">
        <v>26659104</v>
      </c>
      <c r="AB39" s="168">
        <v>28101319</v>
      </c>
      <c r="AC39" s="168">
        <v>31503339</v>
      </c>
    </row>
    <row r="40" spans="1:29">
      <c r="A40" s="38" t="s">
        <v>831</v>
      </c>
      <c r="B40" s="38"/>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row>
    <row r="41" spans="1:29">
      <c r="A41" s="44" t="s">
        <v>832</v>
      </c>
      <c r="B41" s="44"/>
      <c r="C41" s="47" t="s">
        <v>37</v>
      </c>
      <c r="D41" s="47" t="s">
        <v>37</v>
      </c>
      <c r="E41" s="57">
        <v>192989</v>
      </c>
      <c r="F41" s="57">
        <v>339061</v>
      </c>
      <c r="G41" s="47" t="s">
        <v>37</v>
      </c>
      <c r="H41" s="57">
        <v>24242</v>
      </c>
      <c r="I41" s="57">
        <v>24242</v>
      </c>
      <c r="J41" s="57">
        <v>364584</v>
      </c>
      <c r="K41" s="57">
        <v>365058</v>
      </c>
      <c r="L41" s="57">
        <v>367483</v>
      </c>
      <c r="M41" s="57">
        <v>380786</v>
      </c>
      <c r="N41" s="57">
        <v>388263</v>
      </c>
      <c r="O41" s="57">
        <v>195532</v>
      </c>
      <c r="P41" s="57">
        <v>46361</v>
      </c>
      <c r="Q41" s="57">
        <v>46032</v>
      </c>
      <c r="R41" s="57">
        <v>45704</v>
      </c>
      <c r="S41" s="57">
        <v>45375</v>
      </c>
      <c r="T41" s="57">
        <v>45047</v>
      </c>
      <c r="U41" s="57">
        <v>44719</v>
      </c>
      <c r="V41" s="57">
        <v>44390</v>
      </c>
      <c r="W41" s="57">
        <v>44062</v>
      </c>
      <c r="X41" s="57">
        <v>43733</v>
      </c>
      <c r="Y41" s="57">
        <v>43405</v>
      </c>
      <c r="Z41" s="57">
        <v>43077</v>
      </c>
      <c r="AA41" s="57">
        <v>42748</v>
      </c>
      <c r="AB41" s="57">
        <v>42420</v>
      </c>
      <c r="AC41" s="57">
        <v>42256</v>
      </c>
    </row>
    <row r="42" spans="1:29">
      <c r="A42" s="44" t="s">
        <v>833</v>
      </c>
      <c r="B42" s="44"/>
      <c r="C42" s="47" t="s">
        <v>37</v>
      </c>
      <c r="D42" s="57">
        <v>99923</v>
      </c>
      <c r="E42" s="57">
        <v>99923</v>
      </c>
      <c r="F42" s="47" t="s">
        <v>37</v>
      </c>
      <c r="G42" s="57">
        <v>717916</v>
      </c>
      <c r="H42" s="57">
        <v>518596</v>
      </c>
      <c r="I42" s="57">
        <v>514442</v>
      </c>
      <c r="J42" s="57">
        <v>512884</v>
      </c>
      <c r="K42" s="57">
        <v>449196</v>
      </c>
      <c r="L42" s="47" t="s">
        <v>37</v>
      </c>
      <c r="M42" s="57">
        <v>681901</v>
      </c>
      <c r="N42" s="57">
        <v>691759</v>
      </c>
      <c r="O42" s="57">
        <v>689088</v>
      </c>
      <c r="P42" s="57">
        <v>700247</v>
      </c>
      <c r="Q42" s="57">
        <v>379513</v>
      </c>
      <c r="R42" s="57">
        <v>404558</v>
      </c>
      <c r="S42" s="47" t="s">
        <v>37</v>
      </c>
      <c r="T42" s="47" t="s">
        <v>37</v>
      </c>
      <c r="U42" s="47" t="s">
        <v>37</v>
      </c>
      <c r="V42" s="47" t="s">
        <v>37</v>
      </c>
      <c r="W42" s="47" t="s">
        <v>37</v>
      </c>
      <c r="X42" s="47" t="s">
        <v>37</v>
      </c>
      <c r="Y42" s="47" t="s">
        <v>37</v>
      </c>
      <c r="Z42" s="47" t="s">
        <v>37</v>
      </c>
      <c r="AA42" s="47" t="s">
        <v>37</v>
      </c>
      <c r="AB42" s="47" t="s">
        <v>37</v>
      </c>
      <c r="AC42" s="47" t="s">
        <v>37</v>
      </c>
    </row>
    <row r="43" spans="1:29">
      <c r="A43" s="38" t="s">
        <v>834</v>
      </c>
      <c r="B43" s="38"/>
      <c r="C43" s="169" t="s">
        <v>37</v>
      </c>
      <c r="D43" s="168">
        <v>99923</v>
      </c>
      <c r="E43" s="168">
        <v>292912</v>
      </c>
      <c r="F43" s="168">
        <v>339061</v>
      </c>
      <c r="G43" s="168">
        <v>717916</v>
      </c>
      <c r="H43" s="168">
        <v>542838</v>
      </c>
      <c r="I43" s="168">
        <v>538684</v>
      </c>
      <c r="J43" s="168">
        <v>877468</v>
      </c>
      <c r="K43" s="168">
        <v>814254</v>
      </c>
      <c r="L43" s="168">
        <v>367483</v>
      </c>
      <c r="M43" s="168">
        <v>1062687</v>
      </c>
      <c r="N43" s="168">
        <v>1080022</v>
      </c>
      <c r="O43" s="168">
        <v>884620</v>
      </c>
      <c r="P43" s="168">
        <v>746608</v>
      </c>
      <c r="Q43" s="168">
        <v>425545</v>
      </c>
      <c r="R43" s="168">
        <v>450262</v>
      </c>
      <c r="S43" s="168">
        <v>45375</v>
      </c>
      <c r="T43" s="168">
        <v>45047</v>
      </c>
      <c r="U43" s="168">
        <v>44719</v>
      </c>
      <c r="V43" s="168">
        <v>44390</v>
      </c>
      <c r="W43" s="168">
        <v>44062</v>
      </c>
      <c r="X43" s="168">
        <v>43733</v>
      </c>
      <c r="Y43" s="168">
        <v>43405</v>
      </c>
      <c r="Z43" s="168">
        <v>43077</v>
      </c>
      <c r="AA43" s="168">
        <v>42748</v>
      </c>
      <c r="AB43" s="168">
        <v>42420</v>
      </c>
      <c r="AC43" s="168">
        <v>42256</v>
      </c>
    </row>
    <row r="44" spans="1:29">
      <c r="A44" s="44" t="s">
        <v>835</v>
      </c>
      <c r="B44" s="44"/>
      <c r="C44" s="57">
        <v>6</v>
      </c>
      <c r="D44" s="57">
        <v>7</v>
      </c>
      <c r="E44" s="57">
        <v>10</v>
      </c>
      <c r="F44" s="57">
        <v>11</v>
      </c>
      <c r="G44" s="57">
        <v>17</v>
      </c>
      <c r="H44" s="57">
        <v>18</v>
      </c>
      <c r="I44" s="57">
        <v>18</v>
      </c>
      <c r="J44" s="57">
        <v>18</v>
      </c>
      <c r="K44" s="57">
        <v>19</v>
      </c>
      <c r="L44" s="57">
        <v>21</v>
      </c>
      <c r="M44" s="57">
        <v>23</v>
      </c>
      <c r="N44" s="57">
        <v>23</v>
      </c>
      <c r="O44" s="57">
        <v>23</v>
      </c>
      <c r="P44" s="57">
        <v>23</v>
      </c>
      <c r="Q44" s="57">
        <v>24</v>
      </c>
      <c r="R44" s="57">
        <v>29</v>
      </c>
      <c r="S44" s="57">
        <v>30</v>
      </c>
      <c r="T44" s="57">
        <v>30</v>
      </c>
      <c r="U44" s="57">
        <v>31</v>
      </c>
      <c r="V44" s="57">
        <v>31</v>
      </c>
      <c r="W44" s="57">
        <v>31</v>
      </c>
      <c r="X44" s="57">
        <v>31</v>
      </c>
      <c r="Y44" s="57">
        <v>32</v>
      </c>
      <c r="Z44" s="57">
        <v>32</v>
      </c>
      <c r="AA44" s="57">
        <v>32</v>
      </c>
      <c r="AB44" s="57">
        <v>32</v>
      </c>
      <c r="AC44" s="57">
        <v>32</v>
      </c>
    </row>
    <row r="45" spans="1:29">
      <c r="A45" s="44" t="s">
        <v>836</v>
      </c>
      <c r="B45" s="44"/>
      <c r="C45" s="57">
        <v>135565</v>
      </c>
      <c r="D45" s="57">
        <v>266718</v>
      </c>
      <c r="E45" s="57">
        <v>1189919</v>
      </c>
      <c r="F45" s="57">
        <v>1491908</v>
      </c>
      <c r="G45" s="57">
        <v>3083213</v>
      </c>
      <c r="H45" s="57">
        <v>3298025</v>
      </c>
      <c r="I45" s="57">
        <v>3313557</v>
      </c>
      <c r="J45" s="57">
        <v>3347567</v>
      </c>
      <c r="K45" s="57">
        <v>3686161</v>
      </c>
      <c r="L45" s="57">
        <v>4121332</v>
      </c>
      <c r="M45" s="57">
        <v>4993698</v>
      </c>
      <c r="N45" s="57">
        <v>4998723</v>
      </c>
      <c r="O45" s="57">
        <v>5010256</v>
      </c>
      <c r="P45" s="57">
        <v>5067718</v>
      </c>
      <c r="Q45" s="57">
        <v>5410147</v>
      </c>
      <c r="R45" s="57">
        <v>7547959</v>
      </c>
      <c r="S45" s="57">
        <v>8059852</v>
      </c>
      <c r="T45" s="57">
        <v>8103133</v>
      </c>
      <c r="U45" s="57">
        <v>9175724</v>
      </c>
      <c r="V45" s="57">
        <v>9217363</v>
      </c>
      <c r="W45" s="57">
        <v>9422237</v>
      </c>
      <c r="X45" s="57">
        <v>9384450</v>
      </c>
      <c r="Y45" s="57">
        <v>9523086</v>
      </c>
      <c r="Z45" s="57">
        <v>9614748</v>
      </c>
      <c r="AA45" s="57">
        <v>9700418</v>
      </c>
      <c r="AB45" s="57">
        <v>9756073</v>
      </c>
      <c r="AC45" s="57">
        <v>9763059</v>
      </c>
    </row>
    <row r="46" spans="1:29">
      <c r="A46" s="44" t="s">
        <v>837</v>
      </c>
      <c r="B46" s="44"/>
      <c r="C46" s="57">
        <v>-78264</v>
      </c>
      <c r="D46" s="57">
        <v>-131015</v>
      </c>
      <c r="E46" s="57">
        <v>-172596</v>
      </c>
      <c r="F46" s="57">
        <v>-263308</v>
      </c>
      <c r="G46" s="57">
        <v>-372313</v>
      </c>
      <c r="H46" s="57">
        <v>-551251</v>
      </c>
      <c r="I46" s="57">
        <v>-715288</v>
      </c>
      <c r="J46" s="57">
        <v>-927654</v>
      </c>
      <c r="K46" s="57">
        <v>-961338</v>
      </c>
      <c r="L46" s="57">
        <v>-1097317</v>
      </c>
      <c r="M46" s="57">
        <v>-1335436</v>
      </c>
      <c r="N46" s="57">
        <v>-1551179</v>
      </c>
      <c r="O46" s="57">
        <v>-1740897</v>
      </c>
      <c r="P46" s="57">
        <v>-2096949</v>
      </c>
      <c r="Q46" s="57">
        <v>-2491929</v>
      </c>
      <c r="R46" s="57">
        <v>-2955671</v>
      </c>
      <c r="S46" s="57">
        <v>-3114571</v>
      </c>
      <c r="T46" s="57">
        <v>-3251740</v>
      </c>
      <c r="U46" s="57">
        <v>-3083190</v>
      </c>
      <c r="V46" s="57">
        <v>-3218686</v>
      </c>
      <c r="W46" s="57">
        <v>-4208183</v>
      </c>
      <c r="X46" s="57">
        <v>-4266930</v>
      </c>
      <c r="Y46" s="57">
        <v>-4459387</v>
      </c>
      <c r="Z46" s="57">
        <v>-4782173</v>
      </c>
      <c r="AA46" s="57">
        <v>-4893069</v>
      </c>
      <c r="AB46" s="57">
        <v>-5379952</v>
      </c>
      <c r="AC46" s="57">
        <v>-5703183</v>
      </c>
    </row>
    <row r="47" spans="1:29">
      <c r="A47" s="44" t="s">
        <v>838</v>
      </c>
      <c r="B47" s="44"/>
      <c r="C47" s="47" t="s">
        <v>37</v>
      </c>
      <c r="D47" s="47" t="s">
        <v>37</v>
      </c>
      <c r="E47" s="47" t="s">
        <v>37</v>
      </c>
      <c r="F47" s="47" t="s">
        <v>37</v>
      </c>
      <c r="G47" s="47" t="s">
        <v>37</v>
      </c>
      <c r="H47" s="57">
        <v>-7981</v>
      </c>
      <c r="I47" s="57">
        <v>-52518</v>
      </c>
      <c r="J47" s="57">
        <v>-52518</v>
      </c>
      <c r="K47" s="57">
        <v>-52518</v>
      </c>
      <c r="L47" s="57">
        <v>-52518</v>
      </c>
      <c r="M47" s="57">
        <v>-72918</v>
      </c>
      <c r="N47" s="57">
        <v>-230086</v>
      </c>
      <c r="O47" s="57">
        <v>-193599</v>
      </c>
      <c r="P47" s="57">
        <v>-213606</v>
      </c>
      <c r="Q47" s="57">
        <v>-186210</v>
      </c>
      <c r="R47" s="57">
        <v>-176796</v>
      </c>
      <c r="S47" s="57">
        <v>-166436</v>
      </c>
      <c r="T47" s="57">
        <v>-152541</v>
      </c>
      <c r="U47" s="57">
        <v>-135781</v>
      </c>
      <c r="V47" s="57">
        <v>-117897</v>
      </c>
      <c r="W47" s="57">
        <v>-103929</v>
      </c>
      <c r="X47" s="57">
        <v>-437134</v>
      </c>
      <c r="Y47" s="57">
        <v>-682562</v>
      </c>
      <c r="Z47" s="57">
        <v>-1079063</v>
      </c>
      <c r="AA47" s="57">
        <v>-1427431</v>
      </c>
      <c r="AB47" s="57">
        <v>-1773571</v>
      </c>
      <c r="AC47" s="57">
        <v>-1917698</v>
      </c>
    </row>
    <row r="48" spans="1:29">
      <c r="A48" s="44" t="s">
        <v>839</v>
      </c>
      <c r="B48" s="44"/>
      <c r="C48" s="47" t="s">
        <v>37</v>
      </c>
      <c r="D48" s="57">
        <v>-2687</v>
      </c>
      <c r="E48" s="57">
        <v>-5354</v>
      </c>
      <c r="F48" s="57">
        <v>-10810</v>
      </c>
      <c r="G48" s="57">
        <v>-19624</v>
      </c>
      <c r="H48" s="57">
        <v>-27991</v>
      </c>
      <c r="I48" s="57">
        <v>-19982</v>
      </c>
      <c r="J48" s="57">
        <v>-30190</v>
      </c>
      <c r="K48" s="57">
        <v>-18845</v>
      </c>
      <c r="L48" s="57">
        <v>-374</v>
      </c>
      <c r="M48" s="57">
        <v>-5448</v>
      </c>
      <c r="N48" s="57">
        <v>9793</v>
      </c>
      <c r="O48" s="57">
        <v>19239</v>
      </c>
      <c r="P48" s="57">
        <v>18087</v>
      </c>
      <c r="Q48" s="57">
        <v>-165066</v>
      </c>
      <c r="R48" s="57">
        <v>-3088</v>
      </c>
      <c r="S48" s="57">
        <v>6530</v>
      </c>
      <c r="T48" s="57">
        <v>-94263</v>
      </c>
      <c r="U48" s="57">
        <v>-90900</v>
      </c>
      <c r="V48" s="57">
        <v>-75795</v>
      </c>
      <c r="W48" s="57">
        <v>-61041</v>
      </c>
      <c r="X48" s="57">
        <v>-252686</v>
      </c>
      <c r="Y48" s="57">
        <v>-114126</v>
      </c>
      <c r="Z48" s="57">
        <v>-110453</v>
      </c>
      <c r="AA48" s="57">
        <v>-126017</v>
      </c>
      <c r="AB48" s="57">
        <v>-118604</v>
      </c>
      <c r="AC48" s="57">
        <v>-155126</v>
      </c>
    </row>
    <row r="49" spans="1:29">
      <c r="A49" s="38" t="s">
        <v>840</v>
      </c>
      <c r="B49" s="38"/>
      <c r="C49" s="168">
        <v>57307</v>
      </c>
      <c r="D49" s="168">
        <v>133023</v>
      </c>
      <c r="E49" s="168">
        <v>1011979</v>
      </c>
      <c r="F49" s="168">
        <v>1217801</v>
      </c>
      <c r="G49" s="168">
        <v>2691293</v>
      </c>
      <c r="H49" s="168">
        <v>2710820</v>
      </c>
      <c r="I49" s="168">
        <v>2525787</v>
      </c>
      <c r="J49" s="168">
        <v>2337223</v>
      </c>
      <c r="K49" s="168">
        <v>2653479</v>
      </c>
      <c r="L49" s="168">
        <v>2971144</v>
      </c>
      <c r="M49" s="168">
        <v>3579919</v>
      </c>
      <c r="N49" s="168">
        <v>3227274</v>
      </c>
      <c r="O49" s="168">
        <v>3095022</v>
      </c>
      <c r="P49" s="168">
        <v>2775273</v>
      </c>
      <c r="Q49" s="168">
        <v>2566966</v>
      </c>
      <c r="R49" s="168">
        <v>4412433</v>
      </c>
      <c r="S49" s="168">
        <v>4785405</v>
      </c>
      <c r="T49" s="168">
        <v>4604619</v>
      </c>
      <c r="U49" s="168">
        <v>5865884</v>
      </c>
      <c r="V49" s="168">
        <v>5805016</v>
      </c>
      <c r="W49" s="168">
        <v>5049115</v>
      </c>
      <c r="X49" s="168">
        <v>4427731</v>
      </c>
      <c r="Y49" s="168">
        <v>4267043</v>
      </c>
      <c r="Z49" s="168">
        <v>3643091</v>
      </c>
      <c r="AA49" s="168">
        <v>3253933</v>
      </c>
      <c r="AB49" s="168">
        <v>2483978</v>
      </c>
      <c r="AC49" s="168">
        <v>1987084</v>
      </c>
    </row>
    <row r="50" spans="1:29">
      <c r="A50" s="44" t="s">
        <v>841</v>
      </c>
      <c r="B50" s="44"/>
      <c r="C50" s="57">
        <v>44386</v>
      </c>
      <c r="D50" s="57">
        <v>86692</v>
      </c>
      <c r="E50" s="57">
        <v>640283</v>
      </c>
      <c r="F50" s="57">
        <v>694437</v>
      </c>
      <c r="G50" s="57">
        <v>1354963</v>
      </c>
      <c r="H50" s="57">
        <v>1473947</v>
      </c>
      <c r="I50" s="57">
        <v>1403233</v>
      </c>
      <c r="J50" s="57">
        <v>971091</v>
      </c>
      <c r="K50" s="57">
        <v>1023777</v>
      </c>
      <c r="L50" s="57">
        <v>1117270</v>
      </c>
      <c r="M50" s="57">
        <v>1378044</v>
      </c>
      <c r="N50" s="57">
        <v>1267292</v>
      </c>
      <c r="O50" s="57">
        <v>1195296</v>
      </c>
      <c r="P50" s="57">
        <v>942132</v>
      </c>
      <c r="Q50" s="57">
        <v>765577</v>
      </c>
      <c r="R50" s="57">
        <v>850640</v>
      </c>
      <c r="S50" s="57">
        <v>888441</v>
      </c>
      <c r="T50" s="57">
        <v>1162567</v>
      </c>
      <c r="U50" s="57">
        <v>1160492</v>
      </c>
      <c r="V50" s="57">
        <v>1163711</v>
      </c>
      <c r="W50" s="57">
        <v>883865</v>
      </c>
      <c r="X50" s="57">
        <v>770442</v>
      </c>
      <c r="Y50" s="57">
        <v>787226</v>
      </c>
      <c r="Z50" s="57">
        <v>743076</v>
      </c>
      <c r="AA50" s="57">
        <v>730438</v>
      </c>
      <c r="AB50" s="57">
        <v>603913</v>
      </c>
      <c r="AC50" s="57">
        <v>493491</v>
      </c>
    </row>
    <row r="51" spans="1:29">
      <c r="A51" s="38" t="s">
        <v>58</v>
      </c>
      <c r="B51" s="38"/>
      <c r="C51" s="168">
        <v>101693</v>
      </c>
      <c r="D51" s="168">
        <v>319638</v>
      </c>
      <c r="E51" s="168">
        <v>1945174</v>
      </c>
      <c r="F51" s="168">
        <v>2251299</v>
      </c>
      <c r="G51" s="168">
        <v>4764172</v>
      </c>
      <c r="H51" s="168">
        <v>4727605</v>
      </c>
      <c r="I51" s="168">
        <v>4467704</v>
      </c>
      <c r="J51" s="168">
        <v>4185782</v>
      </c>
      <c r="K51" s="168">
        <v>4491510</v>
      </c>
      <c r="L51" s="168">
        <v>4455897</v>
      </c>
      <c r="M51" s="168">
        <v>6020650</v>
      </c>
      <c r="N51" s="168">
        <v>5574588</v>
      </c>
      <c r="O51" s="168">
        <v>5174938</v>
      </c>
      <c r="P51" s="168">
        <v>4464013</v>
      </c>
      <c r="Q51" s="168">
        <v>3758088</v>
      </c>
      <c r="R51" s="168">
        <v>5713335</v>
      </c>
      <c r="S51" s="168">
        <v>5719221</v>
      </c>
      <c r="T51" s="168">
        <v>5812233</v>
      </c>
      <c r="U51" s="168">
        <v>7071095</v>
      </c>
      <c r="V51" s="168">
        <v>7013117</v>
      </c>
      <c r="W51" s="168">
        <v>5977042</v>
      </c>
      <c r="X51" s="168">
        <v>5241906</v>
      </c>
      <c r="Y51" s="168">
        <v>5097674</v>
      </c>
      <c r="Z51" s="168">
        <v>4429244</v>
      </c>
      <c r="AA51" s="168">
        <v>4027119</v>
      </c>
      <c r="AB51" s="168">
        <v>3130311</v>
      </c>
      <c r="AC51" s="168">
        <v>2522831</v>
      </c>
    </row>
    <row r="52" spans="1:29">
      <c r="A52" s="38" t="s">
        <v>842</v>
      </c>
      <c r="B52" s="38"/>
      <c r="C52" s="168">
        <v>2277228</v>
      </c>
      <c r="D52" s="168">
        <v>2556436</v>
      </c>
      <c r="E52" s="168">
        <v>5895910</v>
      </c>
      <c r="F52" s="168">
        <v>7662667</v>
      </c>
      <c r="G52" s="168">
        <v>13277000</v>
      </c>
      <c r="H52" s="168">
        <v>14223243</v>
      </c>
      <c r="I52" s="168">
        <v>13937945</v>
      </c>
      <c r="J52" s="168">
        <v>13810954</v>
      </c>
      <c r="K52" s="168">
        <v>14904502</v>
      </c>
      <c r="L52" s="168">
        <v>15684721</v>
      </c>
      <c r="M52" s="168">
        <v>22070019</v>
      </c>
      <c r="N52" s="168">
        <v>21131039</v>
      </c>
      <c r="O52" s="168">
        <v>22084455</v>
      </c>
      <c r="P52" s="168">
        <v>23442466</v>
      </c>
      <c r="Q52" s="168">
        <v>23422749</v>
      </c>
      <c r="R52" s="168">
        <v>25948266</v>
      </c>
      <c r="S52" s="168">
        <v>24857429</v>
      </c>
      <c r="T52" s="168">
        <v>26216925</v>
      </c>
      <c r="U52" s="168">
        <v>32586606</v>
      </c>
      <c r="V52" s="168">
        <v>33324574</v>
      </c>
      <c r="W52" s="168">
        <v>29532330</v>
      </c>
      <c r="X52" s="168">
        <v>30565182</v>
      </c>
      <c r="Y52" s="168">
        <v>31103578</v>
      </c>
      <c r="Z52" s="168">
        <v>32257638</v>
      </c>
      <c r="AA52" s="168">
        <v>30686223</v>
      </c>
      <c r="AB52" s="168">
        <v>31231630</v>
      </c>
      <c r="AC52" s="168">
        <v>34026170</v>
      </c>
    </row>
    <row r="53" spans="1:29">
      <c r="A53" s="38" t="s">
        <v>843</v>
      </c>
      <c r="B53" s="38"/>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row>
    <row r="54" spans="1:29">
      <c r="A54" s="44" t="s">
        <v>844</v>
      </c>
      <c r="B54" s="44"/>
      <c r="C54" s="57">
        <v>48412000</v>
      </c>
      <c r="D54" s="57">
        <v>58364195</v>
      </c>
      <c r="E54" s="57">
        <v>100209787</v>
      </c>
      <c r="F54" s="57">
        <v>109688009</v>
      </c>
      <c r="G54" s="57">
        <v>174207249</v>
      </c>
      <c r="H54" s="57">
        <v>174930190</v>
      </c>
      <c r="I54" s="57">
        <v>173680878</v>
      </c>
      <c r="J54" s="57">
        <v>177952768</v>
      </c>
      <c r="K54" s="57">
        <v>185925514</v>
      </c>
      <c r="L54" s="57">
        <v>204189130</v>
      </c>
      <c r="M54" s="57">
        <v>223161753</v>
      </c>
      <c r="N54" s="57">
        <v>220393156</v>
      </c>
      <c r="O54" s="57">
        <v>221591842</v>
      </c>
      <c r="P54" s="57">
        <v>223044032</v>
      </c>
      <c r="Q54" s="57">
        <v>231311288</v>
      </c>
      <c r="R54" s="57">
        <v>289984654</v>
      </c>
      <c r="S54" s="57">
        <v>296966538</v>
      </c>
      <c r="T54" s="57">
        <v>293856250</v>
      </c>
      <c r="U54" s="57">
        <v>309903824</v>
      </c>
      <c r="V54" s="57">
        <v>310608565</v>
      </c>
      <c r="W54" s="57">
        <v>310787910</v>
      </c>
      <c r="X54" s="57">
        <v>309420569</v>
      </c>
      <c r="Y54" s="57">
        <v>313074574</v>
      </c>
      <c r="Z54" s="57">
        <v>311166854</v>
      </c>
      <c r="AA54" s="57">
        <v>308969608</v>
      </c>
      <c r="AB54" s="57">
        <v>306868960</v>
      </c>
      <c r="AC54" s="57">
        <v>305895220</v>
      </c>
    </row>
    <row r="55" spans="1:29">
      <c r="A55" s="44" t="s">
        <v>845</v>
      </c>
      <c r="B55" s="44"/>
      <c r="C55" s="57">
        <v>48412000</v>
      </c>
      <c r="D55" s="57">
        <v>58364195</v>
      </c>
      <c r="E55" s="57">
        <v>96880415</v>
      </c>
      <c r="F55" s="57">
        <v>111310751</v>
      </c>
      <c r="G55" s="57">
        <v>168442781</v>
      </c>
      <c r="H55" s="57">
        <v>174900017</v>
      </c>
      <c r="I55" s="57">
        <v>173686203</v>
      </c>
      <c r="J55" s="57">
        <v>173806306</v>
      </c>
      <c r="K55" s="57">
        <v>185543540</v>
      </c>
      <c r="L55" s="57">
        <v>201981997</v>
      </c>
      <c r="M55" s="57">
        <v>220306495</v>
      </c>
      <c r="N55" s="57">
        <v>220361581</v>
      </c>
      <c r="O55" s="57">
        <v>221431071</v>
      </c>
      <c r="P55" s="57">
        <v>223034282</v>
      </c>
      <c r="Q55" s="57">
        <v>231319644</v>
      </c>
      <c r="R55" s="57">
        <v>285748271</v>
      </c>
      <c r="S55" s="57">
        <v>292961909</v>
      </c>
      <c r="T55" s="57">
        <v>293856250</v>
      </c>
      <c r="U55" s="57">
        <v>309903824</v>
      </c>
      <c r="V55" s="57">
        <v>310608565</v>
      </c>
      <c r="W55" s="57">
        <v>310787910</v>
      </c>
      <c r="X55" s="57">
        <v>309420569</v>
      </c>
      <c r="Y55" s="57">
        <v>313074574</v>
      </c>
      <c r="Z55" s="57">
        <v>311166854</v>
      </c>
      <c r="AA55" s="57">
        <v>309017468</v>
      </c>
      <c r="AB55" s="57">
        <v>306868960</v>
      </c>
      <c r="AC55" s="57">
        <v>305895220</v>
      </c>
    </row>
    <row r="56" spans="1:29">
      <c r="A56" s="44" t="s">
        <v>846</v>
      </c>
      <c r="B56" s="44"/>
      <c r="C56" s="128">
        <v>1.1839999999999999</v>
      </c>
      <c r="D56" s="128">
        <v>2.2789999999999999</v>
      </c>
      <c r="E56" s="128">
        <v>10.446</v>
      </c>
      <c r="F56" s="128">
        <v>10.941000000000001</v>
      </c>
      <c r="G56" s="128">
        <v>15.977</v>
      </c>
      <c r="H56" s="128">
        <v>15.499000000000001</v>
      </c>
      <c r="I56" s="128">
        <v>14.542</v>
      </c>
      <c r="J56" s="128">
        <v>13.446999999999999</v>
      </c>
      <c r="K56" s="128">
        <v>14.301</v>
      </c>
      <c r="L56" s="128">
        <v>14.71</v>
      </c>
      <c r="M56" s="128">
        <v>16.25</v>
      </c>
      <c r="N56" s="128">
        <v>14.645</v>
      </c>
      <c r="O56" s="128">
        <v>13.977</v>
      </c>
      <c r="P56" s="128">
        <v>12.443</v>
      </c>
      <c r="Q56" s="128">
        <v>11.097</v>
      </c>
      <c r="R56" s="128">
        <v>15.442</v>
      </c>
      <c r="S56" s="128">
        <v>16.335000000000001</v>
      </c>
      <c r="T56" s="128">
        <v>15.67</v>
      </c>
      <c r="U56" s="128">
        <v>18.928000000000001</v>
      </c>
      <c r="V56" s="128">
        <v>18.689</v>
      </c>
      <c r="W56" s="128">
        <v>16.245999999999999</v>
      </c>
      <c r="X56" s="128">
        <v>14.31</v>
      </c>
      <c r="Y56" s="128">
        <v>13.629</v>
      </c>
      <c r="Z56" s="128">
        <v>11.708</v>
      </c>
      <c r="AA56" s="128">
        <v>10.53</v>
      </c>
      <c r="AB56" s="128">
        <v>8.0950000000000006</v>
      </c>
      <c r="AC56" s="128">
        <v>6.4960000000000004</v>
      </c>
    </row>
    <row r="57" spans="1:29">
      <c r="A57" s="44" t="s">
        <v>847</v>
      </c>
      <c r="B57" s="44"/>
      <c r="C57" s="57">
        <v>57307</v>
      </c>
      <c r="D57" s="57">
        <v>133023</v>
      </c>
      <c r="E57" s="57">
        <v>1011979</v>
      </c>
      <c r="F57" s="57">
        <v>1217801</v>
      </c>
      <c r="G57" s="57">
        <v>2633159</v>
      </c>
      <c r="H57" s="57">
        <v>2671264</v>
      </c>
      <c r="I57" s="57">
        <v>2487403</v>
      </c>
      <c r="J57" s="57">
        <v>2300011</v>
      </c>
      <c r="K57" s="57">
        <v>2653479</v>
      </c>
      <c r="L57" s="57">
        <v>2936778</v>
      </c>
      <c r="M57" s="57">
        <v>3256536</v>
      </c>
      <c r="N57" s="57">
        <v>2983496</v>
      </c>
      <c r="O57" s="57">
        <v>2910738</v>
      </c>
      <c r="P57" s="57">
        <v>2639008</v>
      </c>
      <c r="Q57" s="57">
        <v>2480776</v>
      </c>
      <c r="R57" s="57">
        <v>4359011</v>
      </c>
      <c r="S57" s="57">
        <v>4602642</v>
      </c>
      <c r="T57" s="57">
        <v>4308473</v>
      </c>
      <c r="U57" s="57">
        <v>5358752</v>
      </c>
      <c r="V57" s="57">
        <v>5428651</v>
      </c>
      <c r="W57" s="57">
        <v>4737321</v>
      </c>
      <c r="X57" s="57">
        <v>4152051</v>
      </c>
      <c r="Y57" s="57">
        <v>3981906</v>
      </c>
      <c r="Z57" s="57">
        <v>3434534</v>
      </c>
      <c r="AA57" s="57">
        <v>3103197</v>
      </c>
      <c r="AB57" s="57">
        <v>2388126</v>
      </c>
      <c r="AC57" s="57">
        <v>1987084</v>
      </c>
    </row>
    <row r="58" spans="1:29">
      <c r="A58" s="44" t="s">
        <v>848</v>
      </c>
      <c r="B58" s="44"/>
      <c r="C58" s="128">
        <v>1.1839999999999999</v>
      </c>
      <c r="D58" s="128">
        <v>2.2789999999999999</v>
      </c>
      <c r="E58" s="128">
        <v>10.446</v>
      </c>
      <c r="F58" s="128">
        <v>10.941000000000001</v>
      </c>
      <c r="G58" s="128">
        <v>15.632</v>
      </c>
      <c r="H58" s="128">
        <v>15.273</v>
      </c>
      <c r="I58" s="128">
        <v>14.321</v>
      </c>
      <c r="J58" s="128">
        <v>13.233000000000001</v>
      </c>
      <c r="K58" s="128">
        <v>14.301</v>
      </c>
      <c r="L58" s="128">
        <v>14.54</v>
      </c>
      <c r="M58" s="128">
        <v>14.782</v>
      </c>
      <c r="N58" s="128">
        <v>13.539</v>
      </c>
      <c r="O58" s="128">
        <v>13.145</v>
      </c>
      <c r="P58" s="128">
        <v>11.832000000000001</v>
      </c>
      <c r="Q58" s="128">
        <v>10.724</v>
      </c>
      <c r="R58" s="128">
        <v>15.255000000000001</v>
      </c>
      <c r="S58" s="128">
        <v>15.711</v>
      </c>
      <c r="T58" s="128">
        <v>14.662000000000001</v>
      </c>
      <c r="U58" s="128">
        <v>17.292000000000002</v>
      </c>
      <c r="V58" s="128">
        <v>17.477</v>
      </c>
      <c r="W58" s="128">
        <v>15.243</v>
      </c>
      <c r="X58" s="128">
        <v>13.419</v>
      </c>
      <c r="Y58" s="128">
        <v>12.718999999999999</v>
      </c>
      <c r="Z58" s="128">
        <v>11.038</v>
      </c>
      <c r="AA58" s="128">
        <v>10.042</v>
      </c>
      <c r="AB58" s="128">
        <v>7.782</v>
      </c>
      <c r="AC58" s="128">
        <v>6.4960000000000004</v>
      </c>
    </row>
    <row r="59" spans="1:29">
      <c r="A59" s="44" t="s">
        <v>54</v>
      </c>
      <c r="B59" s="44"/>
      <c r="C59" s="57">
        <v>1938091</v>
      </c>
      <c r="D59" s="57">
        <v>1980759</v>
      </c>
      <c r="E59" s="57">
        <v>3681984</v>
      </c>
      <c r="F59" s="57">
        <v>5077990</v>
      </c>
      <c r="G59" s="57">
        <v>7973372</v>
      </c>
      <c r="H59" s="57">
        <v>8768951</v>
      </c>
      <c r="I59" s="57">
        <v>8728582</v>
      </c>
      <c r="J59" s="57">
        <v>8841378</v>
      </c>
      <c r="K59" s="57">
        <v>9546081</v>
      </c>
      <c r="L59" s="57">
        <v>10266388</v>
      </c>
      <c r="M59" s="57">
        <v>14586393</v>
      </c>
      <c r="N59" s="57">
        <v>14106117</v>
      </c>
      <c r="O59" s="57">
        <v>15394489</v>
      </c>
      <c r="P59" s="57">
        <v>17218674</v>
      </c>
      <c r="Q59" s="57">
        <v>18042532</v>
      </c>
      <c r="R59" s="57">
        <v>18643302</v>
      </c>
      <c r="S59" s="57">
        <v>17493260</v>
      </c>
      <c r="T59" s="57">
        <v>18456440</v>
      </c>
      <c r="U59" s="57">
        <v>23114507</v>
      </c>
      <c r="V59" s="57">
        <v>22670317</v>
      </c>
      <c r="W59" s="57">
        <v>20855093</v>
      </c>
      <c r="X59" s="57">
        <v>22416682</v>
      </c>
      <c r="Y59" s="57">
        <v>22977104</v>
      </c>
      <c r="Z59" s="57">
        <v>24632463</v>
      </c>
      <c r="AA59" s="57">
        <v>23305535</v>
      </c>
      <c r="AB59" s="57">
        <v>24680039</v>
      </c>
      <c r="AC59" s="57">
        <v>27788299</v>
      </c>
    </row>
    <row r="60" spans="1:29">
      <c r="A60" s="44" t="s">
        <v>849</v>
      </c>
      <c r="B60" s="44"/>
      <c r="C60" s="57">
        <v>1832952</v>
      </c>
      <c r="D60" s="57">
        <v>1918038</v>
      </c>
      <c r="E60" s="57">
        <v>3617675</v>
      </c>
      <c r="F60" s="57">
        <v>4968291</v>
      </c>
      <c r="G60" s="57">
        <v>7844177</v>
      </c>
      <c r="H60" s="57">
        <v>8611319</v>
      </c>
      <c r="I60" s="57">
        <v>8505471</v>
      </c>
      <c r="J60" s="57">
        <v>8581618</v>
      </c>
      <c r="K60" s="57">
        <v>9148952</v>
      </c>
      <c r="L60" s="57">
        <v>9730765</v>
      </c>
      <c r="M60" s="57">
        <v>14066309</v>
      </c>
      <c r="N60" s="57">
        <v>13769069</v>
      </c>
      <c r="O60" s="57">
        <v>14465129</v>
      </c>
      <c r="P60" s="57">
        <v>16716692</v>
      </c>
      <c r="Q60" s="57">
        <v>17268988</v>
      </c>
      <c r="R60" s="57">
        <v>14685584</v>
      </c>
      <c r="S60" s="57">
        <v>16696542</v>
      </c>
      <c r="T60" s="57">
        <v>17657790</v>
      </c>
      <c r="U60" s="57">
        <v>21929989</v>
      </c>
      <c r="V60" s="57">
        <v>20979311</v>
      </c>
      <c r="W60" s="57">
        <v>20241911</v>
      </c>
      <c r="X60" s="57">
        <v>21715548</v>
      </c>
      <c r="Y60" s="57">
        <v>22417045</v>
      </c>
      <c r="Z60" s="57">
        <v>23150154</v>
      </c>
      <c r="AA60" s="57">
        <v>22791200</v>
      </c>
      <c r="AB60" s="57">
        <v>24010666</v>
      </c>
      <c r="AC60" s="57">
        <v>24482199</v>
      </c>
    </row>
    <row r="61" spans="1:29">
      <c r="A61" s="44" t="s">
        <v>850</v>
      </c>
      <c r="B61" s="44"/>
      <c r="C61" s="57">
        <v>46464</v>
      </c>
      <c r="D61" s="47" t="s">
        <v>37</v>
      </c>
      <c r="E61" s="57">
        <v>68048</v>
      </c>
      <c r="F61" s="57">
        <v>84088</v>
      </c>
      <c r="G61" s="57">
        <v>108944</v>
      </c>
      <c r="H61" s="57">
        <v>106920</v>
      </c>
      <c r="I61" s="57">
        <v>109232</v>
      </c>
      <c r="J61" s="57">
        <v>110288</v>
      </c>
      <c r="K61" s="57">
        <v>111872</v>
      </c>
      <c r="L61" s="57">
        <v>136224</v>
      </c>
      <c r="M61" s="57">
        <v>165512</v>
      </c>
      <c r="N61" s="57">
        <v>204672</v>
      </c>
      <c r="O61" s="57">
        <v>234408</v>
      </c>
      <c r="P61" s="57">
        <v>243992</v>
      </c>
      <c r="Q61" s="57">
        <v>245448</v>
      </c>
      <c r="R61" s="57">
        <v>256688</v>
      </c>
      <c r="S61" s="57">
        <v>294000</v>
      </c>
      <c r="T61" s="57">
        <v>354648</v>
      </c>
      <c r="U61" s="57">
        <v>340176</v>
      </c>
      <c r="V61" s="57">
        <v>329656</v>
      </c>
      <c r="W61" s="57">
        <v>355800</v>
      </c>
      <c r="X61" s="57">
        <v>343344</v>
      </c>
      <c r="Y61" s="57">
        <v>342952</v>
      </c>
      <c r="Z61" s="57">
        <v>362760</v>
      </c>
      <c r="AA61" s="57">
        <v>378560</v>
      </c>
      <c r="AB61" s="57">
        <v>377112</v>
      </c>
      <c r="AC61" s="47" t="s">
        <v>37</v>
      </c>
    </row>
    <row r="62" spans="1:29">
      <c r="A62" s="44" t="s">
        <v>841</v>
      </c>
      <c r="B62" s="44"/>
      <c r="C62" s="57">
        <v>44386</v>
      </c>
      <c r="D62" s="57">
        <v>86692</v>
      </c>
      <c r="E62" s="57">
        <v>640283</v>
      </c>
      <c r="F62" s="57">
        <v>694437</v>
      </c>
      <c r="G62" s="57">
        <v>1354963</v>
      </c>
      <c r="H62" s="57">
        <v>1473947</v>
      </c>
      <c r="I62" s="57">
        <v>1403233</v>
      </c>
      <c r="J62" s="57">
        <v>971091</v>
      </c>
      <c r="K62" s="57">
        <v>1023777</v>
      </c>
      <c r="L62" s="57">
        <v>1117270</v>
      </c>
      <c r="M62" s="57">
        <v>1378044</v>
      </c>
      <c r="N62" s="57">
        <v>1267292</v>
      </c>
      <c r="O62" s="57">
        <v>1195296</v>
      </c>
      <c r="P62" s="57">
        <v>942132</v>
      </c>
      <c r="Q62" s="57">
        <v>765577</v>
      </c>
      <c r="R62" s="57">
        <v>850640</v>
      </c>
      <c r="S62" s="57">
        <v>888441</v>
      </c>
      <c r="T62" s="57">
        <v>1162567</v>
      </c>
      <c r="U62" s="57">
        <v>1160492</v>
      </c>
      <c r="V62" s="57">
        <v>1163711</v>
      </c>
      <c r="W62" s="57">
        <v>883865</v>
      </c>
      <c r="X62" s="57">
        <v>770442</v>
      </c>
      <c r="Y62" s="57">
        <v>787226</v>
      </c>
      <c r="Z62" s="57">
        <v>743076</v>
      </c>
      <c r="AA62" s="57">
        <v>730438</v>
      </c>
      <c r="AB62" s="57">
        <v>603913</v>
      </c>
      <c r="AC62" s="57">
        <v>493491</v>
      </c>
    </row>
    <row r="63" spans="1:29">
      <c r="A63" s="44" t="s">
        <v>851</v>
      </c>
      <c r="B63" s="44"/>
      <c r="C63" s="47" t="s">
        <v>37</v>
      </c>
      <c r="D63" s="57">
        <v>117332</v>
      </c>
      <c r="E63" s="57">
        <v>394409</v>
      </c>
      <c r="F63" s="57">
        <v>615332</v>
      </c>
      <c r="G63" s="57">
        <v>1316790</v>
      </c>
      <c r="H63" s="57">
        <v>1528857</v>
      </c>
      <c r="I63" s="57">
        <v>1315836</v>
      </c>
      <c r="J63" s="57">
        <v>1451137</v>
      </c>
      <c r="K63" s="57">
        <v>1665654</v>
      </c>
      <c r="L63" s="57">
        <v>1811773</v>
      </c>
      <c r="M63" s="57">
        <v>1920983</v>
      </c>
      <c r="N63" s="57">
        <v>1562595</v>
      </c>
      <c r="O63" s="57">
        <v>1526235</v>
      </c>
      <c r="P63" s="57">
        <v>1886891</v>
      </c>
      <c r="Q63" s="57">
        <v>1663886</v>
      </c>
      <c r="R63" s="57">
        <v>1468577</v>
      </c>
      <c r="S63" s="57">
        <v>1390105</v>
      </c>
      <c r="T63" s="57">
        <v>1378084</v>
      </c>
      <c r="U63" s="57">
        <v>4125920</v>
      </c>
      <c r="V63" s="57">
        <v>4444260</v>
      </c>
      <c r="W63" s="57">
        <v>4165277</v>
      </c>
      <c r="X63" s="57">
        <v>4424937</v>
      </c>
      <c r="Y63" s="57">
        <v>4164977</v>
      </c>
      <c r="Z63" s="57">
        <v>4201159</v>
      </c>
      <c r="AA63" s="57">
        <v>3989902</v>
      </c>
      <c r="AB63" s="57">
        <v>4102702</v>
      </c>
      <c r="AC63" s="57">
        <v>4029966</v>
      </c>
    </row>
    <row r="64" spans="1:29">
      <c r="A64" s="44" t="s">
        <v>852</v>
      </c>
      <c r="B64" s="44"/>
      <c r="C64" s="47" t="s">
        <v>37</v>
      </c>
      <c r="D64" s="57">
        <v>283722</v>
      </c>
      <c r="E64" s="57">
        <v>1003221</v>
      </c>
      <c r="F64" s="57">
        <v>1253953</v>
      </c>
      <c r="G64" s="57">
        <v>2094881</v>
      </c>
      <c r="H64" s="57">
        <v>1988660</v>
      </c>
      <c r="I64" s="57">
        <v>2000521</v>
      </c>
      <c r="J64" s="57">
        <v>1987364</v>
      </c>
      <c r="K64" s="57">
        <v>2028285</v>
      </c>
      <c r="L64" s="57">
        <v>2068264</v>
      </c>
      <c r="M64" s="57">
        <v>2611543</v>
      </c>
      <c r="N64" s="57">
        <v>2560335</v>
      </c>
      <c r="O64" s="57">
        <v>2651205</v>
      </c>
      <c r="P64" s="57">
        <v>2798452</v>
      </c>
      <c r="Q64" s="57">
        <v>2795026</v>
      </c>
      <c r="R64" s="57">
        <v>2757994</v>
      </c>
      <c r="S64" s="57">
        <v>2929054</v>
      </c>
      <c r="T64" s="57">
        <v>3136981</v>
      </c>
      <c r="U64" s="57">
        <v>3736882</v>
      </c>
      <c r="V64" s="57">
        <v>3086183</v>
      </c>
      <c r="W64" s="57">
        <v>3185624</v>
      </c>
      <c r="X64" s="57">
        <v>3417716</v>
      </c>
      <c r="Y64" s="57">
        <v>3568935</v>
      </c>
      <c r="Z64" s="57">
        <v>3635316</v>
      </c>
      <c r="AA64" s="57">
        <v>3673023</v>
      </c>
      <c r="AB64" s="57">
        <v>3692056</v>
      </c>
      <c r="AC64" s="47" t="s">
        <v>37</v>
      </c>
    </row>
    <row r="65" spans="1:29">
      <c r="A65" s="44" t="s">
        <v>853</v>
      </c>
      <c r="B65" s="44"/>
      <c r="C65" s="47" t="s">
        <v>37</v>
      </c>
      <c r="D65" s="57">
        <v>1860203</v>
      </c>
      <c r="E65" s="57">
        <v>4183783</v>
      </c>
      <c r="F65" s="57">
        <v>5560112</v>
      </c>
      <c r="G65" s="57">
        <v>9695842</v>
      </c>
      <c r="H65" s="57">
        <v>10739126</v>
      </c>
      <c r="I65" s="57">
        <v>10954559</v>
      </c>
      <c r="J65" s="57">
        <v>11107641</v>
      </c>
      <c r="K65" s="57">
        <v>12101454</v>
      </c>
      <c r="L65" s="57">
        <v>12766179</v>
      </c>
      <c r="M65" s="57">
        <v>18471039</v>
      </c>
      <c r="N65" s="57">
        <v>18990912</v>
      </c>
      <c r="O65" s="57">
        <v>19993094</v>
      </c>
      <c r="P65" s="57">
        <v>21364915</v>
      </c>
      <c r="Q65" s="57">
        <v>22112944</v>
      </c>
      <c r="R65" s="57">
        <v>22265721</v>
      </c>
      <c r="S65" s="57">
        <v>24263169</v>
      </c>
      <c r="T65" s="57">
        <v>26196349</v>
      </c>
      <c r="U65" s="57">
        <v>30187495</v>
      </c>
      <c r="V65" s="57">
        <v>26962049</v>
      </c>
      <c r="W65" s="57">
        <v>27828509</v>
      </c>
      <c r="X65" s="57">
        <v>29715169</v>
      </c>
      <c r="Y65" s="57">
        <v>31329007</v>
      </c>
      <c r="Z65" s="57">
        <v>32379190</v>
      </c>
      <c r="AA65" s="57">
        <v>32994937</v>
      </c>
      <c r="AB65" s="57">
        <v>33664683</v>
      </c>
      <c r="AC65" s="47" t="s">
        <v>37</v>
      </c>
    </row>
    <row r="66" spans="1:29">
      <c r="A66" s="44" t="s">
        <v>854</v>
      </c>
      <c r="B66" s="44"/>
      <c r="C66" s="47" t="s">
        <v>37</v>
      </c>
      <c r="D66" s="57">
        <v>18236</v>
      </c>
      <c r="E66" s="57">
        <v>27556</v>
      </c>
      <c r="F66" s="57">
        <v>53289</v>
      </c>
      <c r="G66" s="57">
        <v>59291</v>
      </c>
      <c r="H66" s="57">
        <v>74266</v>
      </c>
      <c r="I66" s="57">
        <v>90053</v>
      </c>
      <c r="J66" s="57">
        <v>99391</v>
      </c>
      <c r="K66" s="57">
        <v>119876</v>
      </c>
      <c r="L66" s="57">
        <v>137380</v>
      </c>
      <c r="M66" s="57">
        <v>171179</v>
      </c>
      <c r="N66" s="57">
        <v>194062</v>
      </c>
      <c r="O66" s="57">
        <v>219664</v>
      </c>
      <c r="P66" s="57">
        <v>251658</v>
      </c>
      <c r="Q66" s="57">
        <v>297745</v>
      </c>
      <c r="R66" s="57">
        <v>312474</v>
      </c>
      <c r="S66" s="57">
        <v>316512</v>
      </c>
      <c r="T66" s="57">
        <v>323716</v>
      </c>
      <c r="U66" s="57">
        <v>328144</v>
      </c>
      <c r="V66" s="57">
        <v>288407</v>
      </c>
      <c r="W66" s="57">
        <v>304399</v>
      </c>
      <c r="X66" s="57">
        <v>330239</v>
      </c>
      <c r="Y66" s="57">
        <v>328147</v>
      </c>
      <c r="Z66" s="57">
        <v>378958</v>
      </c>
      <c r="AA66" s="57">
        <v>424710</v>
      </c>
      <c r="AB66" s="57">
        <v>447756</v>
      </c>
      <c r="AC66" s="47" t="s">
        <v>37</v>
      </c>
    </row>
    <row r="67" spans="1:29">
      <c r="A67" s="44" t="s">
        <v>48</v>
      </c>
      <c r="B67" s="44"/>
      <c r="C67" s="47" t="s">
        <v>37</v>
      </c>
      <c r="D67" s="47" t="s">
        <v>37</v>
      </c>
      <c r="E67" s="57">
        <v>86461</v>
      </c>
      <c r="F67" s="47" t="s">
        <v>37</v>
      </c>
      <c r="G67" s="47" t="s">
        <v>37</v>
      </c>
      <c r="H67" s="47" t="s">
        <v>37</v>
      </c>
      <c r="I67" s="47" t="s">
        <v>37</v>
      </c>
      <c r="J67" s="47" t="s">
        <v>37</v>
      </c>
      <c r="K67" s="47" t="s">
        <v>37</v>
      </c>
      <c r="L67" s="47" t="s">
        <v>37</v>
      </c>
      <c r="M67" s="47" t="s">
        <v>37</v>
      </c>
      <c r="N67" s="47" t="s">
        <v>37</v>
      </c>
      <c r="O67" s="47" t="s">
        <v>37</v>
      </c>
      <c r="P67" s="47" t="s">
        <v>37</v>
      </c>
      <c r="Q67" s="47" t="s">
        <v>37</v>
      </c>
      <c r="R67" s="47" t="s">
        <v>37</v>
      </c>
      <c r="S67" s="47" t="s">
        <v>37</v>
      </c>
      <c r="T67" s="47" t="s">
        <v>37</v>
      </c>
      <c r="U67" s="47" t="s">
        <v>37</v>
      </c>
      <c r="V67" s="47" t="s">
        <v>37</v>
      </c>
      <c r="W67" s="47" t="s">
        <v>37</v>
      </c>
      <c r="X67" s="47" t="s">
        <v>37</v>
      </c>
      <c r="Y67" s="47" t="s">
        <v>37</v>
      </c>
      <c r="Z67" s="47" t="s">
        <v>37</v>
      </c>
      <c r="AA67" s="47" t="s">
        <v>37</v>
      </c>
      <c r="AB67" s="47" t="s">
        <v>37</v>
      </c>
      <c r="AC67" s="47" t="s">
        <v>37</v>
      </c>
    </row>
    <row r="68" spans="1:29">
      <c r="A68" s="44" t="s">
        <v>855</v>
      </c>
      <c r="B68" s="44"/>
      <c r="C68" s="47" t="s">
        <v>37</v>
      </c>
      <c r="D68" s="47" t="s">
        <v>37</v>
      </c>
      <c r="E68" s="57">
        <v>3450</v>
      </c>
      <c r="F68" s="57">
        <v>2900</v>
      </c>
      <c r="G68" s="57">
        <v>5225</v>
      </c>
      <c r="H68" s="57">
        <v>2900</v>
      </c>
      <c r="I68" s="57">
        <v>2780</v>
      </c>
      <c r="J68" s="57">
        <v>2580</v>
      </c>
      <c r="K68" s="57">
        <v>2410</v>
      </c>
      <c r="L68" s="57">
        <v>2440</v>
      </c>
      <c r="M68" s="57">
        <v>3020</v>
      </c>
      <c r="N68" s="57">
        <v>3000</v>
      </c>
      <c r="O68" s="57">
        <v>2700</v>
      </c>
      <c r="P68" s="57">
        <v>3200</v>
      </c>
      <c r="Q68" s="57">
        <v>3500</v>
      </c>
      <c r="R68" s="57">
        <v>3300</v>
      </c>
      <c r="S68" s="57">
        <v>3500</v>
      </c>
      <c r="T68" s="57">
        <v>3300</v>
      </c>
      <c r="U68" s="57">
        <v>3400</v>
      </c>
      <c r="V68" s="57">
        <v>3400</v>
      </c>
      <c r="W68" s="57">
        <v>3400</v>
      </c>
      <c r="X68" s="57">
        <v>3150</v>
      </c>
      <c r="Y68" s="57">
        <v>3100</v>
      </c>
      <c r="Z68" s="57">
        <v>3300</v>
      </c>
      <c r="AA68" s="57">
        <v>3300</v>
      </c>
      <c r="AB68" s="57">
        <v>3500</v>
      </c>
      <c r="AC68" s="47" t="s">
        <v>37</v>
      </c>
    </row>
    <row r="69" spans="1:29">
      <c r="A69" s="44" t="s">
        <v>856</v>
      </c>
      <c r="B69" s="44"/>
      <c r="C69" s="47" t="s">
        <v>37</v>
      </c>
      <c r="D69" s="47" t="s">
        <v>37</v>
      </c>
      <c r="E69" s="57">
        <v>3950</v>
      </c>
      <c r="F69" s="57">
        <v>3400</v>
      </c>
      <c r="G69" s="57">
        <v>1075</v>
      </c>
      <c r="H69" s="57">
        <v>2940</v>
      </c>
      <c r="I69" s="57">
        <v>2590</v>
      </c>
      <c r="J69" s="57">
        <v>1590</v>
      </c>
      <c r="K69" s="57">
        <v>1610</v>
      </c>
      <c r="L69" s="57">
        <v>1600</v>
      </c>
      <c r="M69" s="57">
        <v>1590</v>
      </c>
      <c r="N69" s="57">
        <v>1700</v>
      </c>
      <c r="O69" s="57">
        <v>1600</v>
      </c>
      <c r="P69" s="57">
        <v>1900</v>
      </c>
      <c r="Q69" s="57">
        <v>1800</v>
      </c>
      <c r="R69" s="57">
        <v>1900</v>
      </c>
      <c r="S69" s="57">
        <v>2400</v>
      </c>
      <c r="T69" s="57">
        <v>2200</v>
      </c>
      <c r="U69" s="57">
        <v>2100</v>
      </c>
      <c r="V69" s="57">
        <v>2300</v>
      </c>
      <c r="W69" s="57">
        <v>1850</v>
      </c>
      <c r="X69" s="57">
        <v>1850</v>
      </c>
      <c r="Y69" s="57">
        <v>1900</v>
      </c>
      <c r="Z69" s="57">
        <v>1700</v>
      </c>
      <c r="AA69" s="57">
        <v>1700</v>
      </c>
      <c r="AB69" s="57">
        <v>1000</v>
      </c>
      <c r="AC69" s="47" t="s">
        <v>37</v>
      </c>
    </row>
    <row r="70" spans="1:29">
      <c r="A70" s="44" t="s">
        <v>857</v>
      </c>
      <c r="B70" s="44"/>
      <c r="C70" s="47" t="s">
        <v>37</v>
      </c>
      <c r="D70" s="57">
        <v>4259</v>
      </c>
      <c r="E70" s="57">
        <v>7918</v>
      </c>
      <c r="F70" s="57">
        <v>13804</v>
      </c>
      <c r="G70" s="57">
        <v>14491</v>
      </c>
      <c r="H70" s="57">
        <v>14467</v>
      </c>
      <c r="I70" s="57">
        <v>20108</v>
      </c>
      <c r="J70" s="57">
        <v>24682</v>
      </c>
      <c r="K70" s="57">
        <v>20490</v>
      </c>
      <c r="L70" s="57">
        <v>31473</v>
      </c>
      <c r="M70" s="47" t="s">
        <v>37</v>
      </c>
      <c r="N70" s="47" t="s">
        <v>37</v>
      </c>
      <c r="O70" s="47" t="s">
        <v>37</v>
      </c>
      <c r="P70" s="47" t="s">
        <v>37</v>
      </c>
      <c r="Q70" s="47" t="s">
        <v>37</v>
      </c>
      <c r="R70" s="47" t="s">
        <v>37</v>
      </c>
      <c r="S70" s="47" t="s">
        <v>37</v>
      </c>
      <c r="T70" s="47" t="s">
        <v>37</v>
      </c>
      <c r="U70" s="47" t="s">
        <v>37</v>
      </c>
      <c r="V70" s="57">
        <v>32681</v>
      </c>
      <c r="W70" s="57">
        <v>33282</v>
      </c>
      <c r="X70" s="57">
        <v>30094</v>
      </c>
      <c r="Y70" s="57">
        <v>22498</v>
      </c>
      <c r="Z70" s="57">
        <v>23460</v>
      </c>
      <c r="AA70" s="47" t="s">
        <v>37</v>
      </c>
      <c r="AB70" s="47" t="s">
        <v>37</v>
      </c>
      <c r="AC70" s="47" t="s">
        <v>37</v>
      </c>
    </row>
    <row r="71" spans="1:29">
      <c r="A71" s="44" t="s">
        <v>133</v>
      </c>
      <c r="B71" s="44"/>
      <c r="C71" s="47" t="s">
        <v>136</v>
      </c>
      <c r="D71" s="47" t="s">
        <v>135</v>
      </c>
      <c r="E71" s="47" t="s">
        <v>778</v>
      </c>
      <c r="F71" s="47" t="s">
        <v>778</v>
      </c>
      <c r="G71" s="47" t="s">
        <v>778</v>
      </c>
      <c r="H71" s="47" t="s">
        <v>778</v>
      </c>
      <c r="I71" s="47" t="s">
        <v>778</v>
      </c>
      <c r="J71" s="47" t="s">
        <v>778</v>
      </c>
      <c r="K71" s="47" t="s">
        <v>778</v>
      </c>
      <c r="L71" s="47" t="s">
        <v>778</v>
      </c>
      <c r="M71" s="47" t="s">
        <v>778</v>
      </c>
      <c r="N71" s="47" t="s">
        <v>778</v>
      </c>
      <c r="O71" s="47" t="s">
        <v>858</v>
      </c>
      <c r="P71" s="47" t="s">
        <v>134</v>
      </c>
      <c r="Q71" s="47" t="s">
        <v>134</v>
      </c>
      <c r="R71" s="47" t="s">
        <v>778</v>
      </c>
      <c r="S71" s="47" t="s">
        <v>778</v>
      </c>
      <c r="T71" s="47" t="s">
        <v>778</v>
      </c>
      <c r="U71" s="47" t="s">
        <v>778</v>
      </c>
      <c r="V71" s="47" t="s">
        <v>138</v>
      </c>
      <c r="W71" s="47" t="s">
        <v>778</v>
      </c>
      <c r="X71" s="47" t="s">
        <v>134</v>
      </c>
      <c r="Y71" s="47" t="s">
        <v>778</v>
      </c>
      <c r="Z71" s="47" t="s">
        <v>778</v>
      </c>
      <c r="AA71" s="47" t="s">
        <v>778</v>
      </c>
      <c r="AB71" s="47" t="s">
        <v>139</v>
      </c>
      <c r="AC71" s="47" t="s">
        <v>139</v>
      </c>
    </row>
    <row r="72" spans="1:29">
      <c r="A72" s="44" t="s">
        <v>140</v>
      </c>
      <c r="B72" s="44"/>
      <c r="C72" s="47" t="s">
        <v>859</v>
      </c>
      <c r="D72" s="47" t="s">
        <v>859</v>
      </c>
      <c r="E72" s="47" t="s">
        <v>859</v>
      </c>
      <c r="F72" s="47" t="s">
        <v>859</v>
      </c>
      <c r="G72" s="47" t="s">
        <v>859</v>
      </c>
      <c r="H72" s="47" t="s">
        <v>859</v>
      </c>
      <c r="I72" s="47" t="s">
        <v>859</v>
      </c>
      <c r="J72" s="47" t="s">
        <v>859</v>
      </c>
      <c r="K72" s="47" t="s">
        <v>859</v>
      </c>
      <c r="L72" s="47" t="s">
        <v>859</v>
      </c>
      <c r="M72" s="47" t="s">
        <v>859</v>
      </c>
      <c r="N72" s="47" t="s">
        <v>859</v>
      </c>
      <c r="O72" s="47" t="s">
        <v>859</v>
      </c>
      <c r="P72" s="47" t="s">
        <v>859</v>
      </c>
      <c r="Q72" s="47" t="s">
        <v>859</v>
      </c>
      <c r="R72" s="47" t="s">
        <v>859</v>
      </c>
      <c r="S72" s="47" t="s">
        <v>859</v>
      </c>
      <c r="T72" s="47" t="s">
        <v>859</v>
      </c>
      <c r="U72" s="47" t="s">
        <v>859</v>
      </c>
      <c r="V72" s="47" t="s">
        <v>859</v>
      </c>
      <c r="W72" s="47" t="s">
        <v>859</v>
      </c>
      <c r="X72" s="47" t="s">
        <v>859</v>
      </c>
      <c r="Y72" s="47" t="s">
        <v>859</v>
      </c>
      <c r="Z72" s="47" t="s">
        <v>859</v>
      </c>
      <c r="AA72" s="47" t="s">
        <v>141</v>
      </c>
      <c r="AB72" s="47" t="s">
        <v>141</v>
      </c>
      <c r="AC72" s="47" t="s">
        <v>141</v>
      </c>
    </row>
    <row r="73" spans="1:29">
      <c r="A73" s="38" t="s">
        <v>860</v>
      </c>
      <c r="B73" s="38"/>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row>
    <row r="74" spans="1:29">
      <c r="A74" s="44" t="s">
        <v>861</v>
      </c>
      <c r="B74" s="44"/>
      <c r="C74" s="47" t="s">
        <v>37</v>
      </c>
      <c r="D74" s="47" t="s">
        <v>37</v>
      </c>
      <c r="E74" s="47" t="s">
        <v>37</v>
      </c>
      <c r="F74" s="47" t="s">
        <v>37</v>
      </c>
      <c r="G74" s="47" t="s">
        <v>37</v>
      </c>
      <c r="H74" s="47" t="s">
        <v>37</v>
      </c>
      <c r="I74" s="47" t="s">
        <v>37</v>
      </c>
      <c r="J74" s="47" t="s">
        <v>37</v>
      </c>
      <c r="K74" s="47" t="s">
        <v>37</v>
      </c>
      <c r="L74" s="47" t="s">
        <v>37</v>
      </c>
      <c r="M74" s="47" t="s">
        <v>37</v>
      </c>
      <c r="N74" s="47" t="s">
        <v>37</v>
      </c>
      <c r="O74" s="47" t="s">
        <v>37</v>
      </c>
      <c r="P74" s="57">
        <v>260400</v>
      </c>
      <c r="Q74" s="47" t="s">
        <v>37</v>
      </c>
      <c r="R74" s="57">
        <v>464100</v>
      </c>
      <c r="S74" s="57">
        <v>511300</v>
      </c>
      <c r="T74" s="57">
        <v>417000</v>
      </c>
      <c r="U74" s="47" t="s">
        <v>37</v>
      </c>
      <c r="V74" s="47" t="s">
        <v>37</v>
      </c>
      <c r="W74" s="47" t="s">
        <v>37</v>
      </c>
      <c r="X74" s="47" t="s">
        <v>37</v>
      </c>
      <c r="Y74" s="47" t="s">
        <v>37</v>
      </c>
      <c r="Z74" s="47" t="s">
        <v>37</v>
      </c>
      <c r="AA74" s="47" t="s">
        <v>37</v>
      </c>
      <c r="AB74" s="47" t="s">
        <v>37</v>
      </c>
      <c r="AC74" s="47" t="s">
        <v>37</v>
      </c>
    </row>
    <row r="75" spans="1:29">
      <c r="A75" s="44" t="s">
        <v>862</v>
      </c>
      <c r="B75" s="44"/>
      <c r="C75" s="47" t="s">
        <v>37</v>
      </c>
      <c r="D75" s="47" t="s">
        <v>37</v>
      </c>
      <c r="E75" s="47" t="s">
        <v>37</v>
      </c>
      <c r="F75" s="47" t="s">
        <v>37</v>
      </c>
      <c r="G75" s="47" t="s">
        <v>37</v>
      </c>
      <c r="H75" s="47" t="s">
        <v>37</v>
      </c>
      <c r="I75" s="47" t="s">
        <v>37</v>
      </c>
      <c r="J75" s="47" t="s">
        <v>37</v>
      </c>
      <c r="K75" s="47" t="s">
        <v>37</v>
      </c>
      <c r="L75" s="47" t="s">
        <v>37</v>
      </c>
      <c r="M75" s="47" t="s">
        <v>37</v>
      </c>
      <c r="N75" s="47" t="s">
        <v>37</v>
      </c>
      <c r="O75" s="47" t="s">
        <v>37</v>
      </c>
      <c r="P75" s="47" t="s">
        <v>37</v>
      </c>
      <c r="Q75" s="47" t="s">
        <v>37</v>
      </c>
      <c r="R75" s="47" t="s">
        <v>37</v>
      </c>
      <c r="S75" s="47" t="s">
        <v>37</v>
      </c>
      <c r="T75" s="57">
        <v>14900</v>
      </c>
      <c r="U75" s="57">
        <v>3000</v>
      </c>
      <c r="V75" s="57">
        <v>8400</v>
      </c>
      <c r="W75" s="57">
        <v>20100</v>
      </c>
      <c r="X75" s="57">
        <v>27800</v>
      </c>
      <c r="Y75" s="57">
        <v>43900</v>
      </c>
      <c r="Z75" s="47" t="s">
        <v>37</v>
      </c>
      <c r="AA75" s="57">
        <v>10900</v>
      </c>
      <c r="AB75" s="57">
        <v>17500</v>
      </c>
      <c r="AC75" s="57">
        <v>25400</v>
      </c>
    </row>
    <row r="76" spans="1:29">
      <c r="A76" s="44" t="s">
        <v>863</v>
      </c>
      <c r="B76" s="44"/>
      <c r="C76" s="47" t="s">
        <v>37</v>
      </c>
      <c r="D76" s="47" t="s">
        <v>37</v>
      </c>
      <c r="E76" s="47" t="s">
        <v>37</v>
      </c>
      <c r="F76" s="47" t="s">
        <v>37</v>
      </c>
      <c r="G76" s="47" t="s">
        <v>37</v>
      </c>
      <c r="H76" s="47" t="s">
        <v>37</v>
      </c>
      <c r="I76" s="47" t="s">
        <v>37</v>
      </c>
      <c r="J76" s="47" t="s">
        <v>37</v>
      </c>
      <c r="K76" s="47" t="s">
        <v>37</v>
      </c>
      <c r="L76" s="47" t="s">
        <v>37</v>
      </c>
      <c r="M76" s="47" t="s">
        <v>37</v>
      </c>
      <c r="N76" s="47" t="s">
        <v>37</v>
      </c>
      <c r="O76" s="47" t="s">
        <v>37</v>
      </c>
      <c r="P76" s="57">
        <v>260400</v>
      </c>
      <c r="Q76" s="47" t="s">
        <v>37</v>
      </c>
      <c r="R76" s="57">
        <v>464100</v>
      </c>
      <c r="S76" s="57">
        <v>511300</v>
      </c>
      <c r="T76" s="57">
        <v>431900</v>
      </c>
      <c r="U76" s="57">
        <v>3000</v>
      </c>
      <c r="V76" s="57">
        <v>8400</v>
      </c>
      <c r="W76" s="57">
        <v>20100</v>
      </c>
      <c r="X76" s="57">
        <v>27800</v>
      </c>
      <c r="Y76" s="57">
        <v>43900</v>
      </c>
      <c r="Z76" s="47" t="s">
        <v>37</v>
      </c>
      <c r="AA76" s="57">
        <v>10900</v>
      </c>
      <c r="AB76" s="57">
        <v>17500</v>
      </c>
      <c r="AC76" s="57">
        <v>25400</v>
      </c>
    </row>
    <row r="77" spans="1:29">
      <c r="A77" s="44" t="s">
        <v>864</v>
      </c>
      <c r="B77" s="44"/>
      <c r="C77" s="47" t="s">
        <v>37</v>
      </c>
      <c r="D77" s="47" t="s">
        <v>37</v>
      </c>
      <c r="E77" s="47" t="s">
        <v>37</v>
      </c>
      <c r="F77" s="47" t="s">
        <v>37</v>
      </c>
      <c r="G77" s="47" t="s">
        <v>37</v>
      </c>
      <c r="H77" s="47" t="s">
        <v>37</v>
      </c>
      <c r="I77" s="47" t="s">
        <v>37</v>
      </c>
      <c r="J77" s="47" t="s">
        <v>37</v>
      </c>
      <c r="K77" s="47" t="s">
        <v>37</v>
      </c>
      <c r="L77" s="47" t="s">
        <v>37</v>
      </c>
      <c r="M77" s="47" t="s">
        <v>37</v>
      </c>
      <c r="N77" s="47" t="s">
        <v>37</v>
      </c>
      <c r="O77" s="47" t="s">
        <v>37</v>
      </c>
      <c r="P77" s="57">
        <v>6800</v>
      </c>
      <c r="Q77" s="47" t="s">
        <v>37</v>
      </c>
      <c r="R77" s="57">
        <v>13000</v>
      </c>
      <c r="S77" s="57">
        <v>27600</v>
      </c>
      <c r="T77" s="57">
        <v>12200</v>
      </c>
      <c r="U77" s="57">
        <v>1500</v>
      </c>
      <c r="V77" s="57">
        <v>1200</v>
      </c>
      <c r="W77" s="57">
        <v>2100</v>
      </c>
      <c r="X77" s="47" t="s">
        <v>37</v>
      </c>
      <c r="Y77" s="57">
        <v>22703000</v>
      </c>
      <c r="Z77" s="57">
        <v>42103</v>
      </c>
      <c r="AA77" s="57">
        <v>28523</v>
      </c>
      <c r="AB77" s="57">
        <v>27031</v>
      </c>
      <c r="AC77" s="57">
        <v>27434</v>
      </c>
    </row>
    <row r="78" spans="1:29">
      <c r="A78" s="44" t="s">
        <v>865</v>
      </c>
      <c r="B78" s="44"/>
      <c r="C78" s="47" t="s">
        <v>37</v>
      </c>
      <c r="D78" s="47" t="s">
        <v>37</v>
      </c>
      <c r="E78" s="47" t="s">
        <v>37</v>
      </c>
      <c r="F78" s="47" t="s">
        <v>37</v>
      </c>
      <c r="G78" s="47" t="s">
        <v>37</v>
      </c>
      <c r="H78" s="47" t="s">
        <v>37</v>
      </c>
      <c r="I78" s="47" t="s">
        <v>37</v>
      </c>
      <c r="J78" s="47" t="s">
        <v>37</v>
      </c>
      <c r="K78" s="47" t="s">
        <v>37</v>
      </c>
      <c r="L78" s="47" t="s">
        <v>37</v>
      </c>
      <c r="M78" s="47" t="s">
        <v>37</v>
      </c>
      <c r="N78" s="47" t="s">
        <v>37</v>
      </c>
      <c r="O78" s="47" t="s">
        <v>37</v>
      </c>
      <c r="P78" s="57">
        <v>6800</v>
      </c>
      <c r="Q78" s="47" t="s">
        <v>37</v>
      </c>
      <c r="R78" s="57">
        <v>13000</v>
      </c>
      <c r="S78" s="57">
        <v>27600</v>
      </c>
      <c r="T78" s="57">
        <v>12200</v>
      </c>
      <c r="U78" s="57">
        <v>1500</v>
      </c>
      <c r="V78" s="57">
        <v>1200</v>
      </c>
      <c r="W78" s="57">
        <v>2100</v>
      </c>
      <c r="X78" s="47" t="s">
        <v>37</v>
      </c>
      <c r="Y78" s="57">
        <v>22703000</v>
      </c>
      <c r="Z78" s="57">
        <v>42103</v>
      </c>
      <c r="AA78" s="57">
        <v>28523</v>
      </c>
      <c r="AB78" s="57">
        <v>27031</v>
      </c>
      <c r="AC78" s="57">
        <v>27434</v>
      </c>
    </row>
    <row r="79" spans="1:29">
      <c r="A79" s="44" t="s">
        <v>866</v>
      </c>
      <c r="B79" s="44"/>
      <c r="C79" s="47" t="s">
        <v>37</v>
      </c>
      <c r="D79" s="47" t="s">
        <v>37</v>
      </c>
      <c r="E79" s="47" t="s">
        <v>37</v>
      </c>
      <c r="F79" s="47" t="s">
        <v>37</v>
      </c>
      <c r="G79" s="47" t="s">
        <v>37</v>
      </c>
      <c r="H79" s="47" t="s">
        <v>37</v>
      </c>
      <c r="I79" s="47" t="s">
        <v>37</v>
      </c>
      <c r="J79" s="47" t="s">
        <v>37</v>
      </c>
      <c r="K79" s="47" t="s">
        <v>37</v>
      </c>
      <c r="L79" s="47" t="s">
        <v>37</v>
      </c>
      <c r="M79" s="47" t="s">
        <v>37</v>
      </c>
      <c r="N79" s="47" t="s">
        <v>37</v>
      </c>
      <c r="O79" s="47" t="s">
        <v>37</v>
      </c>
      <c r="P79" s="47" t="s">
        <v>37</v>
      </c>
      <c r="Q79" s="47" t="s">
        <v>37</v>
      </c>
      <c r="R79" s="47" t="s">
        <v>37</v>
      </c>
      <c r="S79" s="47" t="s">
        <v>37</v>
      </c>
      <c r="T79" s="47" t="s">
        <v>37</v>
      </c>
      <c r="U79" s="47" t="s">
        <v>37</v>
      </c>
      <c r="V79" s="47" t="s">
        <v>37</v>
      </c>
      <c r="W79" s="47" t="s">
        <v>37</v>
      </c>
      <c r="X79" s="47" t="s">
        <v>37</v>
      </c>
      <c r="Y79" s="47" t="s">
        <v>37</v>
      </c>
      <c r="Z79" s="47" t="s">
        <v>37</v>
      </c>
      <c r="AA79" s="57">
        <v>-15212</v>
      </c>
      <c r="AB79" s="57">
        <v>-8212</v>
      </c>
      <c r="AC79" s="57">
        <v>-18846</v>
      </c>
    </row>
  </sheetData>
  <phoneticPr fontId="4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E080D-3C8A-C642-82D0-8C6FA7F4AE88}">
  <dimension ref="A1:AB69"/>
  <sheetViews>
    <sheetView zoomScale="150" zoomScaleNormal="150" workbookViewId="0">
      <pane xSplit="1" ySplit="1" topLeftCell="I24" activePane="bottomRight" state="frozen"/>
      <selection pane="topRight" activeCell="B1" sqref="B1"/>
      <selection pane="bottomLeft" activeCell="A2" sqref="A2"/>
      <selection pane="bottomRight" activeCell="I24" sqref="I24"/>
    </sheetView>
  </sheetViews>
  <sheetFormatPr defaultColWidth="10.58203125" defaultRowHeight="14"/>
  <cols>
    <col min="1" max="1" width="32.83203125" customWidth="1"/>
    <col min="2" max="28" width="17.5" customWidth="1"/>
    <col min="257" max="257" width="48.58203125" customWidth="1"/>
    <col min="258" max="284" width="17.5" customWidth="1"/>
    <col min="513" max="513" width="48.58203125" customWidth="1"/>
    <col min="514" max="540" width="17.5" customWidth="1"/>
    <col min="769" max="769" width="48.58203125" customWidth="1"/>
    <col min="770" max="796" width="17.5" customWidth="1"/>
    <col min="1025" max="1025" width="48.58203125" customWidth="1"/>
    <col min="1026" max="1052" width="17.5" customWidth="1"/>
    <col min="1281" max="1281" width="48.58203125" customWidth="1"/>
    <col min="1282" max="1308" width="17.5" customWidth="1"/>
    <col min="1537" max="1537" width="48.58203125" customWidth="1"/>
    <col min="1538" max="1564" width="17.5" customWidth="1"/>
    <col min="1793" max="1793" width="48.58203125" customWidth="1"/>
    <col min="1794" max="1820" width="17.5" customWidth="1"/>
    <col min="2049" max="2049" width="48.58203125" customWidth="1"/>
    <col min="2050" max="2076" width="17.5" customWidth="1"/>
    <col min="2305" max="2305" width="48.58203125" customWidth="1"/>
    <col min="2306" max="2332" width="17.5" customWidth="1"/>
    <col min="2561" max="2561" width="48.58203125" customWidth="1"/>
    <col min="2562" max="2588" width="17.5" customWidth="1"/>
    <col min="2817" max="2817" width="48.58203125" customWidth="1"/>
    <col min="2818" max="2844" width="17.5" customWidth="1"/>
    <col min="3073" max="3073" width="48.58203125" customWidth="1"/>
    <col min="3074" max="3100" width="17.5" customWidth="1"/>
    <col min="3329" max="3329" width="48.58203125" customWidth="1"/>
    <col min="3330" max="3356" width="17.5" customWidth="1"/>
    <col min="3585" max="3585" width="48.58203125" customWidth="1"/>
    <col min="3586" max="3612" width="17.5" customWidth="1"/>
    <col min="3841" max="3841" width="48.58203125" customWidth="1"/>
    <col min="3842" max="3868" width="17.5" customWidth="1"/>
    <col min="4097" max="4097" width="48.58203125" customWidth="1"/>
    <col min="4098" max="4124" width="17.5" customWidth="1"/>
    <col min="4353" max="4353" width="48.58203125" customWidth="1"/>
    <col min="4354" max="4380" width="17.5" customWidth="1"/>
    <col min="4609" max="4609" width="48.58203125" customWidth="1"/>
    <col min="4610" max="4636" width="17.5" customWidth="1"/>
    <col min="4865" max="4865" width="48.58203125" customWidth="1"/>
    <col min="4866" max="4892" width="17.5" customWidth="1"/>
    <col min="5121" max="5121" width="48.58203125" customWidth="1"/>
    <col min="5122" max="5148" width="17.5" customWidth="1"/>
    <col min="5377" max="5377" width="48.58203125" customWidth="1"/>
    <col min="5378" max="5404" width="17.5" customWidth="1"/>
    <col min="5633" max="5633" width="48.58203125" customWidth="1"/>
    <col min="5634" max="5660" width="17.5" customWidth="1"/>
    <col min="5889" max="5889" width="48.58203125" customWidth="1"/>
    <col min="5890" max="5916" width="17.5" customWidth="1"/>
    <col min="6145" max="6145" width="48.58203125" customWidth="1"/>
    <col min="6146" max="6172" width="17.5" customWidth="1"/>
    <col min="6401" max="6401" width="48.58203125" customWidth="1"/>
    <col min="6402" max="6428" width="17.5" customWidth="1"/>
    <col min="6657" max="6657" width="48.58203125" customWidth="1"/>
    <col min="6658" max="6684" width="17.5" customWidth="1"/>
    <col min="6913" max="6913" width="48.58203125" customWidth="1"/>
    <col min="6914" max="6940" width="17.5" customWidth="1"/>
    <col min="7169" max="7169" width="48.58203125" customWidth="1"/>
    <col min="7170" max="7196" width="17.5" customWidth="1"/>
    <col min="7425" max="7425" width="48.58203125" customWidth="1"/>
    <col min="7426" max="7452" width="17.5" customWidth="1"/>
    <col min="7681" max="7681" width="48.58203125" customWidth="1"/>
    <col min="7682" max="7708" width="17.5" customWidth="1"/>
    <col min="7937" max="7937" width="48.58203125" customWidth="1"/>
    <col min="7938" max="7964" width="17.5" customWidth="1"/>
    <col min="8193" max="8193" width="48.58203125" customWidth="1"/>
    <col min="8194" max="8220" width="17.5" customWidth="1"/>
    <col min="8449" max="8449" width="48.58203125" customWidth="1"/>
    <col min="8450" max="8476" width="17.5" customWidth="1"/>
    <col min="8705" max="8705" width="48.58203125" customWidth="1"/>
    <col min="8706" max="8732" width="17.5" customWidth="1"/>
    <col min="8961" max="8961" width="48.58203125" customWidth="1"/>
    <col min="8962" max="8988" width="17.5" customWidth="1"/>
    <col min="9217" max="9217" width="48.58203125" customWidth="1"/>
    <col min="9218" max="9244" width="17.5" customWidth="1"/>
    <col min="9473" max="9473" width="48.58203125" customWidth="1"/>
    <col min="9474" max="9500" width="17.5" customWidth="1"/>
    <col min="9729" max="9729" width="48.58203125" customWidth="1"/>
    <col min="9730" max="9756" width="17.5" customWidth="1"/>
    <col min="9985" max="9985" width="48.58203125" customWidth="1"/>
    <col min="9986" max="10012" width="17.5" customWidth="1"/>
    <col min="10241" max="10241" width="48.58203125" customWidth="1"/>
    <col min="10242" max="10268" width="17.5" customWidth="1"/>
    <col min="10497" max="10497" width="48.58203125" customWidth="1"/>
    <col min="10498" max="10524" width="17.5" customWidth="1"/>
    <col min="10753" max="10753" width="48.58203125" customWidth="1"/>
    <col min="10754" max="10780" width="17.5" customWidth="1"/>
    <col min="11009" max="11009" width="48.58203125" customWidth="1"/>
    <col min="11010" max="11036" width="17.5" customWidth="1"/>
    <col min="11265" max="11265" width="48.58203125" customWidth="1"/>
    <col min="11266" max="11292" width="17.5" customWidth="1"/>
    <col min="11521" max="11521" width="48.58203125" customWidth="1"/>
    <col min="11522" max="11548" width="17.5" customWidth="1"/>
    <col min="11777" max="11777" width="48.58203125" customWidth="1"/>
    <col min="11778" max="11804" width="17.5" customWidth="1"/>
    <col min="12033" max="12033" width="48.58203125" customWidth="1"/>
    <col min="12034" max="12060" width="17.5" customWidth="1"/>
    <col min="12289" max="12289" width="48.58203125" customWidth="1"/>
    <col min="12290" max="12316" width="17.5" customWidth="1"/>
    <col min="12545" max="12545" width="48.58203125" customWidth="1"/>
    <col min="12546" max="12572" width="17.5" customWidth="1"/>
    <col min="12801" max="12801" width="48.58203125" customWidth="1"/>
    <col min="12802" max="12828" width="17.5" customWidth="1"/>
    <col min="13057" max="13057" width="48.58203125" customWidth="1"/>
    <col min="13058" max="13084" width="17.5" customWidth="1"/>
    <col min="13313" max="13313" width="48.58203125" customWidth="1"/>
    <col min="13314" max="13340" width="17.5" customWidth="1"/>
    <col min="13569" max="13569" width="48.58203125" customWidth="1"/>
    <col min="13570" max="13596" width="17.5" customWidth="1"/>
    <col min="13825" max="13825" width="48.58203125" customWidth="1"/>
    <col min="13826" max="13852" width="17.5" customWidth="1"/>
    <col min="14081" max="14081" width="48.58203125" customWidth="1"/>
    <col min="14082" max="14108" width="17.5" customWidth="1"/>
    <col min="14337" max="14337" width="48.58203125" customWidth="1"/>
    <col min="14338" max="14364" width="17.5" customWidth="1"/>
    <col min="14593" max="14593" width="48.58203125" customWidth="1"/>
    <col min="14594" max="14620" width="17.5" customWidth="1"/>
    <col min="14849" max="14849" width="48.58203125" customWidth="1"/>
    <col min="14850" max="14876" width="17.5" customWidth="1"/>
    <col min="15105" max="15105" width="48.58203125" customWidth="1"/>
    <col min="15106" max="15132" width="17.5" customWidth="1"/>
    <col min="15361" max="15361" width="48.58203125" customWidth="1"/>
    <col min="15362" max="15388" width="17.5" customWidth="1"/>
    <col min="15617" max="15617" width="48.58203125" customWidth="1"/>
    <col min="15618" max="15644" width="17.5" customWidth="1"/>
    <col min="15873" max="15873" width="48.58203125" customWidth="1"/>
    <col min="15874" max="15900" width="17.5" customWidth="1"/>
    <col min="16129" max="16129" width="48.58203125" customWidth="1"/>
    <col min="16130" max="16156" width="17.5" customWidth="1"/>
  </cols>
  <sheetData>
    <row r="1" spans="1:28" ht="14.5" thickBot="1">
      <c r="A1" s="34"/>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710</v>
      </c>
    </row>
    <row r="2" spans="1:28">
      <c r="A2" s="44" t="s">
        <v>30</v>
      </c>
      <c r="B2" s="47" t="s">
        <v>31</v>
      </c>
      <c r="C2" s="47" t="s">
        <v>31</v>
      </c>
      <c r="D2" s="47" t="s">
        <v>31</v>
      </c>
      <c r="E2" s="47" t="s">
        <v>31</v>
      </c>
      <c r="F2" s="47" t="s">
        <v>31</v>
      </c>
      <c r="G2" s="47" t="s">
        <v>31</v>
      </c>
      <c r="H2" s="47" t="s">
        <v>31</v>
      </c>
      <c r="I2" s="47" t="s">
        <v>31</v>
      </c>
      <c r="J2" s="47" t="s">
        <v>31</v>
      </c>
      <c r="K2" s="47" t="s">
        <v>31</v>
      </c>
      <c r="L2" s="47" t="s">
        <v>31</v>
      </c>
      <c r="M2" s="47" t="s">
        <v>31</v>
      </c>
      <c r="N2" s="47" t="s">
        <v>31</v>
      </c>
      <c r="O2" s="47" t="s">
        <v>31</v>
      </c>
      <c r="P2" s="47" t="s">
        <v>31</v>
      </c>
      <c r="Q2" s="47" t="s">
        <v>31</v>
      </c>
      <c r="R2" s="47" t="s">
        <v>31</v>
      </c>
      <c r="S2" s="47" t="s">
        <v>31</v>
      </c>
      <c r="T2" s="47" t="s">
        <v>31</v>
      </c>
      <c r="U2" s="47" t="s">
        <v>31</v>
      </c>
      <c r="V2" s="47" t="s">
        <v>31</v>
      </c>
      <c r="W2" s="47" t="s">
        <v>31</v>
      </c>
      <c r="X2" s="47" t="s">
        <v>31</v>
      </c>
      <c r="Y2" s="47" t="s">
        <v>31</v>
      </c>
      <c r="Z2" s="47" t="s">
        <v>31</v>
      </c>
      <c r="AA2" s="47" t="s">
        <v>31</v>
      </c>
      <c r="AB2" s="47" t="s">
        <v>31</v>
      </c>
    </row>
    <row r="3" spans="1:28">
      <c r="A3" s="44" t="s">
        <v>711</v>
      </c>
      <c r="B3" s="56">
        <v>34699</v>
      </c>
      <c r="C3" s="56">
        <v>35064</v>
      </c>
      <c r="D3" s="56">
        <v>35430</v>
      </c>
      <c r="E3" s="56">
        <v>35795</v>
      </c>
      <c r="F3" s="56">
        <v>36160</v>
      </c>
      <c r="G3" s="56">
        <v>36525</v>
      </c>
      <c r="H3" s="56">
        <v>36891</v>
      </c>
      <c r="I3" s="56">
        <v>37256</v>
      </c>
      <c r="J3" s="56">
        <v>37621</v>
      </c>
      <c r="K3" s="56">
        <v>37986</v>
      </c>
      <c r="L3" s="56">
        <v>38352</v>
      </c>
      <c r="M3" s="56">
        <v>38717</v>
      </c>
      <c r="N3" s="56">
        <v>39082</v>
      </c>
      <c r="O3" s="56">
        <v>39447</v>
      </c>
      <c r="P3" s="56">
        <v>39813</v>
      </c>
      <c r="Q3" s="56">
        <v>40178</v>
      </c>
      <c r="R3" s="56">
        <v>40543</v>
      </c>
      <c r="S3" s="56">
        <v>40908</v>
      </c>
      <c r="T3" s="56">
        <v>41274</v>
      </c>
      <c r="U3" s="56">
        <v>41639</v>
      </c>
      <c r="V3" s="56">
        <v>42004</v>
      </c>
      <c r="W3" s="56">
        <v>42369</v>
      </c>
      <c r="X3" s="56">
        <v>42735</v>
      </c>
      <c r="Y3" s="56">
        <v>43100</v>
      </c>
      <c r="Z3" s="56">
        <v>43465</v>
      </c>
      <c r="AA3" s="56">
        <v>43830</v>
      </c>
      <c r="AB3" s="56">
        <v>44012</v>
      </c>
    </row>
    <row r="4" spans="1:28">
      <c r="A4" s="44" t="s">
        <v>712</v>
      </c>
      <c r="B4" s="56">
        <v>35515</v>
      </c>
      <c r="C4" s="56">
        <v>35997</v>
      </c>
      <c r="D4" s="56">
        <v>36250</v>
      </c>
      <c r="E4" s="56">
        <v>36614</v>
      </c>
      <c r="F4" s="56">
        <v>36979</v>
      </c>
      <c r="G4" s="56">
        <v>37344</v>
      </c>
      <c r="H4" s="56">
        <v>37687</v>
      </c>
      <c r="I4" s="56">
        <v>38061</v>
      </c>
      <c r="J4" s="56">
        <v>38427</v>
      </c>
      <c r="K4" s="56">
        <v>38784</v>
      </c>
      <c r="L4" s="56">
        <v>39141</v>
      </c>
      <c r="M4" s="56">
        <v>39504</v>
      </c>
      <c r="N4" s="56">
        <v>39934</v>
      </c>
      <c r="O4" s="56">
        <v>40234</v>
      </c>
      <c r="P4" s="56">
        <v>40599</v>
      </c>
      <c r="Q4" s="56">
        <v>40967</v>
      </c>
      <c r="R4" s="56">
        <v>41333</v>
      </c>
      <c r="S4" s="56">
        <v>41697</v>
      </c>
      <c r="T4" s="56">
        <v>42062</v>
      </c>
      <c r="U4" s="56">
        <v>42426</v>
      </c>
      <c r="V4" s="56">
        <v>42790</v>
      </c>
      <c r="W4" s="56">
        <v>43154</v>
      </c>
      <c r="X4" s="56">
        <v>43518</v>
      </c>
      <c r="Y4" s="56">
        <v>43882</v>
      </c>
      <c r="Z4" s="56">
        <v>43882</v>
      </c>
      <c r="AA4" s="56">
        <v>43882</v>
      </c>
      <c r="AB4" s="56">
        <v>44053</v>
      </c>
    </row>
    <row r="5" spans="1:28">
      <c r="A5" s="44" t="s">
        <v>713</v>
      </c>
      <c r="B5" s="47" t="s">
        <v>41</v>
      </c>
      <c r="C5" s="47" t="s">
        <v>41</v>
      </c>
      <c r="D5" s="47" t="s">
        <v>41</v>
      </c>
      <c r="E5" s="47" t="s">
        <v>41</v>
      </c>
      <c r="F5" s="47" t="s">
        <v>41</v>
      </c>
      <c r="G5" s="47" t="s">
        <v>41</v>
      </c>
      <c r="H5" s="47" t="s">
        <v>41</v>
      </c>
      <c r="I5" s="47" t="s">
        <v>41</v>
      </c>
      <c r="J5" s="47" t="s">
        <v>41</v>
      </c>
      <c r="K5" s="47" t="s">
        <v>41</v>
      </c>
      <c r="L5" s="47" t="s">
        <v>41</v>
      </c>
      <c r="M5" s="47" t="s">
        <v>41</v>
      </c>
      <c r="N5" s="47" t="s">
        <v>41</v>
      </c>
      <c r="O5" s="47" t="s">
        <v>41</v>
      </c>
      <c r="P5" s="47" t="s">
        <v>41</v>
      </c>
      <c r="Q5" s="47" t="s">
        <v>41</v>
      </c>
      <c r="R5" s="47" t="s">
        <v>41</v>
      </c>
      <c r="S5" s="47" t="s">
        <v>41</v>
      </c>
      <c r="T5" s="47" t="s">
        <v>41</v>
      </c>
      <c r="U5" s="47" t="s">
        <v>41</v>
      </c>
      <c r="V5" s="47" t="s">
        <v>41</v>
      </c>
      <c r="W5" s="47" t="s">
        <v>41</v>
      </c>
      <c r="X5" s="47" t="s">
        <v>41</v>
      </c>
      <c r="Y5" s="47" t="s">
        <v>41</v>
      </c>
      <c r="Z5" s="47" t="s">
        <v>41</v>
      </c>
      <c r="AA5" s="47" t="s">
        <v>41</v>
      </c>
      <c r="AB5" s="47" t="s">
        <v>41</v>
      </c>
    </row>
    <row r="6" spans="1:28">
      <c r="A6" s="44" t="s">
        <v>30</v>
      </c>
      <c r="B6" s="47"/>
      <c r="C6" s="47"/>
      <c r="D6" s="47"/>
      <c r="E6" s="47"/>
      <c r="F6" s="47"/>
      <c r="G6" s="47"/>
      <c r="H6" s="47"/>
      <c r="I6" s="47"/>
      <c r="J6" s="47"/>
      <c r="K6" s="47"/>
      <c r="L6" s="47"/>
      <c r="M6" s="47"/>
      <c r="N6" s="47"/>
      <c r="O6" s="47"/>
      <c r="P6" s="47"/>
      <c r="Q6" s="47"/>
      <c r="R6" s="47"/>
      <c r="S6" s="47"/>
      <c r="T6" s="47"/>
      <c r="U6" s="47"/>
      <c r="V6" s="47"/>
      <c r="W6" s="47"/>
      <c r="X6" s="47"/>
      <c r="Y6" s="47"/>
      <c r="Z6" s="47"/>
      <c r="AA6" s="47"/>
      <c r="AB6" s="47"/>
    </row>
    <row r="7" spans="1:28">
      <c r="A7" s="38" t="s">
        <v>83</v>
      </c>
      <c r="B7" s="47"/>
      <c r="C7" s="47"/>
      <c r="D7" s="47"/>
      <c r="E7" s="47"/>
      <c r="F7" s="47"/>
      <c r="G7" s="47"/>
      <c r="H7" s="47"/>
      <c r="I7" s="47"/>
      <c r="J7" s="47"/>
      <c r="K7" s="47"/>
      <c r="L7" s="47"/>
      <c r="M7" s="47"/>
      <c r="N7" s="47"/>
      <c r="O7" s="47"/>
      <c r="P7" s="47"/>
      <c r="Q7" s="47"/>
      <c r="R7" s="47"/>
      <c r="S7" s="47"/>
      <c r="T7" s="47"/>
      <c r="U7" s="47"/>
      <c r="V7" s="47"/>
      <c r="W7" s="47"/>
      <c r="X7" s="47"/>
      <c r="Y7" s="47"/>
      <c r="Z7" s="47"/>
      <c r="AA7" s="47"/>
      <c r="AB7" s="47"/>
    </row>
    <row r="8" spans="1:28">
      <c r="A8" s="44" t="s">
        <v>84</v>
      </c>
      <c r="B8" s="57">
        <v>23377</v>
      </c>
      <c r="C8" s="57">
        <v>59271</v>
      </c>
      <c r="D8" s="57">
        <v>85255</v>
      </c>
      <c r="E8" s="57">
        <v>137237</v>
      </c>
      <c r="F8" s="57">
        <v>167253</v>
      </c>
      <c r="G8" s="57">
        <v>204385</v>
      </c>
      <c r="H8" s="57">
        <v>223336</v>
      </c>
      <c r="I8" s="57">
        <v>199149</v>
      </c>
      <c r="J8" s="57">
        <v>422588</v>
      </c>
      <c r="K8" s="57">
        <v>368715</v>
      </c>
      <c r="L8" s="57">
        <v>342993</v>
      </c>
      <c r="M8" s="57">
        <v>475749</v>
      </c>
      <c r="N8" s="57">
        <v>563840</v>
      </c>
      <c r="O8" s="57">
        <v>491239</v>
      </c>
      <c r="P8" s="57">
        <v>463636</v>
      </c>
      <c r="Q8" s="57">
        <v>309407</v>
      </c>
      <c r="R8" s="57">
        <v>617038</v>
      </c>
      <c r="S8" s="57">
        <v>1024799</v>
      </c>
      <c r="T8" s="57">
        <v>1434496</v>
      </c>
      <c r="U8" s="57">
        <v>1319641</v>
      </c>
      <c r="V8" s="57">
        <v>1408588</v>
      </c>
      <c r="W8" s="57">
        <v>1827720</v>
      </c>
      <c r="X8" s="57">
        <v>1838896</v>
      </c>
      <c r="Y8" s="57">
        <v>1947962</v>
      </c>
      <c r="Z8" s="57">
        <v>2440058</v>
      </c>
      <c r="AA8" s="57">
        <v>2101584</v>
      </c>
      <c r="AB8" s="57">
        <v>693487</v>
      </c>
    </row>
    <row r="9" spans="1:28">
      <c r="A9" s="44" t="s">
        <v>85</v>
      </c>
      <c r="B9" s="57">
        <v>83196</v>
      </c>
      <c r="C9" s="57">
        <v>101262</v>
      </c>
      <c r="D9" s="57">
        <v>143582</v>
      </c>
      <c r="E9" s="57">
        <v>208539</v>
      </c>
      <c r="F9" s="57">
        <v>278812</v>
      </c>
      <c r="G9" s="57">
        <v>355291</v>
      </c>
      <c r="H9" s="57">
        <v>396043</v>
      </c>
      <c r="I9" s="57">
        <v>419841</v>
      </c>
      <c r="J9" s="57">
        <v>417064</v>
      </c>
      <c r="K9" s="57">
        <v>461546</v>
      </c>
      <c r="L9" s="57">
        <v>598299</v>
      </c>
      <c r="M9" s="57">
        <v>770468</v>
      </c>
      <c r="N9" s="57">
        <v>759418</v>
      </c>
      <c r="O9" s="57">
        <v>830684</v>
      </c>
      <c r="P9" s="57">
        <v>921427</v>
      </c>
      <c r="Q9" s="57">
        <v>989490</v>
      </c>
      <c r="R9" s="57">
        <v>1000827</v>
      </c>
      <c r="S9" s="57">
        <v>1094838</v>
      </c>
      <c r="T9" s="57">
        <v>1285404</v>
      </c>
      <c r="U9" s="57">
        <v>1275259</v>
      </c>
      <c r="V9" s="57">
        <v>1234996</v>
      </c>
      <c r="W9" s="57">
        <v>1181826</v>
      </c>
      <c r="X9" s="57">
        <v>1272553</v>
      </c>
      <c r="Y9" s="57">
        <v>1300228</v>
      </c>
      <c r="Z9" s="57">
        <v>1292130</v>
      </c>
      <c r="AA9" s="57">
        <v>1335071</v>
      </c>
      <c r="AB9" s="57">
        <v>677676</v>
      </c>
    </row>
    <row r="10" spans="1:28">
      <c r="A10" s="44" t="s">
        <v>86</v>
      </c>
      <c r="B10" s="47" t="s">
        <v>37</v>
      </c>
      <c r="C10" s="47" t="s">
        <v>37</v>
      </c>
      <c r="D10" s="47" t="s">
        <v>37</v>
      </c>
      <c r="E10" s="47" t="s">
        <v>37</v>
      </c>
      <c r="F10" s="47" t="s">
        <v>37</v>
      </c>
      <c r="G10" s="57">
        <v>38713</v>
      </c>
      <c r="H10" s="57">
        <v>34429</v>
      </c>
      <c r="I10" s="57">
        <v>45051</v>
      </c>
      <c r="J10" s="57">
        <v>74242</v>
      </c>
      <c r="K10" s="57">
        <v>57014</v>
      </c>
      <c r="L10" s="57">
        <v>22400</v>
      </c>
      <c r="M10" s="57">
        <v>48000</v>
      </c>
      <c r="N10" s="57">
        <v>53300</v>
      </c>
      <c r="O10" s="57">
        <v>44600</v>
      </c>
      <c r="P10" s="57">
        <v>35400</v>
      </c>
      <c r="Q10" s="57">
        <v>20000</v>
      </c>
      <c r="R10" s="57">
        <v>15200</v>
      </c>
      <c r="S10" s="57">
        <v>17600</v>
      </c>
      <c r="T10" s="57">
        <v>15900</v>
      </c>
      <c r="U10" s="57">
        <v>22800</v>
      </c>
      <c r="V10" s="57">
        <v>11300</v>
      </c>
      <c r="W10" s="57">
        <v>13600</v>
      </c>
      <c r="X10" s="57">
        <v>5400</v>
      </c>
      <c r="Y10" s="57">
        <v>2800</v>
      </c>
      <c r="Z10" s="57">
        <v>1000</v>
      </c>
      <c r="AA10" s="57">
        <v>1900</v>
      </c>
      <c r="AB10" s="47" t="s">
        <v>37</v>
      </c>
    </row>
    <row r="11" spans="1:28">
      <c r="A11" s="38" t="s">
        <v>87</v>
      </c>
      <c r="B11" s="168">
        <v>83196</v>
      </c>
      <c r="C11" s="168">
        <v>101262</v>
      </c>
      <c r="D11" s="168">
        <v>143582</v>
      </c>
      <c r="E11" s="168">
        <v>208539</v>
      </c>
      <c r="F11" s="168">
        <v>278812</v>
      </c>
      <c r="G11" s="168">
        <v>394004</v>
      </c>
      <c r="H11" s="168">
        <v>430472</v>
      </c>
      <c r="I11" s="168">
        <v>464892</v>
      </c>
      <c r="J11" s="168">
        <v>491306</v>
      </c>
      <c r="K11" s="168">
        <v>518560</v>
      </c>
      <c r="L11" s="168">
        <v>620699</v>
      </c>
      <c r="M11" s="168">
        <v>818468</v>
      </c>
      <c r="N11" s="168">
        <v>812718</v>
      </c>
      <c r="O11" s="168">
        <v>875284</v>
      </c>
      <c r="P11" s="168">
        <v>956827</v>
      </c>
      <c r="Q11" s="168">
        <v>1009490</v>
      </c>
      <c r="R11" s="168">
        <v>1016027</v>
      </c>
      <c r="S11" s="168">
        <v>1112438</v>
      </c>
      <c r="T11" s="168">
        <v>1301304</v>
      </c>
      <c r="U11" s="168">
        <v>1298059</v>
      </c>
      <c r="V11" s="168">
        <v>1246296</v>
      </c>
      <c r="W11" s="168">
        <v>1195426</v>
      </c>
      <c r="X11" s="168">
        <v>1277953</v>
      </c>
      <c r="Y11" s="168">
        <v>1303028</v>
      </c>
      <c r="Z11" s="168">
        <v>1293130</v>
      </c>
      <c r="AA11" s="168">
        <v>1336971</v>
      </c>
      <c r="AB11" s="168">
        <v>677676</v>
      </c>
    </row>
    <row r="12" spans="1:28">
      <c r="A12" s="44" t="s">
        <v>88</v>
      </c>
      <c r="B12" s="47" t="s">
        <v>37</v>
      </c>
      <c r="C12" s="47" t="s">
        <v>37</v>
      </c>
      <c r="D12" s="47" t="s">
        <v>37</v>
      </c>
      <c r="E12" s="47" t="s">
        <v>37</v>
      </c>
      <c r="F12" s="47" t="s">
        <v>37</v>
      </c>
      <c r="G12" s="47" t="s">
        <v>37</v>
      </c>
      <c r="H12" s="47" t="s">
        <v>37</v>
      </c>
      <c r="I12" s="47" t="s">
        <v>37</v>
      </c>
      <c r="J12" s="47" t="s">
        <v>37</v>
      </c>
      <c r="K12" s="47" t="s">
        <v>37</v>
      </c>
      <c r="L12" s="47" t="s">
        <v>37</v>
      </c>
      <c r="M12" s="47" t="s">
        <v>37</v>
      </c>
      <c r="N12" s="47" t="s">
        <v>37</v>
      </c>
      <c r="O12" s="47" t="s">
        <v>37</v>
      </c>
      <c r="P12" s="47" t="s">
        <v>37</v>
      </c>
      <c r="Q12" s="47" t="s">
        <v>37</v>
      </c>
      <c r="R12" s="47" t="s">
        <v>37</v>
      </c>
      <c r="S12" s="47" t="s">
        <v>37</v>
      </c>
      <c r="T12" s="47" t="s">
        <v>37</v>
      </c>
      <c r="U12" s="57">
        <v>34891</v>
      </c>
      <c r="V12" s="57">
        <v>39488</v>
      </c>
      <c r="W12" s="57">
        <v>43788</v>
      </c>
      <c r="X12" s="57">
        <v>81483</v>
      </c>
      <c r="Y12" s="57">
        <v>54323</v>
      </c>
      <c r="Z12" s="57">
        <v>56646</v>
      </c>
      <c r="AA12" s="57">
        <v>57201</v>
      </c>
      <c r="AB12" s="47" t="s">
        <v>37</v>
      </c>
    </row>
    <row r="13" spans="1:28">
      <c r="A13" s="44" t="s">
        <v>89</v>
      </c>
      <c r="B13" s="57">
        <v>22710</v>
      </c>
      <c r="C13" s="57">
        <v>41630</v>
      </c>
      <c r="D13" s="57">
        <v>50187</v>
      </c>
      <c r="E13" s="57">
        <v>71224</v>
      </c>
      <c r="F13" s="57">
        <v>75642</v>
      </c>
      <c r="G13" s="57">
        <v>71477</v>
      </c>
      <c r="H13" s="57">
        <v>64567</v>
      </c>
      <c r="I13" s="57">
        <v>49490</v>
      </c>
      <c r="J13" s="57">
        <v>125011</v>
      </c>
      <c r="K13" s="57">
        <v>102767</v>
      </c>
      <c r="L13" s="57">
        <v>77152</v>
      </c>
      <c r="M13" s="57">
        <v>64814</v>
      </c>
      <c r="N13" s="47" t="s">
        <v>37</v>
      </c>
      <c r="O13" s="47" t="s">
        <v>37</v>
      </c>
      <c r="P13" s="47" t="s">
        <v>37</v>
      </c>
      <c r="Q13" s="47" t="s">
        <v>37</v>
      </c>
      <c r="R13" s="47" t="s">
        <v>37</v>
      </c>
      <c r="S13" s="47" t="s">
        <v>37</v>
      </c>
      <c r="T13" s="47" t="s">
        <v>37</v>
      </c>
      <c r="U13" s="47" t="s">
        <v>37</v>
      </c>
      <c r="V13" s="47" t="s">
        <v>37</v>
      </c>
      <c r="W13" s="47" t="s">
        <v>37</v>
      </c>
      <c r="X13" s="47" t="s">
        <v>37</v>
      </c>
      <c r="Y13" s="47" t="s">
        <v>37</v>
      </c>
      <c r="Z13" s="47" t="s">
        <v>37</v>
      </c>
      <c r="AA13" s="47" t="s">
        <v>37</v>
      </c>
      <c r="AB13" s="47" t="s">
        <v>37</v>
      </c>
    </row>
    <row r="14" spans="1:28">
      <c r="A14" s="44" t="s">
        <v>90</v>
      </c>
      <c r="B14" s="47" t="s">
        <v>37</v>
      </c>
      <c r="C14" s="57">
        <v>-1871</v>
      </c>
      <c r="D14" s="57">
        <v>-88</v>
      </c>
      <c r="E14" s="57">
        <v>-20</v>
      </c>
      <c r="F14" s="57">
        <v>7283</v>
      </c>
      <c r="G14" s="57">
        <v>7062</v>
      </c>
      <c r="H14" s="57">
        <v>-19704</v>
      </c>
      <c r="I14" s="57">
        <v>-2610</v>
      </c>
      <c r="J14" s="57">
        <v>-162011</v>
      </c>
      <c r="K14" s="47" t="s">
        <v>37</v>
      </c>
      <c r="L14" s="57">
        <v>760</v>
      </c>
      <c r="M14" s="57">
        <v>838</v>
      </c>
      <c r="N14" s="57">
        <v>-132787</v>
      </c>
      <c r="O14" s="57">
        <v>-92044</v>
      </c>
      <c r="P14" s="47" t="s">
        <v>37</v>
      </c>
      <c r="Q14" s="47" t="s">
        <v>37</v>
      </c>
      <c r="R14" s="47" t="s">
        <v>37</v>
      </c>
      <c r="S14" s="47" t="s">
        <v>37</v>
      </c>
      <c r="T14" s="47" t="s">
        <v>37</v>
      </c>
      <c r="U14" s="57">
        <v>-93363</v>
      </c>
      <c r="V14" s="57">
        <v>-21800</v>
      </c>
      <c r="W14" s="57">
        <v>-43600</v>
      </c>
      <c r="X14" s="57">
        <v>-12400</v>
      </c>
      <c r="Y14" s="57">
        <v>53</v>
      </c>
      <c r="Z14" s="57">
        <v>-256127</v>
      </c>
      <c r="AA14" s="57">
        <v>1317</v>
      </c>
      <c r="AB14" s="57">
        <v>-917</v>
      </c>
    </row>
    <row r="15" spans="1:28">
      <c r="A15" s="44" t="s">
        <v>91</v>
      </c>
      <c r="B15" s="47" t="s">
        <v>37</v>
      </c>
      <c r="C15" s="47" t="s">
        <v>37</v>
      </c>
      <c r="D15" s="47" t="s">
        <v>37</v>
      </c>
      <c r="E15" s="47" t="s">
        <v>37</v>
      </c>
      <c r="F15" s="47" t="s">
        <v>37</v>
      </c>
      <c r="G15" s="47" t="s">
        <v>37</v>
      </c>
      <c r="H15" s="47" t="s">
        <v>37</v>
      </c>
      <c r="I15" s="47" t="s">
        <v>37</v>
      </c>
      <c r="J15" s="47" t="s">
        <v>37</v>
      </c>
      <c r="K15" s="57">
        <v>5146</v>
      </c>
      <c r="L15" s="47" t="s">
        <v>37</v>
      </c>
      <c r="M15" s="47" t="s">
        <v>37</v>
      </c>
      <c r="N15" s="47" t="s">
        <v>37</v>
      </c>
      <c r="O15" s="47" t="s">
        <v>37</v>
      </c>
      <c r="P15" s="47" t="s">
        <v>37</v>
      </c>
      <c r="Q15" s="57">
        <v>240050</v>
      </c>
      <c r="R15" s="57">
        <v>-312831</v>
      </c>
      <c r="S15" s="57">
        <v>-216600</v>
      </c>
      <c r="T15" s="57">
        <v>-517526</v>
      </c>
      <c r="U15" s="47" t="s">
        <v>37</v>
      </c>
      <c r="V15" s="57">
        <v>-136600</v>
      </c>
      <c r="W15" s="57">
        <v>-287087</v>
      </c>
      <c r="X15" s="57">
        <v>-72200</v>
      </c>
      <c r="Y15" s="57">
        <v>-25241</v>
      </c>
      <c r="Z15" s="57">
        <v>-55821</v>
      </c>
      <c r="AA15" s="57">
        <v>-16200</v>
      </c>
      <c r="AB15" s="57">
        <v>7800</v>
      </c>
    </row>
    <row r="16" spans="1:28">
      <c r="A16" s="44" t="s">
        <v>92</v>
      </c>
      <c r="B16" s="47" t="s">
        <v>37</v>
      </c>
      <c r="C16" s="47" t="s">
        <v>37</v>
      </c>
      <c r="D16" s="47" t="s">
        <v>37</v>
      </c>
      <c r="E16" s="47" t="s">
        <v>37</v>
      </c>
      <c r="F16" s="47" t="s">
        <v>37</v>
      </c>
      <c r="G16" s="47" t="s">
        <v>37</v>
      </c>
      <c r="H16" s="57">
        <v>10572</v>
      </c>
      <c r="I16" s="57">
        <v>47000</v>
      </c>
      <c r="J16" s="47" t="s">
        <v>37</v>
      </c>
      <c r="K16" s="47" t="s">
        <v>37</v>
      </c>
      <c r="L16" s="57">
        <v>18000</v>
      </c>
      <c r="M16" s="47" t="s">
        <v>37</v>
      </c>
      <c r="N16" s="47" t="s">
        <v>37</v>
      </c>
      <c r="O16" s="57">
        <v>55061</v>
      </c>
      <c r="P16" s="57">
        <v>21172</v>
      </c>
      <c r="Q16" s="47" t="s">
        <v>37</v>
      </c>
      <c r="R16" s="47" t="s">
        <v>37</v>
      </c>
      <c r="S16" s="57">
        <v>-29</v>
      </c>
      <c r="T16" s="47" t="s">
        <v>37</v>
      </c>
      <c r="U16" s="47" t="s">
        <v>37</v>
      </c>
      <c r="V16" s="47" t="s">
        <v>37</v>
      </c>
      <c r="W16" s="47" t="s">
        <v>37</v>
      </c>
      <c r="X16" s="47" t="s">
        <v>37</v>
      </c>
      <c r="Y16" s="47" t="s">
        <v>37</v>
      </c>
      <c r="Z16" s="47" t="s">
        <v>37</v>
      </c>
      <c r="AA16" s="47" t="s">
        <v>37</v>
      </c>
      <c r="AB16" s="47" t="s">
        <v>37</v>
      </c>
    </row>
    <row r="17" spans="1:28">
      <c r="A17" s="44" t="s">
        <v>93</v>
      </c>
      <c r="B17" s="57">
        <v>67</v>
      </c>
      <c r="C17" s="57">
        <v>-1403</v>
      </c>
      <c r="D17" s="57">
        <v>-9545</v>
      </c>
      <c r="E17" s="57">
        <v>-19176</v>
      </c>
      <c r="F17" s="57">
        <v>-28554</v>
      </c>
      <c r="G17" s="57">
        <v>-55855</v>
      </c>
      <c r="H17" s="57">
        <v>-25471</v>
      </c>
      <c r="I17" s="57">
        <v>18918</v>
      </c>
      <c r="J17" s="57">
        <v>31412</v>
      </c>
      <c r="K17" s="57">
        <v>-12192</v>
      </c>
      <c r="L17" s="57">
        <v>16553</v>
      </c>
      <c r="M17" s="57">
        <v>25147</v>
      </c>
      <c r="N17" s="57">
        <v>-16214</v>
      </c>
      <c r="O17" s="57">
        <v>63878</v>
      </c>
      <c r="P17" s="57">
        <v>86419</v>
      </c>
      <c r="Q17" s="57">
        <v>65098</v>
      </c>
      <c r="R17" s="57">
        <v>33129</v>
      </c>
      <c r="S17" s="57">
        <v>31739</v>
      </c>
      <c r="T17" s="57">
        <v>19491</v>
      </c>
      <c r="U17" s="57">
        <v>-26205</v>
      </c>
      <c r="V17" s="57">
        <v>-25157</v>
      </c>
      <c r="W17" s="57">
        <v>-12808</v>
      </c>
      <c r="X17" s="57">
        <v>-21707</v>
      </c>
      <c r="Y17" s="57">
        <v>-26169</v>
      </c>
      <c r="Z17" s="57">
        <v>-85113</v>
      </c>
      <c r="AA17" s="57">
        <v>-15580</v>
      </c>
      <c r="AB17" s="57">
        <v>25856</v>
      </c>
    </row>
    <row r="18" spans="1:28">
      <c r="A18" s="44" t="s">
        <v>94</v>
      </c>
      <c r="B18" s="47" t="s">
        <v>37</v>
      </c>
      <c r="C18" s="47" t="s">
        <v>37</v>
      </c>
      <c r="D18" s="47" t="s">
        <v>37</v>
      </c>
      <c r="E18" s="47" t="s">
        <v>37</v>
      </c>
      <c r="F18" s="47" t="s">
        <v>37</v>
      </c>
      <c r="G18" s="47" t="s">
        <v>37</v>
      </c>
      <c r="H18" s="47" t="s">
        <v>37</v>
      </c>
      <c r="I18" s="47" t="s">
        <v>37</v>
      </c>
      <c r="J18" s="47" t="s">
        <v>37</v>
      </c>
      <c r="K18" s="57">
        <v>-22394</v>
      </c>
      <c r="L18" s="57">
        <v>-1992</v>
      </c>
      <c r="M18" s="57">
        <v>-114100</v>
      </c>
      <c r="N18" s="57">
        <v>-84</v>
      </c>
      <c r="O18" s="57">
        <v>35252</v>
      </c>
      <c r="P18" s="47" t="s">
        <v>37</v>
      </c>
      <c r="Q18" s="47" t="s">
        <v>37</v>
      </c>
      <c r="R18" s="47" t="s">
        <v>37</v>
      </c>
      <c r="S18" s="47" t="s">
        <v>37</v>
      </c>
      <c r="T18" s="47" t="s">
        <v>37</v>
      </c>
      <c r="U18" s="57">
        <v>-14152</v>
      </c>
      <c r="V18" s="57">
        <v>-242</v>
      </c>
      <c r="W18" s="47" t="s">
        <v>37</v>
      </c>
      <c r="X18" s="47" t="s">
        <v>37</v>
      </c>
      <c r="Y18" s="47" t="s">
        <v>37</v>
      </c>
      <c r="Z18" s="47" t="s">
        <v>37</v>
      </c>
      <c r="AA18" s="47" t="s">
        <v>37</v>
      </c>
      <c r="AB18" s="47" t="s">
        <v>37</v>
      </c>
    </row>
    <row r="19" spans="1:28">
      <c r="A19" s="44" t="s">
        <v>95</v>
      </c>
      <c r="B19" s="57">
        <v>13654</v>
      </c>
      <c r="C19" s="57">
        <v>2159</v>
      </c>
      <c r="D19" s="57">
        <v>19</v>
      </c>
      <c r="E19" s="57">
        <v>-9827</v>
      </c>
      <c r="F19" s="57">
        <v>-8675</v>
      </c>
      <c r="G19" s="57">
        <v>29588</v>
      </c>
      <c r="H19" s="57">
        <v>41003</v>
      </c>
      <c r="I19" s="57">
        <v>5081</v>
      </c>
      <c r="J19" s="57">
        <v>-21092</v>
      </c>
      <c r="K19" s="57">
        <v>8414</v>
      </c>
      <c r="L19" s="57">
        <v>12239</v>
      </c>
      <c r="M19" s="57">
        <v>6398</v>
      </c>
      <c r="N19" s="57">
        <v>149369</v>
      </c>
      <c r="O19" s="57">
        <v>127090</v>
      </c>
      <c r="P19" s="57">
        <v>102227</v>
      </c>
      <c r="Q19" s="57">
        <v>83310</v>
      </c>
      <c r="R19" s="57">
        <v>462641</v>
      </c>
      <c r="S19" s="57">
        <v>190793</v>
      </c>
      <c r="T19" s="57">
        <v>248208</v>
      </c>
      <c r="U19" s="57">
        <v>183685</v>
      </c>
      <c r="V19" s="57">
        <v>321723</v>
      </c>
      <c r="W19" s="57">
        <v>378463</v>
      </c>
      <c r="X19" s="57">
        <v>385978</v>
      </c>
      <c r="Y19" s="57">
        <v>399016</v>
      </c>
      <c r="Z19" s="57">
        <v>366672</v>
      </c>
      <c r="AA19" s="57">
        <v>378933</v>
      </c>
      <c r="AB19" s="57">
        <v>117786</v>
      </c>
    </row>
    <row r="20" spans="1:28">
      <c r="A20" s="44" t="s">
        <v>96</v>
      </c>
      <c r="B20" s="57">
        <v>-3908</v>
      </c>
      <c r="C20" s="57">
        <v>5502</v>
      </c>
      <c r="D20" s="57">
        <v>-6422</v>
      </c>
      <c r="E20" s="57">
        <v>-23284</v>
      </c>
      <c r="F20" s="57">
        <v>-13205</v>
      </c>
      <c r="G20" s="57">
        <v>-36960</v>
      </c>
      <c r="H20" s="57">
        <v>-8482</v>
      </c>
      <c r="I20" s="57">
        <v>2335</v>
      </c>
      <c r="J20" s="57">
        <v>14237</v>
      </c>
      <c r="K20" s="57">
        <v>34277</v>
      </c>
      <c r="L20" s="57">
        <v>-37166</v>
      </c>
      <c r="M20" s="57">
        <v>22803</v>
      </c>
      <c r="N20" s="57">
        <v>-3799</v>
      </c>
      <c r="O20" s="57">
        <v>-40976</v>
      </c>
      <c r="P20" s="57">
        <v>-14312</v>
      </c>
      <c r="Q20" s="57">
        <v>37465</v>
      </c>
      <c r="R20" s="57">
        <v>2144</v>
      </c>
      <c r="S20" s="57">
        <v>-19370</v>
      </c>
      <c r="T20" s="57">
        <v>-4815</v>
      </c>
      <c r="U20" s="57">
        <v>-13938</v>
      </c>
      <c r="V20" s="57">
        <v>-6730</v>
      </c>
      <c r="W20" s="57">
        <v>9918</v>
      </c>
      <c r="X20" s="57">
        <v>16277</v>
      </c>
      <c r="Y20" s="57">
        <v>-26170</v>
      </c>
      <c r="Z20" s="57">
        <v>-17518</v>
      </c>
      <c r="AA20" s="57">
        <v>-157</v>
      </c>
      <c r="AB20" s="57">
        <v>-623761</v>
      </c>
    </row>
    <row r="21" spans="1:28">
      <c r="A21" s="44" t="s">
        <v>97</v>
      </c>
      <c r="B21" s="57">
        <v>-12172</v>
      </c>
      <c r="C21" s="57">
        <v>2076</v>
      </c>
      <c r="D21" s="57">
        <v>-13768</v>
      </c>
      <c r="E21" s="57">
        <v>36417</v>
      </c>
      <c r="F21" s="57">
        <v>58705</v>
      </c>
      <c r="G21" s="57">
        <v>36445</v>
      </c>
      <c r="H21" s="57">
        <v>37312</v>
      </c>
      <c r="I21" s="57">
        <v>112739</v>
      </c>
      <c r="J21" s="57">
        <v>-2683</v>
      </c>
      <c r="K21" s="57">
        <v>-24930</v>
      </c>
      <c r="L21" s="57">
        <v>90241</v>
      </c>
      <c r="M21" s="57">
        <v>-91329</v>
      </c>
      <c r="N21" s="57">
        <v>70094</v>
      </c>
      <c r="O21" s="57">
        <v>114786</v>
      </c>
      <c r="P21" s="57">
        <v>41213</v>
      </c>
      <c r="Q21" s="57">
        <v>3789</v>
      </c>
      <c r="R21" s="57">
        <v>-22550</v>
      </c>
      <c r="S21" s="57">
        <v>-58959</v>
      </c>
      <c r="T21" s="57">
        <v>165679</v>
      </c>
      <c r="U21" s="57">
        <v>42391</v>
      </c>
      <c r="V21" s="57">
        <v>-29577</v>
      </c>
      <c r="W21" s="57">
        <v>35542</v>
      </c>
      <c r="X21" s="57">
        <v>-77789</v>
      </c>
      <c r="Y21" s="57">
        <v>99931</v>
      </c>
      <c r="Z21" s="57">
        <v>84307</v>
      </c>
      <c r="AA21" s="57">
        <v>13100</v>
      </c>
      <c r="AB21" s="57">
        <v>-84209</v>
      </c>
    </row>
    <row r="22" spans="1:28">
      <c r="A22" s="44" t="s">
        <v>98</v>
      </c>
      <c r="B22" s="57">
        <v>1099</v>
      </c>
      <c r="C22" s="57">
        <v>-14290</v>
      </c>
      <c r="D22" s="57">
        <v>-12756</v>
      </c>
      <c r="E22" s="57">
        <v>-30203</v>
      </c>
      <c r="F22" s="57">
        <v>-7846</v>
      </c>
      <c r="G22" s="57">
        <v>-23090</v>
      </c>
      <c r="H22" s="57">
        <v>-10086</v>
      </c>
      <c r="I22" s="57">
        <v>-37932</v>
      </c>
      <c r="J22" s="57">
        <v>-15778</v>
      </c>
      <c r="K22" s="57">
        <v>-26396</v>
      </c>
      <c r="L22" s="57">
        <v>-58947</v>
      </c>
      <c r="M22" s="57">
        <v>-38417</v>
      </c>
      <c r="N22" s="57">
        <v>-126989</v>
      </c>
      <c r="O22" s="57">
        <v>-70138</v>
      </c>
      <c r="P22" s="57">
        <v>-21295</v>
      </c>
      <c r="Q22" s="57">
        <v>-28089</v>
      </c>
      <c r="R22" s="57">
        <v>-40388</v>
      </c>
      <c r="S22" s="57">
        <v>-58924</v>
      </c>
      <c r="T22" s="57">
        <v>-133765</v>
      </c>
      <c r="U22" s="57">
        <v>-30013</v>
      </c>
      <c r="V22" s="57">
        <v>-65569</v>
      </c>
      <c r="W22" s="57">
        <v>-122677</v>
      </c>
      <c r="X22" s="57">
        <v>-43797</v>
      </c>
      <c r="Y22" s="57">
        <v>-132945</v>
      </c>
      <c r="Z22" s="57">
        <v>-75438</v>
      </c>
      <c r="AA22" s="57">
        <v>-49338</v>
      </c>
      <c r="AB22" s="57">
        <v>594</v>
      </c>
    </row>
    <row r="23" spans="1:28">
      <c r="A23" s="38" t="s">
        <v>99</v>
      </c>
      <c r="B23" s="168">
        <v>128023</v>
      </c>
      <c r="C23" s="168">
        <v>194336</v>
      </c>
      <c r="D23" s="168">
        <v>236464</v>
      </c>
      <c r="E23" s="168">
        <v>370907</v>
      </c>
      <c r="F23" s="168">
        <v>529415</v>
      </c>
      <c r="G23" s="168">
        <v>627056</v>
      </c>
      <c r="H23" s="168">
        <v>743519</v>
      </c>
      <c r="I23" s="168">
        <v>859062</v>
      </c>
      <c r="J23" s="168">
        <v>882990</v>
      </c>
      <c r="K23" s="168">
        <v>951967</v>
      </c>
      <c r="L23" s="168">
        <v>1080532</v>
      </c>
      <c r="M23" s="168">
        <v>1170371</v>
      </c>
      <c r="N23" s="168">
        <v>1316148</v>
      </c>
      <c r="O23" s="168">
        <v>1559432</v>
      </c>
      <c r="P23" s="168">
        <v>1635887</v>
      </c>
      <c r="Q23" s="168">
        <v>1720520</v>
      </c>
      <c r="R23" s="168">
        <v>1755210</v>
      </c>
      <c r="S23" s="168">
        <v>2005887</v>
      </c>
      <c r="T23" s="168">
        <v>2513072</v>
      </c>
      <c r="U23" s="168">
        <v>2700996</v>
      </c>
      <c r="V23" s="168">
        <v>2730420</v>
      </c>
      <c r="W23" s="168">
        <v>3024685</v>
      </c>
      <c r="X23" s="168">
        <v>3372694</v>
      </c>
      <c r="Y23" s="168">
        <v>3593788</v>
      </c>
      <c r="Z23" s="168">
        <v>3750796</v>
      </c>
      <c r="AA23" s="168">
        <v>3807831</v>
      </c>
      <c r="AB23" s="168">
        <v>814312</v>
      </c>
    </row>
    <row r="24" spans="1:28">
      <c r="A24" s="38" t="s">
        <v>100</v>
      </c>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row>
    <row r="25" spans="1:28">
      <c r="A25" s="44" t="s">
        <v>101</v>
      </c>
      <c r="B25" s="57">
        <v>-42765</v>
      </c>
      <c r="C25" s="57">
        <v>-98220</v>
      </c>
      <c r="D25" s="57">
        <v>-195833</v>
      </c>
      <c r="E25" s="57">
        <v>-305178</v>
      </c>
      <c r="F25" s="57">
        <v>-349708</v>
      </c>
      <c r="G25" s="57">
        <v>-504561</v>
      </c>
      <c r="H25" s="57">
        <v>-419382</v>
      </c>
      <c r="I25" s="57">
        <v>-282545</v>
      </c>
      <c r="J25" s="57">
        <v>-213990</v>
      </c>
      <c r="K25" s="57">
        <v>-353903</v>
      </c>
      <c r="L25" s="57">
        <v>-549304</v>
      </c>
      <c r="M25" s="57">
        <v>-726386</v>
      </c>
      <c r="N25" s="57">
        <v>-767710</v>
      </c>
      <c r="O25" s="57">
        <v>-1017472</v>
      </c>
      <c r="P25" s="57">
        <v>-874286</v>
      </c>
      <c r="Q25" s="57">
        <v>-376275</v>
      </c>
      <c r="R25" s="57">
        <v>-256312</v>
      </c>
      <c r="S25" s="57">
        <v>-445495</v>
      </c>
      <c r="T25" s="57">
        <v>-802427</v>
      </c>
      <c r="U25" s="57">
        <v>-841209</v>
      </c>
      <c r="V25" s="57">
        <v>-796736</v>
      </c>
      <c r="W25" s="57">
        <v>-1020924</v>
      </c>
      <c r="X25" s="57">
        <v>-798465</v>
      </c>
      <c r="Y25" s="57">
        <v>-732100</v>
      </c>
      <c r="Z25" s="57">
        <v>-781909</v>
      </c>
      <c r="AA25" s="57">
        <v>-876011</v>
      </c>
      <c r="AB25" s="57">
        <v>-337467</v>
      </c>
    </row>
    <row r="26" spans="1:28">
      <c r="A26" s="44" t="s">
        <v>102</v>
      </c>
      <c r="B26" s="47" t="s">
        <v>37</v>
      </c>
      <c r="C26" s="57">
        <v>2550</v>
      </c>
      <c r="D26" s="57">
        <v>399</v>
      </c>
      <c r="E26" s="57">
        <v>599</v>
      </c>
      <c r="F26" s="57">
        <v>46087</v>
      </c>
      <c r="G26" s="57">
        <v>58703</v>
      </c>
      <c r="H26" s="57">
        <v>164574</v>
      </c>
      <c r="I26" s="57">
        <v>19550</v>
      </c>
      <c r="J26" s="57">
        <v>436350</v>
      </c>
      <c r="K26" s="47" t="s">
        <v>37</v>
      </c>
      <c r="L26" s="47" t="s">
        <v>37</v>
      </c>
      <c r="M26" s="47" t="s">
        <v>37</v>
      </c>
      <c r="N26" s="47" t="s">
        <v>37</v>
      </c>
      <c r="O26" s="47" t="s">
        <v>37</v>
      </c>
      <c r="P26" s="47" t="s">
        <v>37</v>
      </c>
      <c r="Q26" s="57">
        <v>33106</v>
      </c>
      <c r="R26" s="57">
        <v>301425</v>
      </c>
      <c r="S26" s="57">
        <v>136013</v>
      </c>
      <c r="T26" s="57">
        <v>383804</v>
      </c>
      <c r="U26" s="57">
        <v>274058</v>
      </c>
      <c r="V26" s="47" t="s">
        <v>37</v>
      </c>
      <c r="W26" s="57">
        <v>33015</v>
      </c>
      <c r="X26" s="57">
        <v>36558</v>
      </c>
      <c r="Y26" s="57">
        <v>19944</v>
      </c>
      <c r="Z26" s="57">
        <v>183241</v>
      </c>
      <c r="AA26" s="57">
        <v>6776</v>
      </c>
      <c r="AB26" s="47" t="s">
        <v>37</v>
      </c>
    </row>
    <row r="27" spans="1:28">
      <c r="A27" s="44" t="s">
        <v>103</v>
      </c>
      <c r="B27" s="57">
        <v>-218388</v>
      </c>
      <c r="C27" s="57">
        <v>-83926</v>
      </c>
      <c r="D27" s="57">
        <v>-19016</v>
      </c>
      <c r="E27" s="57">
        <v>-960683</v>
      </c>
      <c r="F27" s="57">
        <v>-1924562</v>
      </c>
      <c r="G27" s="57">
        <v>-255896</v>
      </c>
      <c r="H27" s="57">
        <v>-1325</v>
      </c>
      <c r="I27" s="57">
        <v>-156291</v>
      </c>
      <c r="J27" s="57">
        <v>-1120623</v>
      </c>
      <c r="K27" s="57">
        <v>-812362</v>
      </c>
      <c r="L27" s="57">
        <v>-2307867</v>
      </c>
      <c r="M27" s="57">
        <v>-46984</v>
      </c>
      <c r="N27" s="57">
        <v>-158394</v>
      </c>
      <c r="O27" s="57">
        <v>-263098</v>
      </c>
      <c r="P27" s="47" t="s">
        <v>37</v>
      </c>
      <c r="Q27" s="47" t="s">
        <v>37</v>
      </c>
      <c r="R27" s="57">
        <v>-949261</v>
      </c>
      <c r="S27" s="57">
        <v>-1240321</v>
      </c>
      <c r="T27" s="57">
        <v>-3644555</v>
      </c>
      <c r="U27" s="57">
        <v>-866541</v>
      </c>
      <c r="V27" s="57">
        <v>-80057</v>
      </c>
      <c r="W27" s="57">
        <v>-1410881</v>
      </c>
      <c r="X27" s="57">
        <v>-439982</v>
      </c>
      <c r="Y27" s="57">
        <v>-256952</v>
      </c>
      <c r="Z27" s="57">
        <v>-39784</v>
      </c>
      <c r="AA27" s="57">
        <v>-11755</v>
      </c>
      <c r="AB27" s="57">
        <v>-107797</v>
      </c>
    </row>
    <row r="28" spans="1:28">
      <c r="A28" s="44" t="s">
        <v>104</v>
      </c>
      <c r="B28" s="47" t="s">
        <v>37</v>
      </c>
      <c r="C28" s="47" t="s">
        <v>37</v>
      </c>
      <c r="D28" s="47" t="s">
        <v>37</v>
      </c>
      <c r="E28" s="47" t="s">
        <v>37</v>
      </c>
      <c r="F28" s="47" t="s">
        <v>37</v>
      </c>
      <c r="G28" s="47" t="s">
        <v>37</v>
      </c>
      <c r="H28" s="47" t="s">
        <v>37</v>
      </c>
      <c r="I28" s="47" t="s">
        <v>37</v>
      </c>
      <c r="J28" s="47" t="s">
        <v>37</v>
      </c>
      <c r="K28" s="57">
        <v>48910</v>
      </c>
      <c r="L28" s="57">
        <v>2507</v>
      </c>
      <c r="M28" s="47" t="s">
        <v>37</v>
      </c>
      <c r="N28" s="57">
        <v>8762</v>
      </c>
      <c r="O28" s="57">
        <v>6117</v>
      </c>
      <c r="P28" s="47" t="s">
        <v>37</v>
      </c>
      <c r="Q28" s="47" t="s">
        <v>37</v>
      </c>
      <c r="R28" s="47" t="s">
        <v>37</v>
      </c>
      <c r="S28" s="47" t="s">
        <v>37</v>
      </c>
      <c r="T28" s="47" t="s">
        <v>37</v>
      </c>
      <c r="U28" s="47" t="s">
        <v>37</v>
      </c>
      <c r="V28" s="47" t="s">
        <v>37</v>
      </c>
      <c r="W28" s="47" t="s">
        <v>37</v>
      </c>
      <c r="X28" s="47" t="s">
        <v>37</v>
      </c>
      <c r="Y28" s="47" t="s">
        <v>37</v>
      </c>
      <c r="Z28" s="47" t="s">
        <v>37</v>
      </c>
      <c r="AA28" s="47" t="s">
        <v>37</v>
      </c>
      <c r="AB28" s="47" t="s">
        <v>37</v>
      </c>
    </row>
    <row r="29" spans="1:28">
      <c r="A29" s="44" t="s">
        <v>105</v>
      </c>
      <c r="B29" s="57">
        <v>-5619</v>
      </c>
      <c r="C29" s="57">
        <v>-43083</v>
      </c>
      <c r="D29" s="57">
        <v>13234</v>
      </c>
      <c r="E29" s="57">
        <v>79301</v>
      </c>
      <c r="F29" s="57">
        <v>118465</v>
      </c>
      <c r="G29" s="57">
        <v>91878</v>
      </c>
      <c r="H29" s="57">
        <v>142215</v>
      </c>
      <c r="I29" s="57">
        <v>69149</v>
      </c>
      <c r="J29" s="57">
        <v>101201</v>
      </c>
      <c r="K29" s="57">
        <v>355692</v>
      </c>
      <c r="L29" s="57">
        <v>108967</v>
      </c>
      <c r="M29" s="57">
        <v>720936</v>
      </c>
      <c r="N29" s="57">
        <v>309910</v>
      </c>
      <c r="O29" s="57">
        <v>-283497</v>
      </c>
      <c r="P29" s="57">
        <v>-175289</v>
      </c>
      <c r="Q29" s="57">
        <v>35478</v>
      </c>
      <c r="R29" s="57">
        <v>71912</v>
      </c>
      <c r="S29" s="57">
        <v>320637</v>
      </c>
      <c r="T29" s="57">
        <v>251363</v>
      </c>
      <c r="U29" s="57">
        <v>584683</v>
      </c>
      <c r="V29" s="57">
        <v>-140534</v>
      </c>
      <c r="W29" s="57">
        <v>936070</v>
      </c>
      <c r="X29" s="57">
        <v>224656</v>
      </c>
      <c r="Y29" s="57">
        <v>279173</v>
      </c>
      <c r="Z29" s="57">
        <v>387504</v>
      </c>
      <c r="AA29" s="57">
        <v>-209020</v>
      </c>
      <c r="AB29" s="57">
        <v>102041</v>
      </c>
    </row>
    <row r="30" spans="1:28">
      <c r="A30" s="44" t="s">
        <v>106</v>
      </c>
      <c r="B30" s="47" t="s">
        <v>37</v>
      </c>
      <c r="C30" s="47" t="s">
        <v>37</v>
      </c>
      <c r="D30" s="47" t="s">
        <v>37</v>
      </c>
      <c r="E30" s="47" t="s">
        <v>37</v>
      </c>
      <c r="F30" s="47" t="s">
        <v>37</v>
      </c>
      <c r="G30" s="47" t="s">
        <v>37</v>
      </c>
      <c r="H30" s="47" t="s">
        <v>37</v>
      </c>
      <c r="I30" s="47" t="s">
        <v>37</v>
      </c>
      <c r="J30" s="47" t="s">
        <v>37</v>
      </c>
      <c r="K30" s="47" t="s">
        <v>37</v>
      </c>
      <c r="L30" s="47" t="s">
        <v>37</v>
      </c>
      <c r="M30" s="47" t="s">
        <v>37</v>
      </c>
      <c r="N30" s="47" t="s">
        <v>37</v>
      </c>
      <c r="O30" s="47" t="s">
        <v>37</v>
      </c>
      <c r="P30" s="47" t="s">
        <v>37</v>
      </c>
      <c r="Q30" s="47" t="s">
        <v>37</v>
      </c>
      <c r="R30" s="57">
        <v>-395459</v>
      </c>
      <c r="S30" s="57">
        <v>235124</v>
      </c>
      <c r="T30" s="57">
        <v>163908</v>
      </c>
      <c r="U30" s="47" t="s">
        <v>37</v>
      </c>
      <c r="V30" s="47" t="s">
        <v>37</v>
      </c>
      <c r="W30" s="47" t="s">
        <v>37</v>
      </c>
      <c r="X30" s="47" t="s">
        <v>37</v>
      </c>
      <c r="Y30" s="47" t="s">
        <v>37</v>
      </c>
      <c r="Z30" s="47" t="s">
        <v>37</v>
      </c>
      <c r="AA30" s="47" t="s">
        <v>37</v>
      </c>
      <c r="AB30" s="47" t="s">
        <v>37</v>
      </c>
    </row>
    <row r="31" spans="1:28">
      <c r="A31" s="44" t="s">
        <v>107</v>
      </c>
      <c r="B31" s="47" t="s">
        <v>37</v>
      </c>
      <c r="C31" s="47" t="s">
        <v>37</v>
      </c>
      <c r="D31" s="57">
        <v>1474</v>
      </c>
      <c r="E31" s="57">
        <v>-57843</v>
      </c>
      <c r="F31" s="57">
        <v>7686</v>
      </c>
      <c r="G31" s="57">
        <v>-3000</v>
      </c>
      <c r="H31" s="57">
        <v>-20319</v>
      </c>
      <c r="I31" s="57">
        <v>-1173</v>
      </c>
      <c r="J31" s="57">
        <v>11332</v>
      </c>
      <c r="K31" s="47" t="s">
        <v>37</v>
      </c>
      <c r="L31" s="47" t="s">
        <v>37</v>
      </c>
      <c r="M31" s="47" t="s">
        <v>37</v>
      </c>
      <c r="N31" s="47" t="s">
        <v>37</v>
      </c>
      <c r="O31" s="57">
        <v>-491626</v>
      </c>
      <c r="P31" s="57">
        <v>27300</v>
      </c>
      <c r="Q31" s="57">
        <v>-111300</v>
      </c>
      <c r="R31" s="57">
        <v>-19000</v>
      </c>
      <c r="S31" s="47" t="s">
        <v>37</v>
      </c>
      <c r="T31" s="57">
        <v>67236</v>
      </c>
      <c r="U31" s="57">
        <v>-99079</v>
      </c>
      <c r="V31" s="57">
        <v>120061</v>
      </c>
      <c r="W31" s="47" t="s">
        <v>37</v>
      </c>
      <c r="X31" s="57">
        <v>8207</v>
      </c>
      <c r="Y31" s="57">
        <v>-71532</v>
      </c>
      <c r="Z31" s="57">
        <v>14442</v>
      </c>
      <c r="AA31" s="57">
        <v>13303</v>
      </c>
      <c r="AB31" s="57">
        <v>-5335</v>
      </c>
    </row>
    <row r="32" spans="1:28">
      <c r="A32" s="38" t="s">
        <v>108</v>
      </c>
      <c r="B32" s="168">
        <v>-266772</v>
      </c>
      <c r="C32" s="168">
        <v>-222679</v>
      </c>
      <c r="D32" s="168">
        <v>-199742</v>
      </c>
      <c r="E32" s="168">
        <v>-1243804</v>
      </c>
      <c r="F32" s="168">
        <v>-2102032</v>
      </c>
      <c r="G32" s="168">
        <v>-612876</v>
      </c>
      <c r="H32" s="168">
        <v>-134237</v>
      </c>
      <c r="I32" s="168">
        <v>-351310</v>
      </c>
      <c r="J32" s="168">
        <v>-785730</v>
      </c>
      <c r="K32" s="168">
        <v>-761663</v>
      </c>
      <c r="L32" s="168">
        <v>-2745697</v>
      </c>
      <c r="M32" s="168">
        <v>-52434</v>
      </c>
      <c r="N32" s="168">
        <v>-607432</v>
      </c>
      <c r="O32" s="168">
        <v>-2049576</v>
      </c>
      <c r="P32" s="168">
        <v>-1022275</v>
      </c>
      <c r="Q32" s="168">
        <v>-418991</v>
      </c>
      <c r="R32" s="168">
        <v>-1246695</v>
      </c>
      <c r="S32" s="168">
        <v>-994042</v>
      </c>
      <c r="T32" s="168">
        <v>-3580671</v>
      </c>
      <c r="U32" s="168">
        <v>-948088</v>
      </c>
      <c r="V32" s="168">
        <v>-897266</v>
      </c>
      <c r="W32" s="168">
        <v>-1462720</v>
      </c>
      <c r="X32" s="168">
        <v>-969026</v>
      </c>
      <c r="Y32" s="168">
        <v>-761467</v>
      </c>
      <c r="Z32" s="168">
        <v>-236506</v>
      </c>
      <c r="AA32" s="168">
        <v>-1076707</v>
      </c>
      <c r="AB32" s="168">
        <v>-348558</v>
      </c>
    </row>
    <row r="33" spans="1:28">
      <c r="A33" s="38" t="s">
        <v>109</v>
      </c>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row>
    <row r="34" spans="1:28">
      <c r="A34" s="44" t="s">
        <v>110</v>
      </c>
      <c r="B34" s="57">
        <v>405430</v>
      </c>
      <c r="C34" s="57">
        <v>456520</v>
      </c>
      <c r="D34" s="57">
        <v>1293582</v>
      </c>
      <c r="E34" s="57">
        <v>2976222</v>
      </c>
      <c r="F34" s="57">
        <v>3782314</v>
      </c>
      <c r="G34" s="57">
        <v>2168069</v>
      </c>
      <c r="H34" s="57">
        <v>1474527</v>
      </c>
      <c r="I34" s="57">
        <v>2454994</v>
      </c>
      <c r="J34" s="57">
        <v>2408685</v>
      </c>
      <c r="K34" s="57">
        <v>2536498</v>
      </c>
      <c r="L34" s="57">
        <v>5710886</v>
      </c>
      <c r="M34" s="57">
        <v>3962778</v>
      </c>
      <c r="N34" s="57">
        <v>5507735</v>
      </c>
      <c r="O34" s="57">
        <v>5577083</v>
      </c>
      <c r="P34" s="57">
        <v>4456975</v>
      </c>
      <c r="Q34" s="57">
        <v>3220706</v>
      </c>
      <c r="R34" s="57">
        <v>3858815</v>
      </c>
      <c r="S34" s="57">
        <v>1655203</v>
      </c>
      <c r="T34" s="57">
        <v>6772443</v>
      </c>
      <c r="U34" s="57">
        <v>2919364</v>
      </c>
      <c r="V34" s="57">
        <v>4630289</v>
      </c>
      <c r="W34" s="57">
        <v>10468667</v>
      </c>
      <c r="X34" s="57">
        <v>14866205</v>
      </c>
      <c r="Y34" s="57">
        <v>11668026</v>
      </c>
      <c r="Z34" s="57">
        <v>7973719</v>
      </c>
      <c r="AA34" s="57">
        <v>13312301</v>
      </c>
      <c r="AB34" s="57">
        <v>7954893</v>
      </c>
    </row>
    <row r="35" spans="1:28">
      <c r="A35" s="38" t="s">
        <v>111</v>
      </c>
      <c r="B35" s="168">
        <v>405430</v>
      </c>
      <c r="C35" s="168">
        <v>456520</v>
      </c>
      <c r="D35" s="168">
        <v>1293582</v>
      </c>
      <c r="E35" s="168">
        <v>2976222</v>
      </c>
      <c r="F35" s="168">
        <v>3782314</v>
      </c>
      <c r="G35" s="168">
        <v>2168069</v>
      </c>
      <c r="H35" s="168">
        <v>1474527</v>
      </c>
      <c r="I35" s="168">
        <v>2454994</v>
      </c>
      <c r="J35" s="168">
        <v>2408685</v>
      </c>
      <c r="K35" s="168">
        <v>2536498</v>
      </c>
      <c r="L35" s="168">
        <v>5710886</v>
      </c>
      <c r="M35" s="168">
        <v>3962778</v>
      </c>
      <c r="N35" s="168">
        <v>5507735</v>
      </c>
      <c r="O35" s="168">
        <v>5577083</v>
      </c>
      <c r="P35" s="168">
        <v>4456975</v>
      </c>
      <c r="Q35" s="168">
        <v>3220706</v>
      </c>
      <c r="R35" s="168">
        <v>3858815</v>
      </c>
      <c r="S35" s="168">
        <v>1655203</v>
      </c>
      <c r="T35" s="168">
        <v>6772443</v>
      </c>
      <c r="U35" s="168">
        <v>2919364</v>
      </c>
      <c r="V35" s="168">
        <v>4630289</v>
      </c>
      <c r="W35" s="168">
        <v>10468667</v>
      </c>
      <c r="X35" s="168">
        <v>14866205</v>
      </c>
      <c r="Y35" s="168">
        <v>11668026</v>
      </c>
      <c r="Z35" s="168">
        <v>7973719</v>
      </c>
      <c r="AA35" s="168">
        <v>13312301</v>
      </c>
      <c r="AB35" s="168">
        <v>7954893</v>
      </c>
    </row>
    <row r="36" spans="1:28">
      <c r="A36" s="44" t="s">
        <v>112</v>
      </c>
      <c r="B36" s="57">
        <v>-256081</v>
      </c>
      <c r="C36" s="57">
        <v>-531566</v>
      </c>
      <c r="D36" s="57">
        <v>-1267902</v>
      </c>
      <c r="E36" s="57">
        <v>-2030763</v>
      </c>
      <c r="F36" s="57">
        <v>-1867913</v>
      </c>
      <c r="G36" s="57">
        <v>-1593889</v>
      </c>
      <c r="H36" s="57">
        <v>-1426131</v>
      </c>
      <c r="I36" s="57">
        <v>-2347065</v>
      </c>
      <c r="J36" s="57">
        <v>-2103586</v>
      </c>
      <c r="K36" s="57">
        <v>-1926974</v>
      </c>
      <c r="L36" s="57">
        <v>-3221906</v>
      </c>
      <c r="M36" s="57">
        <v>-4197795</v>
      </c>
      <c r="N36" s="57">
        <v>-4442332</v>
      </c>
      <c r="O36" s="57">
        <v>-4177763</v>
      </c>
      <c r="P36" s="57">
        <v>-3692136</v>
      </c>
      <c r="Q36" s="57">
        <v>-2678639</v>
      </c>
      <c r="R36" s="57">
        <v>-6227814</v>
      </c>
      <c r="S36" s="57">
        <v>-1398697</v>
      </c>
      <c r="T36" s="57">
        <v>-4560562</v>
      </c>
      <c r="U36" s="57">
        <v>-2446191</v>
      </c>
      <c r="V36" s="57">
        <v>-5323186</v>
      </c>
      <c r="W36" s="57">
        <v>-9112020</v>
      </c>
      <c r="X36" s="57">
        <v>-14650168</v>
      </c>
      <c r="Y36" s="57">
        <v>-10585289</v>
      </c>
      <c r="Z36" s="57">
        <v>-9118685</v>
      </c>
      <c r="AA36" s="57">
        <v>-12527674</v>
      </c>
      <c r="AB36" s="57">
        <v>-4864992</v>
      </c>
    </row>
    <row r="37" spans="1:28">
      <c r="A37" s="38" t="s">
        <v>113</v>
      </c>
      <c r="B37" s="168">
        <v>-256081</v>
      </c>
      <c r="C37" s="168">
        <v>-531566</v>
      </c>
      <c r="D37" s="168">
        <v>-1267902</v>
      </c>
      <c r="E37" s="168">
        <v>-2030763</v>
      </c>
      <c r="F37" s="168">
        <v>-1867913</v>
      </c>
      <c r="G37" s="168">
        <v>-1593889</v>
      </c>
      <c r="H37" s="168">
        <v>-1426131</v>
      </c>
      <c r="I37" s="168">
        <v>-2347065</v>
      </c>
      <c r="J37" s="168">
        <v>-2103586</v>
      </c>
      <c r="K37" s="168">
        <v>-1926974</v>
      </c>
      <c r="L37" s="168">
        <v>-3221906</v>
      </c>
      <c r="M37" s="168">
        <v>-4197795</v>
      </c>
      <c r="N37" s="168">
        <v>-4442332</v>
      </c>
      <c r="O37" s="168">
        <v>-4177763</v>
      </c>
      <c r="P37" s="168">
        <v>-3692136</v>
      </c>
      <c r="Q37" s="168">
        <v>-2678639</v>
      </c>
      <c r="R37" s="168">
        <v>-6227814</v>
      </c>
      <c r="S37" s="168">
        <v>-1398697</v>
      </c>
      <c r="T37" s="168">
        <v>-4560562</v>
      </c>
      <c r="U37" s="168">
        <v>-2446191</v>
      </c>
      <c r="V37" s="168">
        <v>-5323186</v>
      </c>
      <c r="W37" s="168">
        <v>-9112020</v>
      </c>
      <c r="X37" s="168">
        <v>-14650168</v>
      </c>
      <c r="Y37" s="168">
        <v>-10585289</v>
      </c>
      <c r="Z37" s="168">
        <v>-9118685</v>
      </c>
      <c r="AA37" s="168">
        <v>-12527674</v>
      </c>
      <c r="AB37" s="168">
        <v>-4864992</v>
      </c>
    </row>
    <row r="38" spans="1:28">
      <c r="A38" s="44" t="s">
        <v>114</v>
      </c>
      <c r="B38" s="57">
        <v>106773</v>
      </c>
      <c r="C38" s="57">
        <v>242377</v>
      </c>
      <c r="D38" s="57">
        <v>201704</v>
      </c>
      <c r="E38" s="57">
        <v>344438</v>
      </c>
      <c r="F38" s="57">
        <v>114570</v>
      </c>
      <c r="G38" s="57">
        <v>2069</v>
      </c>
      <c r="H38" s="57">
        <v>1208</v>
      </c>
      <c r="I38" s="57">
        <v>8085</v>
      </c>
      <c r="J38" s="57">
        <v>341445</v>
      </c>
      <c r="K38" s="57">
        <v>99725</v>
      </c>
      <c r="L38" s="57">
        <v>5756</v>
      </c>
      <c r="M38" s="57">
        <v>13811</v>
      </c>
      <c r="N38" s="57">
        <v>217237</v>
      </c>
      <c r="O38" s="57">
        <v>156710</v>
      </c>
      <c r="P38" s="57">
        <v>11106</v>
      </c>
      <c r="Q38" s="57">
        <v>1642228</v>
      </c>
      <c r="R38" s="57">
        <v>4166</v>
      </c>
      <c r="S38" s="57">
        <v>5313</v>
      </c>
      <c r="T38" s="57">
        <v>1213840</v>
      </c>
      <c r="U38" s="57">
        <v>99</v>
      </c>
      <c r="V38" s="57">
        <v>277</v>
      </c>
      <c r="W38" s="47" t="s">
        <v>37</v>
      </c>
      <c r="X38" s="47" t="s">
        <v>37</v>
      </c>
      <c r="Y38" s="47" t="s">
        <v>37</v>
      </c>
      <c r="Z38" s="47" t="s">
        <v>37</v>
      </c>
      <c r="AA38" s="47" t="s">
        <v>37</v>
      </c>
      <c r="AB38" s="47" t="s">
        <v>37</v>
      </c>
    </row>
    <row r="39" spans="1:28">
      <c r="A39" s="44" t="s">
        <v>115</v>
      </c>
      <c r="B39" s="47" t="s">
        <v>37</v>
      </c>
      <c r="C39" s="47" t="s">
        <v>37</v>
      </c>
      <c r="D39" s="47" t="s">
        <v>37</v>
      </c>
      <c r="E39" s="47" t="s">
        <v>37</v>
      </c>
      <c r="F39" s="47" t="s">
        <v>37</v>
      </c>
      <c r="G39" s="47" t="s">
        <v>37</v>
      </c>
      <c r="H39" s="57">
        <v>-50972</v>
      </c>
      <c r="I39" s="47" t="s">
        <v>37</v>
      </c>
      <c r="J39" s="47" t="s">
        <v>37</v>
      </c>
      <c r="K39" s="57">
        <v>-93954</v>
      </c>
      <c r="L39" s="57">
        <v>-40195</v>
      </c>
      <c r="M39" s="47" t="s">
        <v>37</v>
      </c>
      <c r="N39" s="47" t="s">
        <v>37</v>
      </c>
      <c r="O39" s="47" t="s">
        <v>37</v>
      </c>
      <c r="P39" s="47" t="s">
        <v>37</v>
      </c>
      <c r="Q39" s="47" t="s">
        <v>37</v>
      </c>
      <c r="R39" s="47" t="s">
        <v>37</v>
      </c>
      <c r="S39" s="47" t="s">
        <v>37</v>
      </c>
      <c r="T39" s="47" t="s">
        <v>37</v>
      </c>
      <c r="U39" s="47" t="s">
        <v>37</v>
      </c>
      <c r="V39" s="47" t="s">
        <v>37</v>
      </c>
      <c r="W39" s="57">
        <v>-346308</v>
      </c>
      <c r="X39" s="57">
        <v>-259566</v>
      </c>
      <c r="Y39" s="57">
        <v>-409791</v>
      </c>
      <c r="Z39" s="57">
        <v>-357019</v>
      </c>
      <c r="AA39" s="57">
        <v>-362728</v>
      </c>
      <c r="AB39" s="57">
        <v>-153443</v>
      </c>
    </row>
    <row r="40" spans="1:28">
      <c r="A40" s="44" t="s">
        <v>116</v>
      </c>
      <c r="B40" s="47" t="s">
        <v>37</v>
      </c>
      <c r="C40" s="47" t="s">
        <v>37</v>
      </c>
      <c r="D40" s="47" t="s">
        <v>37</v>
      </c>
      <c r="E40" s="47" t="s">
        <v>37</v>
      </c>
      <c r="F40" s="47" t="s">
        <v>37</v>
      </c>
      <c r="G40" s="47" t="s">
        <v>37</v>
      </c>
      <c r="H40" s="47" t="s">
        <v>37</v>
      </c>
      <c r="I40" s="47" t="s">
        <v>37</v>
      </c>
      <c r="J40" s="47" t="s">
        <v>37</v>
      </c>
      <c r="K40" s="47" t="s">
        <v>37</v>
      </c>
      <c r="L40" s="57">
        <v>-59681</v>
      </c>
      <c r="M40" s="57">
        <v>-579</v>
      </c>
      <c r="N40" s="57">
        <v>-393558</v>
      </c>
      <c r="O40" s="57">
        <v>-300468</v>
      </c>
      <c r="P40" s="57">
        <v>-1845</v>
      </c>
      <c r="Q40" s="57">
        <v>-87689</v>
      </c>
      <c r="R40" s="57">
        <v>-10994</v>
      </c>
      <c r="S40" s="47" t="s">
        <v>37</v>
      </c>
      <c r="T40" s="47" t="s">
        <v>37</v>
      </c>
      <c r="U40" s="47" t="s">
        <v>37</v>
      </c>
      <c r="V40" s="47" t="s">
        <v>37</v>
      </c>
      <c r="W40" s="47" t="s">
        <v>37</v>
      </c>
      <c r="X40" s="57">
        <v>-328</v>
      </c>
      <c r="Y40" s="57">
        <v>-328</v>
      </c>
      <c r="Z40" s="57">
        <v>-329</v>
      </c>
      <c r="AA40" s="57">
        <v>-328</v>
      </c>
      <c r="AB40" s="47" t="s">
        <v>37</v>
      </c>
    </row>
    <row r="41" spans="1:28">
      <c r="A41" s="44" t="s">
        <v>117</v>
      </c>
      <c r="B41" s="47" t="s">
        <v>37</v>
      </c>
      <c r="C41" s="47" t="s">
        <v>37</v>
      </c>
      <c r="D41" s="47" t="s">
        <v>37</v>
      </c>
      <c r="E41" s="47" t="s">
        <v>37</v>
      </c>
      <c r="F41" s="47" t="s">
        <v>37</v>
      </c>
      <c r="G41" s="47" t="s">
        <v>37</v>
      </c>
      <c r="H41" s="47" t="s">
        <v>37</v>
      </c>
      <c r="I41" s="47" t="s">
        <v>37</v>
      </c>
      <c r="J41" s="47" t="s">
        <v>37</v>
      </c>
      <c r="K41" s="47" t="s">
        <v>37</v>
      </c>
      <c r="L41" s="47" t="s">
        <v>37</v>
      </c>
      <c r="M41" s="47" t="s">
        <v>37</v>
      </c>
      <c r="N41" s="47" t="s">
        <v>37</v>
      </c>
      <c r="O41" s="57">
        <v>-804271</v>
      </c>
      <c r="P41" s="57">
        <v>-852446</v>
      </c>
      <c r="Q41" s="47" t="s">
        <v>37</v>
      </c>
      <c r="R41" s="57">
        <v>-763881</v>
      </c>
      <c r="S41" s="57">
        <v>-971844.34299999999</v>
      </c>
      <c r="T41" s="57">
        <v>-1244553</v>
      </c>
      <c r="U41" s="57">
        <v>-1446042</v>
      </c>
      <c r="V41" s="57">
        <v>-1603603</v>
      </c>
      <c r="W41" s="57">
        <v>-1879182</v>
      </c>
      <c r="X41" s="57">
        <v>-2037542</v>
      </c>
      <c r="Y41" s="47" t="s">
        <v>37</v>
      </c>
      <c r="Z41" s="47" t="s">
        <v>37</v>
      </c>
      <c r="AA41" s="47" t="s">
        <v>37</v>
      </c>
      <c r="AB41" s="57">
        <v>-646094</v>
      </c>
    </row>
    <row r="42" spans="1:28">
      <c r="A42" s="44" t="s">
        <v>118</v>
      </c>
      <c r="B42" s="47" t="s">
        <v>37</v>
      </c>
      <c r="C42" s="47" t="s">
        <v>37</v>
      </c>
      <c r="D42" s="47" t="s">
        <v>37</v>
      </c>
      <c r="E42" s="47" t="s">
        <v>37</v>
      </c>
      <c r="F42" s="47" t="s">
        <v>37</v>
      </c>
      <c r="G42" s="47" t="s">
        <v>37</v>
      </c>
      <c r="H42" s="47" t="s">
        <v>37</v>
      </c>
      <c r="I42" s="57">
        <v>-428968</v>
      </c>
      <c r="J42" s="57">
        <v>-457085</v>
      </c>
      <c r="K42" s="57">
        <v>-507569</v>
      </c>
      <c r="L42" s="57">
        <v>-572669</v>
      </c>
      <c r="M42" s="47" t="s">
        <v>37</v>
      </c>
      <c r="N42" s="57">
        <v>-749507</v>
      </c>
      <c r="O42" s="47" t="s">
        <v>37</v>
      </c>
      <c r="P42" s="47" t="s">
        <v>37</v>
      </c>
      <c r="Q42" s="47" t="s">
        <v>37</v>
      </c>
      <c r="R42" s="47" t="s">
        <v>37</v>
      </c>
      <c r="S42" s="47" t="s">
        <v>37</v>
      </c>
      <c r="T42" s="47" t="s">
        <v>37</v>
      </c>
      <c r="U42" s="47" t="s">
        <v>37</v>
      </c>
      <c r="V42" s="47" t="s">
        <v>37</v>
      </c>
      <c r="W42" s="47" t="s">
        <v>37</v>
      </c>
      <c r="X42" s="47" t="s">
        <v>37</v>
      </c>
      <c r="Y42" s="47" t="s">
        <v>37</v>
      </c>
      <c r="Z42" s="47" t="s">
        <v>37</v>
      </c>
      <c r="AA42" s="47" t="s">
        <v>37</v>
      </c>
      <c r="AB42" s="47" t="s">
        <v>37</v>
      </c>
    </row>
    <row r="43" spans="1:28">
      <c r="A43" s="44" t="s">
        <v>119</v>
      </c>
      <c r="B43" s="57">
        <v>-67279</v>
      </c>
      <c r="C43" s="57">
        <v>-104785</v>
      </c>
      <c r="D43" s="57">
        <v>-166640</v>
      </c>
      <c r="E43" s="57">
        <v>-227949</v>
      </c>
      <c r="F43" s="57">
        <v>-272797</v>
      </c>
      <c r="G43" s="57">
        <v>-385878</v>
      </c>
      <c r="H43" s="57">
        <v>-369979</v>
      </c>
      <c r="I43" s="47" t="s">
        <v>37</v>
      </c>
      <c r="J43" s="47" t="s">
        <v>37</v>
      </c>
      <c r="K43" s="47" t="s">
        <v>37</v>
      </c>
      <c r="L43" s="47" t="s">
        <v>37</v>
      </c>
      <c r="M43" s="57">
        <v>-690654</v>
      </c>
      <c r="N43" s="47" t="s">
        <v>37</v>
      </c>
      <c r="O43" s="47" t="s">
        <v>37</v>
      </c>
      <c r="P43" s="47" t="s">
        <v>37</v>
      </c>
      <c r="Q43" s="57">
        <v>-148507</v>
      </c>
      <c r="R43" s="47" t="s">
        <v>37</v>
      </c>
      <c r="S43" s="47" t="s">
        <v>37</v>
      </c>
      <c r="T43" s="47" t="s">
        <v>37</v>
      </c>
      <c r="U43" s="47" t="s">
        <v>37</v>
      </c>
      <c r="V43" s="47" t="s">
        <v>37</v>
      </c>
      <c r="W43" s="47" t="s">
        <v>37</v>
      </c>
      <c r="X43" s="47" t="s">
        <v>37</v>
      </c>
      <c r="Y43" s="57">
        <v>-2231259</v>
      </c>
      <c r="Z43" s="57">
        <v>-2449071</v>
      </c>
      <c r="AA43" s="57">
        <v>-2558944</v>
      </c>
      <c r="AB43" s="47" t="s">
        <v>37</v>
      </c>
    </row>
    <row r="44" spans="1:28">
      <c r="A44" s="38" t="s">
        <v>120</v>
      </c>
      <c r="B44" s="168">
        <v>-67279</v>
      </c>
      <c r="C44" s="168">
        <v>-104785</v>
      </c>
      <c r="D44" s="168">
        <v>-166640</v>
      </c>
      <c r="E44" s="168">
        <v>-227949</v>
      </c>
      <c r="F44" s="168">
        <v>-272797</v>
      </c>
      <c r="G44" s="168">
        <v>-385878</v>
      </c>
      <c r="H44" s="168">
        <v>-369979</v>
      </c>
      <c r="I44" s="168">
        <v>-428968</v>
      </c>
      <c r="J44" s="168">
        <v>-457085</v>
      </c>
      <c r="K44" s="168">
        <v>-507569</v>
      </c>
      <c r="L44" s="168">
        <v>-572669</v>
      </c>
      <c r="M44" s="168">
        <v>-690654</v>
      </c>
      <c r="N44" s="168">
        <v>-749507</v>
      </c>
      <c r="O44" s="168">
        <v>-804271</v>
      </c>
      <c r="P44" s="168">
        <v>-852446</v>
      </c>
      <c r="Q44" s="168">
        <v>-148507</v>
      </c>
      <c r="R44" s="168">
        <v>-763881</v>
      </c>
      <c r="S44" s="168">
        <v>-971844.34299999999</v>
      </c>
      <c r="T44" s="168">
        <v>-1244553</v>
      </c>
      <c r="U44" s="168">
        <v>-1446042</v>
      </c>
      <c r="V44" s="168">
        <v>-1603603</v>
      </c>
      <c r="W44" s="168">
        <v>-1879182</v>
      </c>
      <c r="X44" s="168">
        <v>-2037542</v>
      </c>
      <c r="Y44" s="168">
        <v>-2231259</v>
      </c>
      <c r="Z44" s="168">
        <v>-2449071</v>
      </c>
      <c r="AA44" s="168">
        <v>-2558944</v>
      </c>
      <c r="AB44" s="168">
        <v>-646094</v>
      </c>
    </row>
    <row r="45" spans="1:28">
      <c r="A45" s="44" t="s">
        <v>121</v>
      </c>
      <c r="B45" s="47" t="s">
        <v>37</v>
      </c>
      <c r="C45" s="47" t="s">
        <v>37</v>
      </c>
      <c r="D45" s="47" t="s">
        <v>37</v>
      </c>
      <c r="E45" s="47" t="s">
        <v>37</v>
      </c>
      <c r="F45" s="47" t="s">
        <v>37</v>
      </c>
      <c r="G45" s="47" t="s">
        <v>37</v>
      </c>
      <c r="H45" s="47" t="s">
        <v>37</v>
      </c>
      <c r="I45" s="47" t="s">
        <v>37</v>
      </c>
      <c r="J45" s="47" t="s">
        <v>37</v>
      </c>
      <c r="K45" s="47" t="s">
        <v>37</v>
      </c>
      <c r="L45" s="47" t="s">
        <v>37</v>
      </c>
      <c r="M45" s="47" t="s">
        <v>37</v>
      </c>
      <c r="N45" s="47" t="s">
        <v>37</v>
      </c>
      <c r="O45" s="47" t="s">
        <v>37</v>
      </c>
      <c r="P45" s="47" t="s">
        <v>37</v>
      </c>
      <c r="Q45" s="47" t="s">
        <v>37</v>
      </c>
      <c r="R45" s="47" t="s">
        <v>37</v>
      </c>
      <c r="S45" s="57">
        <v>-58899.656999999999</v>
      </c>
      <c r="T45" s="47" t="s">
        <v>37</v>
      </c>
      <c r="U45" s="47" t="s">
        <v>37</v>
      </c>
      <c r="V45" s="47" t="s">
        <v>37</v>
      </c>
      <c r="W45" s="47" t="s">
        <v>37</v>
      </c>
      <c r="X45" s="47" t="s">
        <v>37</v>
      </c>
      <c r="Y45" s="47" t="s">
        <v>37</v>
      </c>
      <c r="Z45" s="47" t="s">
        <v>37</v>
      </c>
      <c r="AA45" s="47" t="s">
        <v>37</v>
      </c>
      <c r="AB45" s="47" t="s">
        <v>37</v>
      </c>
    </row>
    <row r="46" spans="1:28">
      <c r="A46" s="44" t="s">
        <v>122</v>
      </c>
      <c r="B46" s="57">
        <v>-55580</v>
      </c>
      <c r="C46" s="57">
        <v>-76621</v>
      </c>
      <c r="D46" s="57">
        <v>-95878</v>
      </c>
      <c r="E46" s="57">
        <v>-143661</v>
      </c>
      <c r="F46" s="57">
        <v>-164061</v>
      </c>
      <c r="G46" s="57">
        <v>-176114</v>
      </c>
      <c r="H46" s="57">
        <v>-172456</v>
      </c>
      <c r="I46" s="57">
        <v>-158149</v>
      </c>
      <c r="J46" s="57">
        <v>-149350</v>
      </c>
      <c r="K46" s="57">
        <v>-159536</v>
      </c>
      <c r="L46" s="57">
        <v>-172565</v>
      </c>
      <c r="M46" s="57">
        <v>-388534</v>
      </c>
      <c r="N46" s="57">
        <v>-255979</v>
      </c>
      <c r="O46" s="57">
        <v>-388525</v>
      </c>
      <c r="P46" s="57">
        <v>-263704</v>
      </c>
      <c r="Q46" s="57">
        <v>-65454</v>
      </c>
      <c r="R46" s="57">
        <v>-529807</v>
      </c>
      <c r="S46" s="57">
        <v>-240988</v>
      </c>
      <c r="T46" s="57">
        <v>-727701</v>
      </c>
      <c r="U46" s="57">
        <v>-247793</v>
      </c>
      <c r="V46" s="57">
        <v>-641512</v>
      </c>
      <c r="W46" s="57">
        <v>-604270</v>
      </c>
      <c r="X46" s="57">
        <v>-463344</v>
      </c>
      <c r="Y46" s="57">
        <v>-351430</v>
      </c>
      <c r="Z46" s="57">
        <v>-530879</v>
      </c>
      <c r="AA46" s="57">
        <v>-438713</v>
      </c>
      <c r="AB46" s="57">
        <v>-119391</v>
      </c>
    </row>
    <row r="47" spans="1:28">
      <c r="A47" s="38" t="s">
        <v>123</v>
      </c>
      <c r="B47" s="168">
        <v>133263</v>
      </c>
      <c r="C47" s="168">
        <v>-14075</v>
      </c>
      <c r="D47" s="168">
        <v>-35134</v>
      </c>
      <c r="E47" s="168">
        <v>918287</v>
      </c>
      <c r="F47" s="168">
        <v>1592113</v>
      </c>
      <c r="G47" s="168">
        <v>14257</v>
      </c>
      <c r="H47" s="168">
        <v>-543803</v>
      </c>
      <c r="I47" s="168">
        <v>-471103</v>
      </c>
      <c r="J47" s="168">
        <v>40109</v>
      </c>
      <c r="K47" s="168">
        <v>-51810</v>
      </c>
      <c r="L47" s="168">
        <v>1649626</v>
      </c>
      <c r="M47" s="168">
        <v>-1300973</v>
      </c>
      <c r="N47" s="168">
        <v>-116404</v>
      </c>
      <c r="O47" s="168">
        <v>62766</v>
      </c>
      <c r="P47" s="168">
        <v>-342050</v>
      </c>
      <c r="Q47" s="168">
        <v>1882645</v>
      </c>
      <c r="R47" s="168">
        <v>-3669515</v>
      </c>
      <c r="S47" s="168">
        <v>-1009913</v>
      </c>
      <c r="T47" s="168">
        <v>1453467</v>
      </c>
      <c r="U47" s="168">
        <v>-1220563</v>
      </c>
      <c r="V47" s="168">
        <v>-2937735</v>
      </c>
      <c r="W47" s="168">
        <v>-1473113</v>
      </c>
      <c r="X47" s="168">
        <v>-2544743</v>
      </c>
      <c r="Y47" s="168">
        <v>-1910071</v>
      </c>
      <c r="Z47" s="168">
        <v>-4482264</v>
      </c>
      <c r="AA47" s="168">
        <v>-2576086</v>
      </c>
      <c r="AB47" s="168">
        <v>2170973</v>
      </c>
    </row>
    <row r="48" spans="1:28">
      <c r="A48" s="38" t="s">
        <v>124</v>
      </c>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row>
    <row r="49" spans="1:28">
      <c r="A49" s="38" t="s">
        <v>125</v>
      </c>
      <c r="B49" s="168">
        <v>-5486</v>
      </c>
      <c r="C49" s="168">
        <v>-42418</v>
      </c>
      <c r="D49" s="168">
        <v>1588</v>
      </c>
      <c r="E49" s="168">
        <v>45390</v>
      </c>
      <c r="F49" s="168">
        <v>19496</v>
      </c>
      <c r="G49" s="168">
        <v>28437</v>
      </c>
      <c r="H49" s="168">
        <v>65479</v>
      </c>
      <c r="I49" s="168">
        <v>36649</v>
      </c>
      <c r="J49" s="168">
        <v>137369</v>
      </c>
      <c r="K49" s="168">
        <v>138494</v>
      </c>
      <c r="L49" s="168">
        <v>-15539</v>
      </c>
      <c r="M49" s="168">
        <v>-183036</v>
      </c>
      <c r="N49" s="168">
        <v>592312</v>
      </c>
      <c r="O49" s="168">
        <v>-427378</v>
      </c>
      <c r="P49" s="168">
        <v>271562</v>
      </c>
      <c r="Q49" s="168">
        <v>3184174</v>
      </c>
      <c r="R49" s="168">
        <v>-3161000</v>
      </c>
      <c r="S49" s="168">
        <v>1932</v>
      </c>
      <c r="T49" s="168">
        <v>385868</v>
      </c>
      <c r="U49" s="168">
        <v>532345</v>
      </c>
      <c r="V49" s="168">
        <v>-1104581</v>
      </c>
      <c r="W49" s="168">
        <v>88852</v>
      </c>
      <c r="X49" s="168">
        <v>-141075</v>
      </c>
      <c r="Y49" s="168">
        <v>922250</v>
      </c>
      <c r="Z49" s="168">
        <v>-967974</v>
      </c>
      <c r="AA49" s="168">
        <v>155038</v>
      </c>
      <c r="AB49" s="168">
        <v>2636727</v>
      </c>
    </row>
    <row r="50" spans="1:28">
      <c r="A50" s="38" t="s">
        <v>126</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row>
    <row r="51" spans="1:28">
      <c r="A51" s="44" t="s">
        <v>127</v>
      </c>
      <c r="B51" s="57">
        <v>140106</v>
      </c>
      <c r="C51" s="57">
        <v>142345</v>
      </c>
      <c r="D51" s="57">
        <v>191965</v>
      </c>
      <c r="E51" s="57">
        <v>270912</v>
      </c>
      <c r="F51" s="57">
        <v>397560</v>
      </c>
      <c r="G51" s="57">
        <v>566191</v>
      </c>
      <c r="H51" s="57">
        <v>646200</v>
      </c>
      <c r="I51" s="57">
        <v>588889</v>
      </c>
      <c r="J51" s="57">
        <v>591328</v>
      </c>
      <c r="K51" s="57">
        <v>596274</v>
      </c>
      <c r="L51" s="57">
        <v>648984</v>
      </c>
      <c r="M51" s="57">
        <v>822906</v>
      </c>
      <c r="N51" s="57">
        <v>845964</v>
      </c>
      <c r="O51" s="57">
        <v>983219</v>
      </c>
      <c r="P51" s="57">
        <v>1001718</v>
      </c>
      <c r="Q51" s="57">
        <v>994688</v>
      </c>
      <c r="R51" s="57">
        <v>1015989</v>
      </c>
      <c r="S51" s="57">
        <v>979436</v>
      </c>
      <c r="T51" s="57">
        <v>1063470</v>
      </c>
      <c r="U51" s="57">
        <v>1086128</v>
      </c>
      <c r="V51" s="57">
        <v>1018911</v>
      </c>
      <c r="W51" s="57">
        <v>943683</v>
      </c>
      <c r="X51" s="57">
        <v>887118</v>
      </c>
      <c r="Y51" s="57">
        <v>814729</v>
      </c>
      <c r="Z51" s="57">
        <v>811971</v>
      </c>
      <c r="AA51" s="57">
        <v>803728</v>
      </c>
      <c r="AB51" s="47" t="s">
        <v>37</v>
      </c>
    </row>
    <row r="52" spans="1:28">
      <c r="A52" s="44" t="s">
        <v>128</v>
      </c>
      <c r="B52" s="47" t="s">
        <v>37</v>
      </c>
      <c r="C52" s="57">
        <v>57250.875</v>
      </c>
      <c r="D52" s="57">
        <v>9773.375</v>
      </c>
      <c r="E52" s="57">
        <v>68935.375</v>
      </c>
      <c r="F52" s="57">
        <v>198555.75</v>
      </c>
      <c r="G52" s="57">
        <v>-7879</v>
      </c>
      <c r="H52" s="57">
        <v>185233.375</v>
      </c>
      <c r="I52" s="57">
        <v>521853.5</v>
      </c>
      <c r="J52" s="57">
        <v>555193.125</v>
      </c>
      <c r="K52" s="57">
        <v>176920.5</v>
      </c>
      <c r="L52" s="57">
        <v>229770.625</v>
      </c>
      <c r="M52" s="57">
        <v>987664.875</v>
      </c>
      <c r="N52" s="57">
        <v>146321.875</v>
      </c>
      <c r="O52" s="57">
        <v>23861.5</v>
      </c>
      <c r="P52" s="57">
        <v>418629.125</v>
      </c>
      <c r="Q52" s="57">
        <v>970334.125</v>
      </c>
      <c r="R52" s="57">
        <v>1368945.125</v>
      </c>
      <c r="S52" s="57">
        <v>1506916.5</v>
      </c>
      <c r="T52" s="57">
        <v>1858864.75</v>
      </c>
      <c r="U52" s="57">
        <v>-453042.5</v>
      </c>
      <c r="V52" s="57">
        <v>3508904.125</v>
      </c>
      <c r="W52" s="57">
        <v>1527721.5</v>
      </c>
      <c r="X52" s="57">
        <v>1538237.25</v>
      </c>
      <c r="Y52" s="57">
        <v>1807564.875</v>
      </c>
      <c r="Z52" s="57">
        <v>2296260</v>
      </c>
      <c r="AA52" s="57">
        <v>1918494.75</v>
      </c>
      <c r="AB52" s="57">
        <v>750933.125</v>
      </c>
    </row>
    <row r="53" spans="1:28">
      <c r="A53" s="44" t="s">
        <v>129</v>
      </c>
      <c r="B53" s="47" t="s">
        <v>37</v>
      </c>
      <c r="C53" s="57">
        <v>151140.875</v>
      </c>
      <c r="D53" s="57">
        <v>136137.125</v>
      </c>
      <c r="E53" s="57">
        <v>248824.75</v>
      </c>
      <c r="F53" s="57">
        <v>465889.5</v>
      </c>
      <c r="G53" s="57">
        <v>374524.125</v>
      </c>
      <c r="H53" s="57">
        <v>607908.375</v>
      </c>
      <c r="I53" s="57">
        <v>917922.25</v>
      </c>
      <c r="J53" s="57">
        <v>936248.125</v>
      </c>
      <c r="K53" s="57">
        <v>556300.5</v>
      </c>
      <c r="L53" s="57">
        <v>651656.875</v>
      </c>
      <c r="M53" s="57">
        <v>1504647.375</v>
      </c>
      <c r="N53" s="57">
        <v>659983.125</v>
      </c>
      <c r="O53" s="57">
        <v>615019</v>
      </c>
      <c r="P53" s="57">
        <v>1010591.625</v>
      </c>
      <c r="Q53" s="57">
        <v>1590374.75</v>
      </c>
      <c r="R53" s="57">
        <v>2010877</v>
      </c>
      <c r="S53" s="57">
        <v>2121620.25</v>
      </c>
      <c r="T53" s="57">
        <v>2526477.875</v>
      </c>
      <c r="U53" s="57">
        <v>223258.125</v>
      </c>
      <c r="V53" s="57">
        <v>4129279.75</v>
      </c>
      <c r="W53" s="57">
        <v>2105032.125</v>
      </c>
      <c r="X53" s="57">
        <v>2074208.5</v>
      </c>
      <c r="Y53" s="57">
        <v>2313435.5</v>
      </c>
      <c r="Z53" s="57">
        <v>2806211.875</v>
      </c>
      <c r="AA53" s="57">
        <v>2411840.375</v>
      </c>
      <c r="AB53" s="57">
        <v>991363.125</v>
      </c>
    </row>
    <row r="54" spans="1:28">
      <c r="A54" s="44" t="s">
        <v>130</v>
      </c>
      <c r="B54" s="47" t="s">
        <v>37</v>
      </c>
      <c r="C54" s="57">
        <v>9738</v>
      </c>
      <c r="D54" s="57">
        <v>29295</v>
      </c>
      <c r="E54" s="57">
        <v>-35335</v>
      </c>
      <c r="F54" s="57">
        <v>-135403</v>
      </c>
      <c r="G54" s="57">
        <v>48822</v>
      </c>
      <c r="H54" s="57">
        <v>32036</v>
      </c>
      <c r="I54" s="57">
        <v>-144427</v>
      </c>
      <c r="J54" s="57">
        <v>-78002</v>
      </c>
      <c r="K54" s="57">
        <v>219889</v>
      </c>
      <c r="L54" s="57">
        <v>90950</v>
      </c>
      <c r="M54" s="57">
        <v>-644856</v>
      </c>
      <c r="N54" s="57">
        <v>232987</v>
      </c>
      <c r="O54" s="57">
        <v>228342</v>
      </c>
      <c r="P54" s="57">
        <v>75300</v>
      </c>
      <c r="Q54" s="57">
        <v>71799</v>
      </c>
      <c r="R54" s="57">
        <v>-94782</v>
      </c>
      <c r="S54" s="57">
        <v>-214006</v>
      </c>
      <c r="T54" s="57">
        <v>-745324</v>
      </c>
      <c r="U54" s="57">
        <v>1675501</v>
      </c>
      <c r="V54" s="57">
        <v>-2109493</v>
      </c>
      <c r="W54" s="57">
        <v>-186834</v>
      </c>
      <c r="X54" s="57">
        <v>227380</v>
      </c>
      <c r="Y54" s="57">
        <v>86278</v>
      </c>
      <c r="Z54" s="57">
        <v>-391288</v>
      </c>
      <c r="AA54" s="57">
        <v>-93415</v>
      </c>
      <c r="AB54" s="57">
        <v>51144</v>
      </c>
    </row>
    <row r="55" spans="1:28">
      <c r="A55" s="44" t="s">
        <v>131</v>
      </c>
      <c r="B55" s="57">
        <v>149349</v>
      </c>
      <c r="C55" s="57">
        <v>-75046</v>
      </c>
      <c r="D55" s="57">
        <v>25680</v>
      </c>
      <c r="E55" s="57">
        <v>945459</v>
      </c>
      <c r="F55" s="57">
        <v>1914401</v>
      </c>
      <c r="G55" s="57">
        <v>574180</v>
      </c>
      <c r="H55" s="57">
        <v>48396</v>
      </c>
      <c r="I55" s="57">
        <v>107929</v>
      </c>
      <c r="J55" s="57">
        <v>305099</v>
      </c>
      <c r="K55" s="57">
        <v>609524</v>
      </c>
      <c r="L55" s="57">
        <v>2488980</v>
      </c>
      <c r="M55" s="57">
        <v>-235017</v>
      </c>
      <c r="N55" s="57">
        <v>1065403</v>
      </c>
      <c r="O55" s="57">
        <v>1399320</v>
      </c>
      <c r="P55" s="57">
        <v>764839</v>
      </c>
      <c r="Q55" s="57">
        <v>542067</v>
      </c>
      <c r="R55" s="57">
        <v>-2368999</v>
      </c>
      <c r="S55" s="57">
        <v>256506</v>
      </c>
      <c r="T55" s="57">
        <v>2211881</v>
      </c>
      <c r="U55" s="57">
        <v>473173</v>
      </c>
      <c r="V55" s="57">
        <v>-692897</v>
      </c>
      <c r="W55" s="57">
        <v>1356647</v>
      </c>
      <c r="X55" s="57">
        <v>216037</v>
      </c>
      <c r="Y55" s="57">
        <v>1082737</v>
      </c>
      <c r="Z55" s="57">
        <v>-1144966</v>
      </c>
      <c r="AA55" s="57">
        <v>784627</v>
      </c>
      <c r="AB55" s="57">
        <v>3089901</v>
      </c>
    </row>
    <row r="56" spans="1:28">
      <c r="A56" s="44" t="s">
        <v>132</v>
      </c>
      <c r="B56" s="47" t="s">
        <v>37</v>
      </c>
      <c r="C56" s="47" t="s">
        <v>37</v>
      </c>
      <c r="D56" s="47" t="s">
        <v>37</v>
      </c>
      <c r="E56" s="47" t="s">
        <v>37</v>
      </c>
      <c r="F56" s="47" t="s">
        <v>37</v>
      </c>
      <c r="G56" s="47" t="s">
        <v>37</v>
      </c>
      <c r="H56" s="47" t="s">
        <v>37</v>
      </c>
      <c r="I56" s="47" t="s">
        <v>37</v>
      </c>
      <c r="J56" s="47" t="s">
        <v>37</v>
      </c>
      <c r="K56" s="47" t="s">
        <v>37</v>
      </c>
      <c r="L56" s="47" t="s">
        <v>37</v>
      </c>
      <c r="M56" s="47" t="s">
        <v>37</v>
      </c>
      <c r="N56" s="47" t="s">
        <v>37</v>
      </c>
      <c r="O56" s="57">
        <v>56374</v>
      </c>
      <c r="P56" s="47" t="s">
        <v>37</v>
      </c>
      <c r="Q56" s="47" t="s">
        <v>37</v>
      </c>
      <c r="R56" s="47" t="s">
        <v>37</v>
      </c>
      <c r="S56" s="47" t="s">
        <v>37</v>
      </c>
      <c r="T56" s="47" t="s">
        <v>37</v>
      </c>
      <c r="U56" s="47" t="s">
        <v>37</v>
      </c>
      <c r="V56" s="47" t="s">
        <v>37</v>
      </c>
      <c r="W56" s="47" t="s">
        <v>37</v>
      </c>
      <c r="X56" s="47" t="s">
        <v>37</v>
      </c>
      <c r="Y56" s="47" t="s">
        <v>37</v>
      </c>
      <c r="Z56" s="47" t="s">
        <v>37</v>
      </c>
      <c r="AA56" s="47" t="s">
        <v>37</v>
      </c>
      <c r="AB56" s="47" t="s">
        <v>37</v>
      </c>
    </row>
    <row r="57" spans="1:28">
      <c r="A57" s="44" t="s">
        <v>133</v>
      </c>
      <c r="B57" s="47" t="s">
        <v>134</v>
      </c>
      <c r="C57" s="47" t="s">
        <v>135</v>
      </c>
      <c r="D57" s="47" t="s">
        <v>136</v>
      </c>
      <c r="E57" s="47" t="s">
        <v>136</v>
      </c>
      <c r="F57" s="47" t="s">
        <v>136</v>
      </c>
      <c r="G57" s="47" t="s">
        <v>136</v>
      </c>
      <c r="H57" s="47" t="s">
        <v>134</v>
      </c>
      <c r="I57" s="47" t="s">
        <v>134</v>
      </c>
      <c r="J57" s="47" t="s">
        <v>136</v>
      </c>
      <c r="K57" s="47" t="s">
        <v>136</v>
      </c>
      <c r="L57" s="47" t="s">
        <v>134</v>
      </c>
      <c r="M57" s="47" t="s">
        <v>134</v>
      </c>
      <c r="N57" s="47" t="s">
        <v>137</v>
      </c>
      <c r="O57" s="47" t="s">
        <v>134</v>
      </c>
      <c r="P57" s="47" t="s">
        <v>134</v>
      </c>
      <c r="Q57" s="47" t="s">
        <v>136</v>
      </c>
      <c r="R57" s="47" t="s">
        <v>136</v>
      </c>
      <c r="S57" s="47" t="s">
        <v>136</v>
      </c>
      <c r="T57" s="47" t="s">
        <v>136</v>
      </c>
      <c r="U57" s="47" t="s">
        <v>138</v>
      </c>
      <c r="V57" s="47" t="s">
        <v>136</v>
      </c>
      <c r="W57" s="47" t="s">
        <v>136</v>
      </c>
      <c r="X57" s="47" t="s">
        <v>136</v>
      </c>
      <c r="Y57" s="47" t="s">
        <v>136</v>
      </c>
      <c r="Z57" s="47" t="s">
        <v>136</v>
      </c>
      <c r="AA57" s="47" t="s">
        <v>139</v>
      </c>
      <c r="AB57" s="47" t="s">
        <v>139</v>
      </c>
    </row>
    <row r="58" spans="1:28">
      <c r="A58" s="44" t="s">
        <v>140</v>
      </c>
      <c r="B58" s="47" t="s">
        <v>141</v>
      </c>
      <c r="C58" s="47" t="s">
        <v>141</v>
      </c>
      <c r="D58" s="47" t="s">
        <v>141</v>
      </c>
      <c r="E58" s="47" t="s">
        <v>141</v>
      </c>
      <c r="F58" s="47" t="s">
        <v>141</v>
      </c>
      <c r="G58" s="47" t="s">
        <v>141</v>
      </c>
      <c r="H58" s="47" t="s">
        <v>141</v>
      </c>
      <c r="I58" s="47" t="s">
        <v>141</v>
      </c>
      <c r="J58" s="47" t="s">
        <v>141</v>
      </c>
      <c r="K58" s="47" t="s">
        <v>141</v>
      </c>
      <c r="L58" s="47" t="s">
        <v>141</v>
      </c>
      <c r="M58" s="47" t="s">
        <v>141</v>
      </c>
      <c r="N58" s="47" t="s">
        <v>141</v>
      </c>
      <c r="O58" s="47" t="s">
        <v>141</v>
      </c>
      <c r="P58" s="47" t="s">
        <v>141</v>
      </c>
      <c r="Q58" s="47" t="s">
        <v>141</v>
      </c>
      <c r="R58" s="47" t="s">
        <v>141</v>
      </c>
      <c r="S58" s="47" t="s">
        <v>141</v>
      </c>
      <c r="T58" s="47" t="s">
        <v>141</v>
      </c>
      <c r="U58" s="47" t="s">
        <v>141</v>
      </c>
      <c r="V58" s="47" t="s">
        <v>141</v>
      </c>
      <c r="W58" s="47" t="s">
        <v>141</v>
      </c>
      <c r="X58" s="47" t="s">
        <v>141</v>
      </c>
      <c r="Y58" s="47" t="s">
        <v>141</v>
      </c>
      <c r="Z58" s="47" t="s">
        <v>141</v>
      </c>
      <c r="AA58" s="47" t="s">
        <v>141</v>
      </c>
      <c r="AB58" s="47" t="s">
        <v>141</v>
      </c>
    </row>
    <row r="60" spans="1:28">
      <c r="A60" s="532"/>
      <c r="B60" s="533"/>
      <c r="C60" s="533"/>
      <c r="D60" s="533"/>
    </row>
    <row r="61" spans="1:28" ht="30" customHeight="1">
      <c r="A61" s="533" t="s">
        <v>867</v>
      </c>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row>
    <row r="62" spans="1:28">
      <c r="A62" s="44" t="s">
        <v>230</v>
      </c>
    </row>
    <row r="64" spans="1:28">
      <c r="A64" s="44" t="s">
        <v>868</v>
      </c>
      <c r="B64" s="329"/>
    </row>
    <row r="65" spans="1:28">
      <c r="A65" s="44" t="s">
        <v>232</v>
      </c>
      <c r="B65" s="329"/>
    </row>
    <row r="66" spans="1:28">
      <c r="A66" s="44" t="s">
        <v>233</v>
      </c>
      <c r="B66" s="329"/>
    </row>
    <row r="67" spans="1:28">
      <c r="A67" s="44" t="s">
        <v>234</v>
      </c>
      <c r="B67" s="329"/>
    </row>
    <row r="68" spans="1:28">
      <c r="A68" s="44" t="s">
        <v>235</v>
      </c>
      <c r="B68" s="329"/>
    </row>
    <row r="69" spans="1:28">
      <c r="A69" s="534"/>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row>
  </sheetData>
  <mergeCells count="3">
    <mergeCell ref="A60:D60"/>
    <mergeCell ref="A61:AB61"/>
    <mergeCell ref="A69:AB69"/>
  </mergeCells>
  <phoneticPr fontId="45"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3CF-A7C2-462C-ACAD-940E5A753B40}">
  <sheetPr>
    <tabColor rgb="FFFFFFFF"/>
  </sheetPr>
  <dimension ref="B1:Z152"/>
  <sheetViews>
    <sheetView zoomScaleNormal="100" workbookViewId="0">
      <pane xSplit="6" ySplit="5" topLeftCell="G6" activePane="bottomRight" state="frozen"/>
      <selection pane="topRight" activeCell="G1" sqref="G1"/>
      <selection pane="bottomLeft" activeCell="A6" sqref="A6"/>
      <selection pane="bottomRight" activeCell="J42" sqref="J42"/>
    </sheetView>
  </sheetViews>
  <sheetFormatPr defaultColWidth="9.08203125" defaultRowHeight="14" outlineLevelRow="1" outlineLevelCol="1"/>
  <cols>
    <col min="1" max="1" width="1.58203125" style="61" customWidth="1"/>
    <col min="2" max="2" width="35.5" style="61" customWidth="1"/>
    <col min="3" max="3" width="12.08203125" style="62" hidden="1" customWidth="1" outlineLevel="1"/>
    <col min="4" max="4" width="9.83203125" style="62" hidden="1" customWidth="1" outlineLevel="1"/>
    <col min="5" max="6" width="9.08203125" style="62" hidden="1" customWidth="1" outlineLevel="1"/>
    <col min="7" max="7" width="12.08203125" style="62" bestFit="1" customWidth="1" collapsed="1"/>
    <col min="8" max="8" width="11.08203125" style="63" bestFit="1" customWidth="1"/>
    <col min="9" max="9" width="9.58203125" style="63" customWidth="1"/>
    <col min="10" max="10" width="12" style="63" customWidth="1"/>
    <col min="11" max="12" width="10.83203125" style="63" customWidth="1"/>
    <col min="13" max="13" width="11.58203125" style="63" customWidth="1"/>
    <col min="14" max="14" width="11.33203125" style="63" customWidth="1"/>
    <col min="15" max="15" width="5.58203125" style="61" customWidth="1"/>
    <col min="16" max="16" width="26.5" style="61" customWidth="1" outlineLevel="1"/>
    <col min="17" max="19" width="9" style="61" outlineLevel="1"/>
    <col min="20" max="22" width="11.08203125" style="61" bestFit="1" customWidth="1" outlineLevel="1"/>
    <col min="23" max="24" width="9" style="61" outlineLevel="1"/>
    <col min="25" max="25" width="1.58203125" style="61" customWidth="1"/>
    <col min="26" max="16384" width="9.08203125" style="61"/>
  </cols>
  <sheetData>
    <row r="1" spans="2:26" ht="7.5" customHeight="1"/>
    <row r="2" spans="2:26" s="64" customFormat="1" ht="17.5">
      <c r="B2" s="64" t="s">
        <v>269</v>
      </c>
      <c r="C2" s="65"/>
      <c r="D2" s="65"/>
      <c r="E2" s="65"/>
      <c r="F2" s="65"/>
      <c r="G2" s="65"/>
      <c r="H2" s="66"/>
      <c r="I2" s="66"/>
      <c r="J2" s="66"/>
      <c r="K2" s="66"/>
      <c r="L2" s="66"/>
      <c r="M2" s="66"/>
      <c r="N2" s="67"/>
    </row>
    <row r="3" spans="2:26" ht="15.5">
      <c r="B3" s="68" t="s">
        <v>270</v>
      </c>
      <c r="C3" s="69">
        <v>2013</v>
      </c>
      <c r="D3" s="69">
        <v>2014</v>
      </c>
      <c r="E3" s="69">
        <v>2015</v>
      </c>
      <c r="F3" s="69">
        <v>2016</v>
      </c>
      <c r="G3" s="69">
        <v>2017</v>
      </c>
      <c r="H3" s="69">
        <v>2018</v>
      </c>
      <c r="I3" s="69">
        <v>2019</v>
      </c>
      <c r="J3" s="70">
        <v>2020</v>
      </c>
      <c r="K3" s="70">
        <v>2021</v>
      </c>
      <c r="L3" s="70">
        <v>2022</v>
      </c>
      <c r="M3" s="135" t="s">
        <v>869</v>
      </c>
      <c r="N3" s="135" t="s">
        <v>271</v>
      </c>
      <c r="P3" s="71"/>
      <c r="Q3" s="69">
        <f t="shared" ref="Q3:X4" si="0">G3</f>
        <v>2017</v>
      </c>
      <c r="R3" s="69">
        <f t="shared" si="0"/>
        <v>2018</v>
      </c>
      <c r="S3" s="69">
        <f t="shared" si="0"/>
        <v>2019</v>
      </c>
      <c r="T3" s="70">
        <f t="shared" si="0"/>
        <v>2020</v>
      </c>
      <c r="U3" s="70">
        <f t="shared" si="0"/>
        <v>2021</v>
      </c>
      <c r="V3" s="70">
        <f t="shared" si="0"/>
        <v>2022</v>
      </c>
      <c r="W3" s="70" t="str">
        <f t="shared" si="0"/>
        <v>CQ + 3</v>
      </c>
      <c r="X3" s="70" t="str">
        <f t="shared" si="0"/>
        <v>CQ + 4</v>
      </c>
    </row>
    <row r="4" spans="2:26" ht="15.5">
      <c r="B4" s="72" t="s">
        <v>272</v>
      </c>
      <c r="C4" s="69" t="s">
        <v>273</v>
      </c>
      <c r="D4" s="69" t="s">
        <v>273</v>
      </c>
      <c r="E4" s="69" t="s">
        <v>273</v>
      </c>
      <c r="F4" s="69" t="s">
        <v>273</v>
      </c>
      <c r="G4" s="69" t="s">
        <v>273</v>
      </c>
      <c r="H4" s="69" t="s">
        <v>273</v>
      </c>
      <c r="I4" s="69" t="s">
        <v>273</v>
      </c>
      <c r="J4" s="70" t="s">
        <v>274</v>
      </c>
      <c r="K4" s="70" t="s">
        <v>274</v>
      </c>
      <c r="L4" s="70" t="s">
        <v>274</v>
      </c>
      <c r="M4" s="135" t="s">
        <v>274</v>
      </c>
      <c r="N4" s="135" t="s">
        <v>274</v>
      </c>
      <c r="P4" s="73"/>
      <c r="Q4" s="69" t="str">
        <f t="shared" si="0"/>
        <v>Actual</v>
      </c>
      <c r="R4" s="69" t="str">
        <f t="shared" si="0"/>
        <v>Actual</v>
      </c>
      <c r="S4" s="69" t="str">
        <f t="shared" si="0"/>
        <v>Actual</v>
      </c>
      <c r="T4" s="70" t="str">
        <f t="shared" si="0"/>
        <v>Forecast</v>
      </c>
      <c r="U4" s="70" t="str">
        <f t="shared" si="0"/>
        <v>Forecast</v>
      </c>
      <c r="V4" s="70" t="str">
        <f t="shared" si="0"/>
        <v>Forecast</v>
      </c>
      <c r="W4" s="70" t="str">
        <f t="shared" si="0"/>
        <v>Forecast</v>
      </c>
      <c r="X4" s="70" t="str">
        <f t="shared" si="0"/>
        <v>Forecast</v>
      </c>
      <c r="Y4" s="74"/>
    </row>
    <row r="5" spans="2:26" ht="7.5" customHeight="1">
      <c r="B5" s="75"/>
      <c r="C5" s="75"/>
      <c r="D5" s="75"/>
      <c r="E5" s="75"/>
      <c r="F5" s="75"/>
      <c r="G5" s="75"/>
      <c r="H5" s="75"/>
      <c r="I5" s="75"/>
      <c r="J5" s="75"/>
      <c r="K5" s="75"/>
      <c r="L5" s="75"/>
      <c r="M5" s="75"/>
      <c r="N5" s="75"/>
      <c r="O5" s="75"/>
    </row>
    <row r="6" spans="2:26" s="79" customFormat="1" ht="20">
      <c r="B6" s="76" t="s">
        <v>275</v>
      </c>
      <c r="C6" s="77"/>
      <c r="D6" s="77"/>
      <c r="E6" s="77"/>
      <c r="F6" s="77"/>
      <c r="G6" s="77"/>
      <c r="H6" s="77"/>
      <c r="I6" s="78"/>
      <c r="J6" s="78"/>
      <c r="K6" s="78"/>
      <c r="L6" s="77"/>
      <c r="M6" s="77"/>
      <c r="N6" s="77"/>
      <c r="P6" s="73" t="s">
        <v>276</v>
      </c>
    </row>
    <row r="7" spans="2:26">
      <c r="B7" s="74" t="s">
        <v>277</v>
      </c>
      <c r="C7" s="80">
        <f t="shared" ref="C7:M7" si="1">SUM(C8,C9:C12)</f>
        <v>4543849</v>
      </c>
      <c r="D7" s="80">
        <f t="shared" si="1"/>
        <v>4870818</v>
      </c>
      <c r="E7" s="80">
        <f t="shared" si="1"/>
        <v>5266103</v>
      </c>
      <c r="F7" s="80">
        <f t="shared" si="1"/>
        <v>5435229</v>
      </c>
      <c r="G7" s="80">
        <f>SUM(G8,G9:G12)</f>
        <v>5527336</v>
      </c>
      <c r="H7" s="80">
        <f t="shared" si="1"/>
        <v>5645288</v>
      </c>
      <c r="I7" s="80">
        <f t="shared" si="1"/>
        <v>5755189</v>
      </c>
      <c r="J7" s="80">
        <f t="shared" si="1"/>
        <v>3948937.0999999996</v>
      </c>
      <c r="K7" s="80">
        <f t="shared" si="1"/>
        <v>5173465.8299999991</v>
      </c>
      <c r="L7" s="80">
        <f t="shared" si="1"/>
        <v>5476967.6715000002</v>
      </c>
      <c r="M7" s="80">
        <f t="shared" si="1"/>
        <v>5476967.6715000002</v>
      </c>
      <c r="N7" s="80">
        <f>SUM(N8,N9:N12)</f>
        <v>5476967.6715000002</v>
      </c>
      <c r="P7" s="74" t="s">
        <v>278</v>
      </c>
      <c r="Q7" s="81">
        <f>IFERROR(F7/E7-1,"")</f>
        <v>3.2115968867300948E-2</v>
      </c>
      <c r="R7" s="81">
        <f t="shared" ref="R7:S9" si="2">IFERROR(G7/F7-1,"")</f>
        <v>1.694629609902365E-2</v>
      </c>
      <c r="S7" s="81">
        <f t="shared" si="2"/>
        <v>2.1339755715954256E-2</v>
      </c>
      <c r="T7" s="81">
        <f>IFERROR(J7/I7-1,"")</f>
        <v>-0.31384753828240919</v>
      </c>
      <c r="U7" s="81">
        <f>IFERROR(K7/J7-1,"")</f>
        <v>0.31009071529652865</v>
      </c>
      <c r="V7" s="81">
        <f>IFERROR(L7/K7-1,"")</f>
        <v>5.8665090574300915E-2</v>
      </c>
      <c r="W7" s="81">
        <f t="shared" ref="W7:X7" si="3">IFERROR(M7/I7-1,"")</f>
        <v>-4.8342691873368482E-2</v>
      </c>
      <c r="X7" s="81">
        <f t="shared" si="3"/>
        <v>0.38694730576995018</v>
      </c>
      <c r="Y7" s="82"/>
    </row>
    <row r="8" spans="2:26" s="75" customFormat="1">
      <c r="B8" s="83" t="s">
        <v>279</v>
      </c>
      <c r="C8" s="178">
        <f>SUM('IS as rep.'!J9:J11)</f>
        <v>4248842</v>
      </c>
      <c r="D8" s="178">
        <f>SUM('IS as rep.'!K9:K11)</f>
        <v>4531811</v>
      </c>
      <c r="E8" s="178">
        <f>SUM('IS as rep.'!L9:L11)</f>
        <v>4782040</v>
      </c>
      <c r="F8" s="178">
        <f>SUM('IS as rep.'!M9:M11)</f>
        <v>5014810</v>
      </c>
      <c r="G8" s="178">
        <f>'IS as rep.'!N8</f>
        <v>5109099</v>
      </c>
      <c r="H8" s="178">
        <f>'IS as rep.'!O8</f>
        <v>5158420</v>
      </c>
      <c r="I8" s="178">
        <f>'IS as rep.'!P8</f>
        <v>5243771</v>
      </c>
      <c r="J8" s="86">
        <f>I8*(1+T8)</f>
        <v>3670639.6999999997</v>
      </c>
      <c r="K8" s="86">
        <f t="shared" ref="K8:N11" si="4">J8*(1+U8)</f>
        <v>4771831.6099999994</v>
      </c>
      <c r="L8" s="86">
        <f t="shared" si="4"/>
        <v>5010423.1904999996</v>
      </c>
      <c r="M8" s="86">
        <f t="shared" si="4"/>
        <v>5010423.1904999996</v>
      </c>
      <c r="N8" s="86">
        <f t="shared" si="4"/>
        <v>5010423.1904999996</v>
      </c>
      <c r="P8" s="75" t="str">
        <f t="shared" ref="P8:P12" si="5">B8</f>
        <v>Lease income</v>
      </c>
      <c r="Q8" s="87">
        <f>IFERROR(F8/E8-1,"")</f>
        <v>4.86758789136017E-2</v>
      </c>
      <c r="R8" s="87">
        <f t="shared" si="2"/>
        <v>1.8802108155643094E-2</v>
      </c>
      <c r="S8" s="87">
        <f t="shared" si="2"/>
        <v>9.6535612247874436E-3</v>
      </c>
      <c r="T8" s="88">
        <v>-0.3</v>
      </c>
      <c r="U8" s="88">
        <v>0.3</v>
      </c>
      <c r="V8" s="88">
        <v>0.05</v>
      </c>
      <c r="W8" s="88"/>
      <c r="X8" s="88"/>
      <c r="Y8" s="89"/>
      <c r="Z8" s="75" t="s">
        <v>870</v>
      </c>
    </row>
    <row r="9" spans="2:26" s="75" customFormat="1">
      <c r="B9" s="83" t="s">
        <v>281</v>
      </c>
      <c r="C9" s="178">
        <f>'IS as rep.'!J12</f>
        <v>126972</v>
      </c>
      <c r="D9" s="178">
        <f>'IS as rep.'!K12</f>
        <v>138226</v>
      </c>
      <c r="E9" s="178">
        <f>'IS as rep.'!L12</f>
        <v>158466</v>
      </c>
      <c r="F9" s="178">
        <f>'IS as rep.'!M12</f>
        <v>143875</v>
      </c>
      <c r="G9" s="178">
        <f>'IS as rep.'!N12</f>
        <v>121259</v>
      </c>
      <c r="H9" s="178">
        <f>'IS as rep.'!O12</f>
        <v>116286</v>
      </c>
      <c r="I9" s="178">
        <f>'IS as rep.'!P12</f>
        <v>112942</v>
      </c>
      <c r="J9" s="86">
        <f t="shared" ref="J9:J11" si="6">I9*(1+T9)</f>
        <v>79059.399999999994</v>
      </c>
      <c r="K9" s="86">
        <f t="shared" si="4"/>
        <v>102777.22</v>
      </c>
      <c r="L9" s="86">
        <f t="shared" si="4"/>
        <v>107916.08100000001</v>
      </c>
      <c r="M9" s="86">
        <f t="shared" si="4"/>
        <v>107916.08100000001</v>
      </c>
      <c r="N9" s="86">
        <f t="shared" si="4"/>
        <v>107916.08100000001</v>
      </c>
      <c r="O9" s="90"/>
      <c r="P9" s="75" t="str">
        <f t="shared" si="5"/>
        <v>Management fee &amp;etc</v>
      </c>
      <c r="Q9" s="87">
        <f>IFERROR(F9/E9-1,"")</f>
        <v>-9.2076533767495916E-2</v>
      </c>
      <c r="R9" s="87">
        <f t="shared" si="2"/>
        <v>-0.15719200695047786</v>
      </c>
      <c r="S9" s="87">
        <f t="shared" si="2"/>
        <v>-4.1011388845364039E-2</v>
      </c>
      <c r="T9" s="88">
        <v>-0.3</v>
      </c>
      <c r="U9" s="88">
        <v>0.3</v>
      </c>
      <c r="V9" s="88">
        <v>0.05</v>
      </c>
      <c r="W9" s="88"/>
      <c r="X9" s="88"/>
    </row>
    <row r="10" spans="2:26" s="75" customFormat="1">
      <c r="B10" s="83" t="s">
        <v>282</v>
      </c>
      <c r="C10" s="84">
        <v>0</v>
      </c>
      <c r="D10" s="84" t="s">
        <v>283</v>
      </c>
      <c r="E10" s="178">
        <v>0</v>
      </c>
      <c r="F10" s="84" t="s">
        <v>283</v>
      </c>
      <c r="G10" s="178">
        <v>0</v>
      </c>
      <c r="H10" s="84" t="s">
        <v>283</v>
      </c>
      <c r="I10" s="178">
        <v>0</v>
      </c>
      <c r="J10" s="86">
        <f t="shared" si="6"/>
        <v>0</v>
      </c>
      <c r="K10" s="86">
        <f t="shared" si="4"/>
        <v>0</v>
      </c>
      <c r="L10" s="86">
        <f t="shared" si="4"/>
        <v>0</v>
      </c>
      <c r="M10" s="86">
        <f t="shared" si="4"/>
        <v>0</v>
      </c>
      <c r="N10" s="86">
        <f t="shared" si="4"/>
        <v>0</v>
      </c>
      <c r="P10" s="75" t="str">
        <f t="shared" si="5"/>
        <v>Other income</v>
      </c>
      <c r="Q10" s="87" t="str">
        <f t="shared" ref="Q10:S10" si="7">IFERROR(F10/B10-1,"")</f>
        <v/>
      </c>
      <c r="R10" s="87" t="str">
        <f t="shared" si="7"/>
        <v/>
      </c>
      <c r="S10" s="87" t="str">
        <f t="shared" si="7"/>
        <v/>
      </c>
      <c r="T10" s="88">
        <v>-0.5</v>
      </c>
      <c r="U10" s="88">
        <v>0.5</v>
      </c>
      <c r="V10" s="88">
        <v>0.2</v>
      </c>
      <c r="W10" s="88"/>
      <c r="X10" s="88"/>
    </row>
    <row r="11" spans="2:26" s="75" customFormat="1">
      <c r="B11" s="83" t="s">
        <v>284</v>
      </c>
      <c r="C11" s="178">
        <f>'IS as rep.'!J13</f>
        <v>168035</v>
      </c>
      <c r="D11" s="178">
        <f>'IS as rep.'!K13</f>
        <v>200781</v>
      </c>
      <c r="E11" s="178">
        <f>'IS as rep.'!L13</f>
        <v>325597</v>
      </c>
      <c r="F11" s="178">
        <f>'IS as rep.'!M13</f>
        <v>276544</v>
      </c>
      <c r="G11" s="178">
        <f>'IS as rep.'!N13</f>
        <v>296978</v>
      </c>
      <c r="H11" s="178">
        <f>'IS as rep.'!O13</f>
        <v>370582</v>
      </c>
      <c r="I11" s="178">
        <f>'IS as rep.'!P13</f>
        <v>398476</v>
      </c>
      <c r="J11" s="86">
        <f t="shared" si="6"/>
        <v>199238</v>
      </c>
      <c r="K11" s="86">
        <f t="shared" si="4"/>
        <v>298857</v>
      </c>
      <c r="L11" s="86">
        <f t="shared" si="4"/>
        <v>358628.39999999997</v>
      </c>
      <c r="M11" s="86">
        <f t="shared" si="4"/>
        <v>358628.39999999997</v>
      </c>
      <c r="N11" s="86">
        <f t="shared" si="4"/>
        <v>358628.39999999997</v>
      </c>
      <c r="O11" s="90"/>
      <c r="P11" s="75" t="str">
        <f t="shared" si="5"/>
        <v>Other Revenue</v>
      </c>
      <c r="Q11" s="87">
        <f>IFERROR(F11/E11-1,"")</f>
        <v>-0.15065556500827715</v>
      </c>
      <c r="R11" s="87">
        <f t="shared" ref="R11:S11" si="8">IFERROR(G11/F11-1,"")</f>
        <v>7.3890592455450044E-2</v>
      </c>
      <c r="S11" s="87">
        <f t="shared" si="8"/>
        <v>0.2478432745859962</v>
      </c>
      <c r="T11" s="88">
        <v>-0.5</v>
      </c>
      <c r="U11" s="88">
        <v>0.5</v>
      </c>
      <c r="V11" s="88">
        <v>0.2</v>
      </c>
      <c r="W11" s="88"/>
      <c r="X11" s="88"/>
    </row>
    <row r="12" spans="2:26" s="75" customFormat="1">
      <c r="B12" s="83" t="s">
        <v>285</v>
      </c>
      <c r="C12" s="84">
        <v>0</v>
      </c>
      <c r="D12" s="84">
        <v>0</v>
      </c>
      <c r="E12" s="84">
        <v>0</v>
      </c>
      <c r="F12" s="84"/>
      <c r="G12" s="91">
        <v>0</v>
      </c>
      <c r="H12" s="84">
        <v>0</v>
      </c>
      <c r="I12" s="84">
        <v>0</v>
      </c>
      <c r="J12" s="140">
        <f>T12</f>
        <v>0</v>
      </c>
      <c r="K12" s="140">
        <f t="shared" ref="K12:N12" si="9">U12</f>
        <v>0</v>
      </c>
      <c r="L12" s="140">
        <f t="shared" si="9"/>
        <v>0</v>
      </c>
      <c r="M12" s="140">
        <f t="shared" si="9"/>
        <v>0</v>
      </c>
      <c r="N12" s="140">
        <f t="shared" si="9"/>
        <v>0</v>
      </c>
      <c r="P12" s="75" t="str">
        <f t="shared" si="5"/>
        <v>Other/Manual Adjustments</v>
      </c>
      <c r="Q12" s="87"/>
      <c r="R12" s="87"/>
      <c r="S12" s="92" t="s">
        <v>286</v>
      </c>
      <c r="T12" s="93">
        <v>0</v>
      </c>
      <c r="U12" s="93">
        <f>T12</f>
        <v>0</v>
      </c>
      <c r="V12" s="93">
        <f>U12</f>
        <v>0</v>
      </c>
      <c r="W12" s="93">
        <f>V12</f>
        <v>0</v>
      </c>
      <c r="X12" s="93">
        <f>W12</f>
        <v>0</v>
      </c>
    </row>
    <row r="13" spans="2:26">
      <c r="B13" s="94"/>
      <c r="I13" s="95"/>
      <c r="J13" s="81"/>
      <c r="K13" s="81"/>
      <c r="L13" s="80"/>
      <c r="M13" s="95"/>
      <c r="N13" s="95"/>
      <c r="P13" s="96"/>
    </row>
    <row r="14" spans="2:26">
      <c r="B14" s="74" t="s">
        <v>287</v>
      </c>
      <c r="C14" s="80">
        <f t="shared" ref="C14:N14" si="10">SUM(C15,C16:C19)</f>
        <v>837946</v>
      </c>
      <c r="D14" s="80">
        <f t="shared" si="10"/>
        <v>882803</v>
      </c>
      <c r="E14" s="80">
        <f t="shared" si="10"/>
        <v>960192</v>
      </c>
      <c r="F14" s="80">
        <f t="shared" si="10"/>
        <v>971147</v>
      </c>
      <c r="G14" s="80">
        <f t="shared" si="10"/>
        <v>980080</v>
      </c>
      <c r="H14" s="80">
        <f t="shared" si="10"/>
        <v>1007964</v>
      </c>
      <c r="I14" s="80">
        <f t="shared" si="10"/>
        <v>1021644</v>
      </c>
      <c r="J14" s="80">
        <f t="shared" si="10"/>
        <v>797340.17460711009</v>
      </c>
      <c r="K14" s="80">
        <f t="shared" si="10"/>
        <v>918378.23647920508</v>
      </c>
      <c r="L14" s="80">
        <f t="shared" si="10"/>
        <v>972254.97890372435</v>
      </c>
      <c r="M14" s="80">
        <f t="shared" si="10"/>
        <v>0</v>
      </c>
      <c r="N14" s="80">
        <f t="shared" si="10"/>
        <v>0</v>
      </c>
      <c r="P14" s="74" t="s">
        <v>288</v>
      </c>
      <c r="Q14" s="97">
        <f>IFERROR(G14/G$7,"")</f>
        <v>0.17731507547216235</v>
      </c>
      <c r="R14" s="97">
        <f t="shared" ref="R14:S18" si="11">IFERROR(H14/H$7,"")</f>
        <v>0.17854961518349463</v>
      </c>
      <c r="S14" s="97">
        <f t="shared" si="11"/>
        <v>0.17751701985807938</v>
      </c>
      <c r="T14" s="97">
        <f t="shared" ref="T14:X14" si="12">IFERROR(J14/J7,"")</f>
        <v>0.20191260443401596</v>
      </c>
      <c r="U14" s="97">
        <f t="shared" si="12"/>
        <v>0.17751701985807941</v>
      </c>
      <c r="V14" s="97">
        <f t="shared" si="12"/>
        <v>0.17751701985807938</v>
      </c>
      <c r="W14" s="97">
        <f t="shared" si="12"/>
        <v>0</v>
      </c>
      <c r="X14" s="97">
        <f t="shared" si="12"/>
        <v>0</v>
      </c>
    </row>
    <row r="15" spans="2:26">
      <c r="B15" s="83" t="s">
        <v>289</v>
      </c>
      <c r="C15" s="178">
        <f>'IS as rep.'!J16</f>
        <v>371044</v>
      </c>
      <c r="D15" s="178">
        <f>'IS as rep.'!K16</f>
        <v>398598</v>
      </c>
      <c r="E15" s="178">
        <f>'IS as rep.'!L16</f>
        <v>425983</v>
      </c>
      <c r="F15" s="178">
        <f>'IS as rep.'!M16</f>
        <v>432394</v>
      </c>
      <c r="G15" s="178">
        <f>'IS as rep.'!N16</f>
        <v>443177</v>
      </c>
      <c r="H15" s="178">
        <f>'IS as rep.'!O16</f>
        <v>450636</v>
      </c>
      <c r="I15" s="178">
        <f>'IS as rep.'!P16</f>
        <v>453145</v>
      </c>
      <c r="J15" s="86">
        <f>J$7*(T15)</f>
        <v>310926.55726501771</v>
      </c>
      <c r="K15" s="86">
        <f t="shared" ref="K15:N18" si="13">K$7*(U15)</f>
        <v>407341.99581201415</v>
      </c>
      <c r="L15" s="86">
        <f t="shared" si="13"/>
        <v>431238.75089104247</v>
      </c>
      <c r="M15" s="86">
        <f t="shared" si="13"/>
        <v>0</v>
      </c>
      <c r="N15" s="86">
        <f t="shared" si="13"/>
        <v>0</v>
      </c>
      <c r="P15" s="98" t="str">
        <f t="shared" ref="P15:P19" si="14">B15</f>
        <v>Property operating</v>
      </c>
      <c r="Q15" s="87">
        <f t="shared" ref="Q15:Q18" si="15">IFERROR(G15/G$7,"")</f>
        <v>8.0179131502047279E-2</v>
      </c>
      <c r="R15" s="87">
        <f t="shared" si="11"/>
        <v>7.9825156838765357E-2</v>
      </c>
      <c r="S15" s="87">
        <f t="shared" si="11"/>
        <v>7.8736771285877846E-2</v>
      </c>
      <c r="T15" s="88">
        <f>S15</f>
        <v>7.8736771285877846E-2</v>
      </c>
      <c r="U15" s="88">
        <f t="shared" ref="U15:V15" si="16">T15</f>
        <v>7.8736771285877846E-2</v>
      </c>
      <c r="V15" s="88">
        <f t="shared" si="16"/>
        <v>7.8736771285877846E-2</v>
      </c>
      <c r="W15" s="88"/>
      <c r="X15" s="88"/>
      <c r="Z15" s="61" t="s">
        <v>290</v>
      </c>
    </row>
    <row r="16" spans="2:26">
      <c r="B16" s="83" t="s">
        <v>291</v>
      </c>
      <c r="C16" s="178">
        <f>'IS as rep.'!J18</f>
        <v>368683</v>
      </c>
      <c r="D16" s="178">
        <f>'IS as rep.'!K18</f>
        <v>384189</v>
      </c>
      <c r="E16" s="178">
        <f>'IS as rep.'!L18</f>
        <v>432840</v>
      </c>
      <c r="F16" s="178">
        <f>'IS as rep.'!M18</f>
        <v>439030</v>
      </c>
      <c r="G16" s="178">
        <f>'IS as rep.'!N18</f>
        <v>440003</v>
      </c>
      <c r="H16" s="178">
        <f>'IS as rep.'!O18</f>
        <v>457740</v>
      </c>
      <c r="I16" s="178">
        <f>'IS as rep.'!P18</f>
        <v>468004</v>
      </c>
      <c r="J16" s="86">
        <f>J$7*(T16)</f>
        <v>417458.72570178314</v>
      </c>
      <c r="K16" s="86">
        <f t="shared" si="13"/>
        <v>420699.07735494344</v>
      </c>
      <c r="L16" s="86">
        <f t="shared" si="13"/>
        <v>445379.42683249601</v>
      </c>
      <c r="M16" s="86">
        <f t="shared" si="13"/>
        <v>0</v>
      </c>
      <c r="N16" s="86">
        <f t="shared" si="13"/>
        <v>0</v>
      </c>
      <c r="P16" s="75" t="str">
        <f t="shared" si="14"/>
        <v>Real estate tax</v>
      </c>
      <c r="Q16" s="87">
        <f t="shared" si="15"/>
        <v>7.9604894654495398E-2</v>
      </c>
      <c r="R16" s="87">
        <f t="shared" si="11"/>
        <v>8.1083551450342309E-2</v>
      </c>
      <c r="S16" s="87">
        <f t="shared" si="11"/>
        <v>8.1318615253122006E-2</v>
      </c>
      <c r="T16" s="88">
        <f>S16*1.3</f>
        <v>0.10571419982905861</v>
      </c>
      <c r="U16" s="88">
        <f>S16</f>
        <v>8.1318615253122006E-2</v>
      </c>
      <c r="V16" s="88">
        <f>U16</f>
        <v>8.1318615253122006E-2</v>
      </c>
      <c r="W16" s="88"/>
      <c r="X16" s="88"/>
      <c r="Z16" s="61" t="s">
        <v>292</v>
      </c>
    </row>
    <row r="17" spans="2:26">
      <c r="B17" s="83" t="s">
        <v>293</v>
      </c>
      <c r="C17" s="178">
        <f>'IS as rep.'!J19</f>
        <v>98219</v>
      </c>
      <c r="D17" s="178">
        <f>'IS as rep.'!K19</f>
        <v>100016</v>
      </c>
      <c r="E17" s="178">
        <f>'IS as rep.'!L19</f>
        <v>101369</v>
      </c>
      <c r="F17" s="178">
        <f>'IS as rep.'!M19</f>
        <v>99723</v>
      </c>
      <c r="G17" s="178">
        <f>'IS as rep.'!N19</f>
        <v>96900</v>
      </c>
      <c r="H17" s="178">
        <f>'IS as rep.'!O19</f>
        <v>99588</v>
      </c>
      <c r="I17" s="178">
        <f>'IS as rep.'!P19</f>
        <v>100495</v>
      </c>
      <c r="J17" s="86">
        <f>J$7*(T17)</f>
        <v>68954.891640309288</v>
      </c>
      <c r="K17" s="86">
        <f t="shared" si="13"/>
        <v>90337.16331224743</v>
      </c>
      <c r="L17" s="86">
        <f t="shared" si="13"/>
        <v>95636.801180185837</v>
      </c>
      <c r="M17" s="86">
        <f t="shared" si="13"/>
        <v>0</v>
      </c>
      <c r="N17" s="86">
        <f t="shared" si="13"/>
        <v>0</v>
      </c>
      <c r="P17" s="75" t="str">
        <f t="shared" si="14"/>
        <v xml:space="preserve">Repairs and maintenance </v>
      </c>
      <c r="Q17" s="87">
        <f t="shared" si="15"/>
        <v>1.7531049315619676E-2</v>
      </c>
      <c r="R17" s="87">
        <f t="shared" si="11"/>
        <v>1.7640906894386965E-2</v>
      </c>
      <c r="S17" s="87">
        <f t="shared" si="11"/>
        <v>1.7461633319079531E-2</v>
      </c>
      <c r="T17" s="88">
        <f>S17</f>
        <v>1.7461633319079531E-2</v>
      </c>
      <c r="U17" s="88">
        <f t="shared" ref="U17:V17" si="17">T17</f>
        <v>1.7461633319079531E-2</v>
      </c>
      <c r="V17" s="88">
        <f t="shared" si="17"/>
        <v>1.7461633319079531E-2</v>
      </c>
      <c r="W17" s="88"/>
      <c r="X17" s="88"/>
      <c r="Z17" s="61" t="s">
        <v>290</v>
      </c>
    </row>
    <row r="18" spans="2:26">
      <c r="B18" s="83" t="s">
        <v>294</v>
      </c>
      <c r="C18" s="84">
        <v>0</v>
      </c>
      <c r="D18" s="84">
        <v>0</v>
      </c>
      <c r="E18" s="84">
        <v>0</v>
      </c>
      <c r="F18" s="84"/>
      <c r="G18" s="84">
        <v>0</v>
      </c>
      <c r="H18" s="84">
        <v>0</v>
      </c>
      <c r="I18" s="84">
        <v>0</v>
      </c>
      <c r="J18" s="86">
        <f>J$7*(T18)</f>
        <v>0</v>
      </c>
      <c r="K18" s="86">
        <f t="shared" si="13"/>
        <v>0</v>
      </c>
      <c r="L18" s="86">
        <f t="shared" si="13"/>
        <v>0</v>
      </c>
      <c r="M18" s="86">
        <f t="shared" si="13"/>
        <v>0</v>
      </c>
      <c r="N18" s="86">
        <f t="shared" si="13"/>
        <v>0</v>
      </c>
      <c r="P18" s="75" t="str">
        <f t="shared" si="14"/>
        <v>Implementation</v>
      </c>
      <c r="Q18" s="87">
        <f t="shared" si="15"/>
        <v>0</v>
      </c>
      <c r="R18" s="87">
        <f t="shared" si="11"/>
        <v>0</v>
      </c>
      <c r="S18" s="87">
        <f t="shared" si="11"/>
        <v>0</v>
      </c>
      <c r="T18" s="88">
        <f>S18</f>
        <v>0</v>
      </c>
      <c r="U18" s="88">
        <f>T18</f>
        <v>0</v>
      </c>
      <c r="V18" s="88">
        <f>U18</f>
        <v>0</v>
      </c>
      <c r="W18" s="88"/>
      <c r="X18" s="88"/>
      <c r="Y18" s="75"/>
    </row>
    <row r="19" spans="2:26">
      <c r="B19" s="83" t="s">
        <v>295</v>
      </c>
      <c r="C19" s="84">
        <v>0</v>
      </c>
      <c r="D19" s="84">
        <v>0</v>
      </c>
      <c r="E19" s="84">
        <v>0</v>
      </c>
      <c r="F19" s="84"/>
      <c r="G19" s="84">
        <v>0</v>
      </c>
      <c r="H19" s="84">
        <v>0</v>
      </c>
      <c r="I19" s="84">
        <v>0</v>
      </c>
      <c r="J19" s="140">
        <f>T19</f>
        <v>0</v>
      </c>
      <c r="K19" s="140">
        <f t="shared" ref="K19:N19" si="18">U19</f>
        <v>0</v>
      </c>
      <c r="L19" s="140">
        <f t="shared" si="18"/>
        <v>0</v>
      </c>
      <c r="M19" s="140">
        <f t="shared" si="18"/>
        <v>0</v>
      </c>
      <c r="N19" s="140">
        <f t="shared" si="18"/>
        <v>0</v>
      </c>
      <c r="P19" s="75" t="str">
        <f t="shared" si="14"/>
        <v>Fixed</v>
      </c>
      <c r="Q19" s="87"/>
      <c r="R19" s="87"/>
      <c r="S19" s="92" t="s">
        <v>286</v>
      </c>
      <c r="T19" s="93">
        <v>0</v>
      </c>
      <c r="U19" s="93">
        <v>0</v>
      </c>
      <c r="V19" s="93">
        <v>0</v>
      </c>
      <c r="W19" s="93"/>
      <c r="X19" s="93"/>
    </row>
    <row r="20" spans="2:26">
      <c r="C20" s="86"/>
      <c r="D20" s="86"/>
      <c r="E20" s="86"/>
      <c r="F20" s="86"/>
      <c r="G20" s="86"/>
      <c r="H20" s="99"/>
      <c r="I20" s="99"/>
      <c r="J20" s="99"/>
      <c r="K20" s="99"/>
      <c r="L20" s="99"/>
      <c r="M20" s="99"/>
      <c r="N20" s="99"/>
      <c r="Q20" s="100"/>
      <c r="R20" s="100"/>
      <c r="S20" s="100"/>
      <c r="X20" s="101"/>
    </row>
    <row r="21" spans="2:26">
      <c r="B21" s="74" t="s">
        <v>296</v>
      </c>
      <c r="C21" s="80">
        <f t="shared" ref="C21:N21" si="19">C7-C14</f>
        <v>3705903</v>
      </c>
      <c r="D21" s="80">
        <f t="shared" si="19"/>
        <v>3988015</v>
      </c>
      <c r="E21" s="80">
        <f t="shared" si="19"/>
        <v>4305911</v>
      </c>
      <c r="F21" s="80">
        <f t="shared" si="19"/>
        <v>4464082</v>
      </c>
      <c r="G21" s="80">
        <f t="shared" si="19"/>
        <v>4547256</v>
      </c>
      <c r="H21" s="80">
        <f t="shared" si="19"/>
        <v>4637324</v>
      </c>
      <c r="I21" s="80">
        <f t="shared" si="19"/>
        <v>4733545</v>
      </c>
      <c r="J21" s="80">
        <f t="shared" si="19"/>
        <v>3151596.9253928894</v>
      </c>
      <c r="K21" s="80">
        <f t="shared" si="19"/>
        <v>4255087.5935207941</v>
      </c>
      <c r="L21" s="80">
        <f t="shared" si="19"/>
        <v>4504712.6925962754</v>
      </c>
      <c r="M21" s="80">
        <f t="shared" si="19"/>
        <v>5476967.6715000002</v>
      </c>
      <c r="N21" s="80">
        <f t="shared" si="19"/>
        <v>5476967.6715000002</v>
      </c>
      <c r="P21" s="74" t="s">
        <v>297</v>
      </c>
      <c r="Q21" s="81">
        <f t="shared" ref="Q21:X21" si="20">IFERROR(G21/G7,"")</f>
        <v>0.82268492452783759</v>
      </c>
      <c r="R21" s="81">
        <f t="shared" si="20"/>
        <v>0.82145038481650534</v>
      </c>
      <c r="S21" s="81">
        <f t="shared" si="20"/>
        <v>0.82248298014192067</v>
      </c>
      <c r="T21" s="81">
        <f t="shared" si="20"/>
        <v>0.79808739556598396</v>
      </c>
      <c r="U21" s="81">
        <f t="shared" si="20"/>
        <v>0.82248298014192056</v>
      </c>
      <c r="V21" s="81">
        <f t="shared" si="20"/>
        <v>0.82248298014192056</v>
      </c>
      <c r="W21" s="81">
        <f t="shared" si="20"/>
        <v>1</v>
      </c>
      <c r="X21" s="81">
        <f t="shared" si="20"/>
        <v>1</v>
      </c>
    </row>
    <row r="22" spans="2:26">
      <c r="C22" s="86"/>
      <c r="D22" s="86"/>
      <c r="E22" s="99"/>
      <c r="F22" s="99"/>
      <c r="G22" s="99"/>
      <c r="H22" s="99"/>
      <c r="I22" s="99"/>
      <c r="J22" s="99"/>
      <c r="K22" s="99"/>
      <c r="L22" s="99"/>
      <c r="M22" s="99"/>
      <c r="N22" s="99"/>
      <c r="U22" s="101"/>
    </row>
    <row r="23" spans="2:26">
      <c r="B23" s="74" t="s">
        <v>298</v>
      </c>
      <c r="C23" s="80">
        <f>SUM(,C24:C28)</f>
        <v>1517234</v>
      </c>
      <c r="D23" s="80">
        <f t="shared" ref="D23:N23" si="21">SUM(,D24:D28)</f>
        <v>1602673</v>
      </c>
      <c r="E23" s="80">
        <f t="shared" si="21"/>
        <v>1637038</v>
      </c>
      <c r="F23" s="80">
        <f t="shared" si="21"/>
        <v>1743254</v>
      </c>
      <c r="G23" s="80">
        <f>SUM(,G24:G29)</f>
        <v>1744916</v>
      </c>
      <c r="H23" s="80">
        <f>SUM(,H24:H29)</f>
        <v>1711025</v>
      </c>
      <c r="I23" s="80">
        <f>SUM(,I24:I29)</f>
        <v>1825714</v>
      </c>
      <c r="J23" s="80">
        <f t="shared" si="21"/>
        <v>1609670.0496159522</v>
      </c>
      <c r="K23" s="80">
        <f t="shared" si="21"/>
        <v>1641174.4243938155</v>
      </c>
      <c r="L23" s="80">
        <f t="shared" si="21"/>
        <v>1737454.0706491047</v>
      </c>
      <c r="M23" s="80">
        <f t="shared" si="21"/>
        <v>0</v>
      </c>
      <c r="N23" s="80">
        <f t="shared" si="21"/>
        <v>0</v>
      </c>
      <c r="P23" s="74" t="s">
        <v>299</v>
      </c>
      <c r="Q23" s="97">
        <f>IFERROR(G23/G$7,"")</f>
        <v>0.31568842567196931</v>
      </c>
      <c r="R23" s="97">
        <f t="shared" ref="R23:S27" si="22">IFERROR(H23/H$7,"")</f>
        <v>0.30308905409254583</v>
      </c>
      <c r="S23" s="97">
        <f t="shared" si="22"/>
        <v>0.31722919959709406</v>
      </c>
      <c r="T23" s="97">
        <f t="shared" ref="T23:X23" si="23">IFERROR(J23/J7,"")</f>
        <v>0.4076210911579099</v>
      </c>
      <c r="U23" s="97">
        <f t="shared" si="23"/>
        <v>0.317229199597094</v>
      </c>
      <c r="V23" s="97">
        <f t="shared" si="23"/>
        <v>0.317229199597094</v>
      </c>
      <c r="W23" s="97">
        <f t="shared" si="23"/>
        <v>0</v>
      </c>
      <c r="X23" s="97">
        <f t="shared" si="23"/>
        <v>0</v>
      </c>
    </row>
    <row r="24" spans="2:26">
      <c r="B24" s="83" t="s">
        <v>300</v>
      </c>
      <c r="C24" s="178">
        <f>'IS as rep.'!J20+'IS as rep.'!J22+'IS as rep.'!J23</f>
        <v>318628</v>
      </c>
      <c r="D24" s="178">
        <f>'IS as rep.'!K20+'IS as rep.'!K22+'IS as rep.'!K23</f>
        <v>355190</v>
      </c>
      <c r="E24" s="178">
        <f>'IS as rep.'!L20+'IS as rep.'!L22+'IS as rep.'!L23</f>
        <v>349999</v>
      </c>
      <c r="F24" s="178">
        <f>'IS as rep.'!M20+'IS as rep.'!M22+'IS as rep.'!M23</f>
        <v>366289</v>
      </c>
      <c r="G24" s="178">
        <f>'IS as rep.'!N20+'IS as rep.'!N22+'IS as rep.'!N23</f>
        <v>337987</v>
      </c>
      <c r="H24" s="178">
        <f>'IS as rep.'!O20+'IS as rep.'!O22+'IS as rep.'!O23</f>
        <v>334461</v>
      </c>
      <c r="I24" s="178">
        <f>'IS as rep.'!P20+'IS as rep.'!P22+'IS as rep.'!P23</f>
        <v>375313</v>
      </c>
      <c r="J24" s="86">
        <f>J$7*(T24)</f>
        <v>315914.96799999999</v>
      </c>
      <c r="K24" s="86">
        <f t="shared" ref="K24:N27" si="24">K$7*(U24)</f>
        <v>337377.10109169129</v>
      </c>
      <c r="L24" s="86">
        <f t="shared" si="24"/>
        <v>357169.35928493046</v>
      </c>
      <c r="M24" s="86">
        <f t="shared" si="24"/>
        <v>0</v>
      </c>
      <c r="N24" s="86">
        <f t="shared" si="24"/>
        <v>0</v>
      </c>
      <c r="P24" s="98" t="str">
        <f t="shared" ref="P24:P28" si="25">B24</f>
        <v>Selling General &amp; Admin Exp.</v>
      </c>
      <c r="Q24" s="87">
        <f t="shared" ref="Q24:Q27" si="26">IFERROR(G24/G$7,"")</f>
        <v>6.1148263829085114E-2</v>
      </c>
      <c r="R24" s="87">
        <f t="shared" si="22"/>
        <v>5.9246047323006375E-2</v>
      </c>
      <c r="S24" s="87">
        <f t="shared" si="22"/>
        <v>6.5212975629471079E-2</v>
      </c>
      <c r="T24" s="88">
        <v>0.08</v>
      </c>
      <c r="U24" s="88">
        <f>S24</f>
        <v>6.5212975629471079E-2</v>
      </c>
      <c r="V24" s="88">
        <f>U24</f>
        <v>6.5212975629471079E-2</v>
      </c>
      <c r="W24" s="88"/>
      <c r="X24" s="88"/>
    </row>
    <row r="25" spans="2:26">
      <c r="B25" s="83" t="s">
        <v>85</v>
      </c>
      <c r="C25" s="178">
        <f>'IS as rep.'!J17</f>
        <v>1107700</v>
      </c>
      <c r="D25" s="178">
        <f>'IS as rep.'!K17</f>
        <v>1143827</v>
      </c>
      <c r="E25" s="178">
        <f>'IS as rep.'!L17</f>
        <v>1177568</v>
      </c>
      <c r="F25" s="178">
        <f>'IS as rep.'!M17</f>
        <v>1252673</v>
      </c>
      <c r="G25" s="178">
        <f>'IS as rep.'!N17</f>
        <v>1275452</v>
      </c>
      <c r="H25" s="178">
        <f>'IS as rep.'!O17</f>
        <v>1282454</v>
      </c>
      <c r="I25" s="178">
        <f>'IS as rep.'!P17</f>
        <v>1340503</v>
      </c>
      <c r="J25" s="86">
        <f t="shared" ref="J25:J27" si="27">J$7*(T25)</f>
        <v>1195726.2634067603</v>
      </c>
      <c r="K25" s="86">
        <f t="shared" si="24"/>
        <v>1205007.5967118524</v>
      </c>
      <c r="L25" s="86">
        <f t="shared" si="24"/>
        <v>1275699.4765156738</v>
      </c>
      <c r="M25" s="86">
        <f t="shared" si="24"/>
        <v>0</v>
      </c>
      <c r="N25" s="86">
        <f t="shared" si="24"/>
        <v>0</v>
      </c>
      <c r="P25" s="75" t="str">
        <f t="shared" si="25"/>
        <v>Depreciation &amp; Amort.</v>
      </c>
      <c r="Q25" s="87">
        <f t="shared" si="26"/>
        <v>0.2307534769009881</v>
      </c>
      <c r="R25" s="87">
        <f t="shared" si="22"/>
        <v>0.22717246666600535</v>
      </c>
      <c r="S25" s="87">
        <f t="shared" si="22"/>
        <v>0.23292076072566861</v>
      </c>
      <c r="T25" s="88">
        <f>S25*1.3</f>
        <v>0.30279698894336921</v>
      </c>
      <c r="U25" s="88">
        <f>S25</f>
        <v>0.23292076072566861</v>
      </c>
      <c r="V25" s="88">
        <f>U25</f>
        <v>0.23292076072566861</v>
      </c>
      <c r="W25" s="88"/>
      <c r="X25" s="88"/>
    </row>
    <row r="26" spans="2:26">
      <c r="B26" s="83" t="s">
        <v>303</v>
      </c>
      <c r="C26" s="84">
        <v>0</v>
      </c>
      <c r="D26" s="84">
        <v>0</v>
      </c>
      <c r="E26" s="85">
        <v>0</v>
      </c>
      <c r="F26" s="84"/>
      <c r="G26" s="84"/>
      <c r="H26" s="84"/>
      <c r="I26" s="84"/>
      <c r="J26" s="86">
        <f t="shared" si="27"/>
        <v>0</v>
      </c>
      <c r="K26" s="86">
        <f t="shared" si="24"/>
        <v>0</v>
      </c>
      <c r="L26" s="86">
        <f t="shared" si="24"/>
        <v>0</v>
      </c>
      <c r="M26" s="86">
        <f t="shared" si="24"/>
        <v>0</v>
      </c>
      <c r="N26" s="86">
        <f t="shared" si="24"/>
        <v>0</v>
      </c>
      <c r="P26" s="75" t="str">
        <f t="shared" si="25"/>
        <v>R&amp;D</v>
      </c>
      <c r="Q26" s="87">
        <f t="shared" si="26"/>
        <v>0</v>
      </c>
      <c r="R26" s="87">
        <f t="shared" si="22"/>
        <v>0</v>
      </c>
      <c r="S26" s="87">
        <f t="shared" si="22"/>
        <v>0</v>
      </c>
      <c r="T26" s="88">
        <f>S26</f>
        <v>0</v>
      </c>
      <c r="U26" s="88">
        <f t="shared" ref="U26:V26" si="28">T26</f>
        <v>0</v>
      </c>
      <c r="V26" s="88">
        <f t="shared" si="28"/>
        <v>0</v>
      </c>
      <c r="W26" s="88"/>
      <c r="X26" s="88"/>
    </row>
    <row r="27" spans="2:26">
      <c r="B27" s="83" t="s">
        <v>304</v>
      </c>
      <c r="C27" s="178">
        <f>SUM('IS as rep.'!J21,'IS as rep.'!J27)</f>
        <v>90906</v>
      </c>
      <c r="D27" s="178">
        <f>SUM('IS as rep.'!K21,'IS as rep.'!K27)</f>
        <v>103656</v>
      </c>
      <c r="E27" s="178">
        <f>SUM('IS as rep.'!L21,'IS as rep.'!L27)</f>
        <v>109471</v>
      </c>
      <c r="F27" s="178">
        <f>SUM('IS as rep.'!M21,'IS as rep.'!M27)</f>
        <v>124292</v>
      </c>
      <c r="G27" s="178">
        <f>SUM('IS as rep.'!N21,'IS as rep.'!N27)</f>
        <v>131477</v>
      </c>
      <c r="H27" s="178">
        <f>SUM('IS as rep.'!O21,'IS as rep.'!O27)</f>
        <v>94110</v>
      </c>
      <c r="I27" s="178">
        <f>SUM('IS as rep.'!P21,'IS as rep.'!P27)</f>
        <v>109898</v>
      </c>
      <c r="J27" s="86">
        <f t="shared" si="27"/>
        <v>98028.818209191741</v>
      </c>
      <c r="K27" s="86">
        <f t="shared" si="24"/>
        <v>98789.726590271835</v>
      </c>
      <c r="L27" s="86">
        <f t="shared" si="24"/>
        <v>104585.23484850055</v>
      </c>
      <c r="M27" s="86">
        <f t="shared" si="24"/>
        <v>0</v>
      </c>
      <c r="N27" s="86">
        <f t="shared" si="24"/>
        <v>0</v>
      </c>
      <c r="P27" s="75" t="str">
        <f t="shared" si="25"/>
        <v>Other</v>
      </c>
      <c r="Q27" s="102">
        <f t="shared" si="26"/>
        <v>2.378668494189606E-2</v>
      </c>
      <c r="R27" s="102">
        <f t="shared" si="22"/>
        <v>1.6670540103534134E-2</v>
      </c>
      <c r="S27" s="102">
        <f t="shared" si="22"/>
        <v>1.9095463241954349E-2</v>
      </c>
      <c r="T27" s="88">
        <f>S27*1.3</f>
        <v>2.4824102214540653E-2</v>
      </c>
      <c r="U27" s="88">
        <f>S27</f>
        <v>1.9095463241954349E-2</v>
      </c>
      <c r="V27" s="88">
        <f>U27</f>
        <v>1.9095463241954349E-2</v>
      </c>
      <c r="W27" s="88"/>
      <c r="X27" s="88"/>
      <c r="Z27" s="61" t="s">
        <v>871</v>
      </c>
    </row>
    <row r="28" spans="2:26">
      <c r="B28" s="83" t="s">
        <v>306</v>
      </c>
      <c r="C28" s="84">
        <v>0</v>
      </c>
      <c r="D28" s="84">
        <v>0</v>
      </c>
      <c r="E28" s="84">
        <v>0</v>
      </c>
      <c r="F28" s="84">
        <v>0</v>
      </c>
      <c r="G28" s="84">
        <v>0</v>
      </c>
      <c r="H28" s="84">
        <v>0</v>
      </c>
      <c r="I28" s="84">
        <v>0</v>
      </c>
      <c r="J28" s="140">
        <f>T28</f>
        <v>0</v>
      </c>
      <c r="K28" s="140">
        <f t="shared" ref="K28:N28" si="29">U28</f>
        <v>0</v>
      </c>
      <c r="L28" s="140">
        <f t="shared" si="29"/>
        <v>0</v>
      </c>
      <c r="M28" s="140">
        <f t="shared" si="29"/>
        <v>0</v>
      </c>
      <c r="N28" s="140">
        <f t="shared" si="29"/>
        <v>0</v>
      </c>
      <c r="P28" s="75" t="str">
        <f t="shared" si="25"/>
        <v>Manual Adjustments</v>
      </c>
      <c r="Q28" s="87"/>
      <c r="R28" s="87"/>
      <c r="S28" s="92" t="s">
        <v>286</v>
      </c>
      <c r="T28" s="93">
        <v>0</v>
      </c>
      <c r="U28" s="93">
        <v>0</v>
      </c>
      <c r="V28" s="93">
        <v>0</v>
      </c>
      <c r="W28" s="93">
        <v>0</v>
      </c>
      <c r="X28" s="93">
        <v>0</v>
      </c>
    </row>
    <row r="29" spans="2:26">
      <c r="C29" s="86"/>
      <c r="D29" s="86"/>
      <c r="E29" s="86"/>
      <c r="F29" s="86"/>
      <c r="G29" s="61"/>
      <c r="H29" s="61"/>
      <c r="I29" s="61"/>
      <c r="J29" s="99"/>
      <c r="K29" s="99"/>
      <c r="L29" s="99"/>
      <c r="M29" s="99"/>
      <c r="N29" s="99"/>
      <c r="T29" s="101"/>
      <c r="U29" s="101"/>
      <c r="V29" s="101"/>
      <c r="W29" s="101"/>
      <c r="X29" s="101"/>
    </row>
    <row r="30" spans="2:26">
      <c r="B30" s="74" t="s">
        <v>307</v>
      </c>
      <c r="C30" s="80">
        <f t="shared" ref="C30:N30" si="30">C21-C23</f>
        <v>2188669</v>
      </c>
      <c r="D30" s="80">
        <f t="shared" si="30"/>
        <v>2385342</v>
      </c>
      <c r="E30" s="80">
        <f t="shared" si="30"/>
        <v>2668873</v>
      </c>
      <c r="F30" s="80">
        <f t="shared" si="30"/>
        <v>2720828</v>
      </c>
      <c r="G30" s="80">
        <f t="shared" si="30"/>
        <v>2802340</v>
      </c>
      <c r="H30" s="80">
        <f t="shared" si="30"/>
        <v>2926299</v>
      </c>
      <c r="I30" s="80">
        <f t="shared" si="30"/>
        <v>2907831</v>
      </c>
      <c r="J30" s="80">
        <f t="shared" si="30"/>
        <v>1541926.8757769372</v>
      </c>
      <c r="K30" s="80">
        <f t="shared" si="30"/>
        <v>2613913.1691269786</v>
      </c>
      <c r="L30" s="80">
        <f t="shared" si="30"/>
        <v>2767258.6219471707</v>
      </c>
      <c r="M30" s="80">
        <f t="shared" si="30"/>
        <v>5476967.6715000002</v>
      </c>
      <c r="N30" s="80">
        <f t="shared" si="30"/>
        <v>5476967.6715000002</v>
      </c>
      <c r="O30" s="103"/>
      <c r="P30" s="74" t="s">
        <v>308</v>
      </c>
      <c r="Q30" s="97">
        <f t="shared" ref="Q30:X30" si="31">IFERROR(G30/G7,"")</f>
        <v>0.50699649885586839</v>
      </c>
      <c r="R30" s="97">
        <f t="shared" si="31"/>
        <v>0.51836133072395951</v>
      </c>
      <c r="S30" s="97">
        <f t="shared" si="31"/>
        <v>0.50525378054482661</v>
      </c>
      <c r="T30" s="97">
        <f t="shared" si="31"/>
        <v>0.39046630440807412</v>
      </c>
      <c r="U30" s="97">
        <f t="shared" si="31"/>
        <v>0.50525378054482661</v>
      </c>
      <c r="V30" s="97">
        <f t="shared" si="31"/>
        <v>0.5052537805448265</v>
      </c>
      <c r="W30" s="97">
        <f t="shared" si="31"/>
        <v>1</v>
      </c>
      <c r="X30" s="97">
        <f t="shared" si="31"/>
        <v>1</v>
      </c>
    </row>
    <row r="31" spans="2:26">
      <c r="C31" s="99"/>
      <c r="D31" s="99"/>
      <c r="E31" s="99"/>
      <c r="F31" s="99"/>
      <c r="G31" s="99"/>
      <c r="H31" s="99"/>
      <c r="I31" s="99"/>
      <c r="J31" s="99"/>
      <c r="K31" s="99"/>
      <c r="L31" s="99"/>
      <c r="M31" s="99"/>
      <c r="N31" s="99"/>
    </row>
    <row r="32" spans="2:26">
      <c r="B32" s="61" t="s">
        <v>309</v>
      </c>
      <c r="C32" s="178">
        <f>SUM('IS as rep.'!J30:J31,'IS as rep.'!J34,'IS as rep.'!J36,'IS as rep.'!J37,'IS as rep.'!J42:J43)</f>
        <v>-597541</v>
      </c>
      <c r="D32" s="178">
        <f>SUM('IS as rep.'!K30:K31,'IS as rep.'!K34,'IS as rep.'!K36,'IS as rep.'!K37,'IS as rep.'!K42:K43)</f>
        <v>-705731</v>
      </c>
      <c r="E32" s="178">
        <f>SUM('IS as rep.'!L30:L31,'IS as rep.'!L34,'IS as rep.'!L36,'IS as rep.'!L37,'IS as rep.'!L42:L43)</f>
        <v>-509328</v>
      </c>
      <c r="F32" s="178">
        <f>SUM('IS as rep.'!M30:M31,'IS as rep.'!M34,'IS as rep.'!M36,'IS as rep.'!M37,'IS as rep.'!M42:M43)</f>
        <v>-556444</v>
      </c>
      <c r="G32" s="178">
        <f>SUM('IS as rep.'!N30:N31,'IS as rep.'!N34,'IS as rep.'!N36,'IS as rep.'!N37,'IS as rep.'!N42:N43)</f>
        <v>-534094</v>
      </c>
      <c r="H32" s="178">
        <f>SUM('IS as rep.'!O30:O31,'IS as rep.'!O34,'IS as rep.'!O36,'IS as rep.'!O37,'IS as rep.'!O42:O43)</f>
        <v>-67058</v>
      </c>
      <c r="I32" s="178">
        <f>SUM('IS as rep.'!P30:P31,'IS as rep.'!P34,'IS as rep.'!P36,'IS as rep.'!P37,'IS as rep.'!P42:P43)</f>
        <v>-454589</v>
      </c>
      <c r="J32" s="99">
        <f t="shared" ref="J32:N32" si="32">T32</f>
        <v>-954589</v>
      </c>
      <c r="K32" s="99">
        <f t="shared" si="32"/>
        <v>-500000</v>
      </c>
      <c r="L32" s="99">
        <f t="shared" si="32"/>
        <v>-500000</v>
      </c>
      <c r="M32" s="99">
        <f t="shared" si="32"/>
        <v>0</v>
      </c>
      <c r="N32" s="99">
        <f t="shared" si="32"/>
        <v>0</v>
      </c>
      <c r="P32" s="75" t="str">
        <f t="shared" ref="P32" si="33">B32</f>
        <v>Other income/(expense), net</v>
      </c>
      <c r="Q32" s="86"/>
      <c r="R32" s="86"/>
      <c r="S32" s="86"/>
      <c r="T32" s="93">
        <f>I32-500000</f>
        <v>-954589</v>
      </c>
      <c r="U32" s="93">
        <v>-500000</v>
      </c>
      <c r="V32" s="93">
        <v>-500000</v>
      </c>
      <c r="W32" s="93"/>
      <c r="X32" s="93"/>
      <c r="Z32" s="61" t="s">
        <v>872</v>
      </c>
    </row>
    <row r="33" spans="2:26">
      <c r="B33" s="75"/>
      <c r="C33" s="86"/>
      <c r="D33" s="86"/>
      <c r="E33" s="86"/>
      <c r="F33" s="86"/>
      <c r="G33" s="86"/>
      <c r="H33" s="86"/>
      <c r="I33" s="103"/>
      <c r="J33" s="103"/>
      <c r="K33" s="103"/>
      <c r="L33" s="103"/>
      <c r="M33" s="103"/>
      <c r="N33" s="103"/>
      <c r="P33" s="75"/>
      <c r="Q33" s="86"/>
      <c r="R33" s="86"/>
      <c r="S33" s="86"/>
      <c r="T33" s="86"/>
      <c r="U33" s="86"/>
      <c r="V33" s="86"/>
      <c r="W33" s="86"/>
      <c r="X33" s="86"/>
    </row>
    <row r="34" spans="2:26">
      <c r="B34" s="75" t="s">
        <v>311</v>
      </c>
      <c r="C34" s="103">
        <f t="shared" ref="C34:N34" si="34">C30+C32</f>
        <v>1591128</v>
      </c>
      <c r="D34" s="103">
        <f t="shared" si="34"/>
        <v>1679611</v>
      </c>
      <c r="E34" s="103">
        <f t="shared" si="34"/>
        <v>2159545</v>
      </c>
      <c r="F34" s="103">
        <f t="shared" si="34"/>
        <v>2164384</v>
      </c>
      <c r="G34" s="103">
        <f t="shared" si="34"/>
        <v>2268246</v>
      </c>
      <c r="H34" s="103">
        <f t="shared" si="34"/>
        <v>2859241</v>
      </c>
      <c r="I34" s="103">
        <f t="shared" si="34"/>
        <v>2453242</v>
      </c>
      <c r="J34" s="103">
        <f t="shared" si="34"/>
        <v>587337.87577693723</v>
      </c>
      <c r="K34" s="103">
        <f t="shared" si="34"/>
        <v>2113913.1691269786</v>
      </c>
      <c r="L34" s="103">
        <f t="shared" si="34"/>
        <v>2267258.6219471707</v>
      </c>
      <c r="M34" s="103">
        <f t="shared" si="34"/>
        <v>5476967.6715000002</v>
      </c>
      <c r="N34" s="103">
        <f t="shared" si="34"/>
        <v>5476967.6715000002</v>
      </c>
      <c r="P34" s="75" t="s">
        <v>312</v>
      </c>
      <c r="Q34" s="87">
        <f t="shared" ref="Q34:X34" si="35">G34/G$7</f>
        <v>0.41036875630502651</v>
      </c>
      <c r="R34" s="87">
        <f t="shared" si="35"/>
        <v>0.50648275163286616</v>
      </c>
      <c r="S34" s="87">
        <f t="shared" si="35"/>
        <v>0.42626610524867209</v>
      </c>
      <c r="T34" s="87">
        <f t="shared" si="35"/>
        <v>0.14873315550580365</v>
      </c>
      <c r="U34" s="87">
        <f t="shared" si="35"/>
        <v>0.40860677128063277</v>
      </c>
      <c r="V34" s="87">
        <f t="shared" si="35"/>
        <v>0.41396238903236526</v>
      </c>
      <c r="W34" s="87">
        <f t="shared" si="35"/>
        <v>1</v>
      </c>
      <c r="X34" s="87">
        <f t="shared" si="35"/>
        <v>1</v>
      </c>
    </row>
    <row r="35" spans="2:26">
      <c r="B35" s="98" t="s">
        <v>313</v>
      </c>
      <c r="C35" s="178">
        <f>-'IS as rep.'!J33</f>
        <v>39538</v>
      </c>
      <c r="D35" s="178">
        <f>-'IS as rep.'!K33</f>
        <v>28085</v>
      </c>
      <c r="E35" s="178">
        <f>-'IS as rep.'!L33</f>
        <v>20170</v>
      </c>
      <c r="F35" s="178">
        <f>-'IS as rep.'!M33</f>
        <v>29678</v>
      </c>
      <c r="G35" s="178">
        <f>-'IS as rep.'!N33</f>
        <v>23343</v>
      </c>
      <c r="H35" s="178">
        <f>-'IS as rep.'!O33</f>
        <v>36898</v>
      </c>
      <c r="I35" s="178">
        <f>-'IS as rep.'!P33</f>
        <v>30054</v>
      </c>
      <c r="J35" s="86">
        <f>J34*T35</f>
        <v>7195.3164500689581</v>
      </c>
      <c r="K35" s="86">
        <f t="shared" ref="K35:N35" si="36">K34*U35</f>
        <v>25896.974854067481</v>
      </c>
      <c r="L35" s="86">
        <f t="shared" si="36"/>
        <v>27775.568257840143</v>
      </c>
      <c r="M35" s="86">
        <f t="shared" si="36"/>
        <v>0</v>
      </c>
      <c r="N35" s="86">
        <f t="shared" si="36"/>
        <v>0</v>
      </c>
      <c r="P35" s="75" t="s">
        <v>314</v>
      </c>
      <c r="Q35" s="87">
        <f>IFERROR(G35/G34,"")</f>
        <v>1.029121179977833E-2</v>
      </c>
      <c r="R35" s="87">
        <f t="shared" ref="R35:S35" si="37">IFERROR(H35/H34,"")</f>
        <v>1.2904823342978084E-2</v>
      </c>
      <c r="S35" s="87">
        <f t="shared" si="37"/>
        <v>1.2250727812421277E-2</v>
      </c>
      <c r="T35" s="88">
        <f>S35</f>
        <v>1.2250727812421277E-2</v>
      </c>
      <c r="U35" s="88">
        <f t="shared" ref="U35:V35" si="38">T35</f>
        <v>1.2250727812421277E-2</v>
      </c>
      <c r="V35" s="88">
        <f t="shared" si="38"/>
        <v>1.2250727812421277E-2</v>
      </c>
      <c r="W35" s="88"/>
      <c r="X35" s="88"/>
    </row>
    <row r="36" spans="2:26">
      <c r="B36" s="75"/>
      <c r="C36" s="86"/>
      <c r="D36" s="86"/>
      <c r="E36" s="86"/>
      <c r="F36" s="86"/>
      <c r="G36" s="86"/>
      <c r="H36" s="86"/>
      <c r="I36" s="87"/>
      <c r="J36" s="86"/>
      <c r="K36" s="86"/>
      <c r="L36" s="86"/>
      <c r="M36" s="86"/>
      <c r="N36" s="86"/>
    </row>
    <row r="37" spans="2:26">
      <c r="B37" s="75" t="s">
        <v>316</v>
      </c>
      <c r="C37" s="178">
        <f>-SUM('IS as rep.'!J45:J46)</f>
        <v>-235286</v>
      </c>
      <c r="D37" s="178">
        <f>-SUM('IS as rep.'!K45:K46)</f>
        <v>-246275</v>
      </c>
      <c r="E37" s="178">
        <f>-SUM('IS as rep.'!L45:L46)</f>
        <v>-314992</v>
      </c>
      <c r="F37" s="178">
        <f>-SUM('IS as rep.'!M45:M46)</f>
        <v>-299147</v>
      </c>
      <c r="G37" s="178">
        <f>-SUM('IS as rep.'!N45:N46)</f>
        <v>-300278</v>
      </c>
      <c r="H37" s="178">
        <f>-SUM('IS as rep.'!O45:O46)</f>
        <v>-385622</v>
      </c>
      <c r="I37" s="178">
        <f>-SUM('IS as rep.'!P45:P46)</f>
        <v>-324941</v>
      </c>
      <c r="J37" s="86">
        <f t="shared" ref="J37:N37" si="39">T37</f>
        <v>-200000</v>
      </c>
      <c r="K37" s="86">
        <f t="shared" si="39"/>
        <v>-320000</v>
      </c>
      <c r="L37" s="86">
        <f t="shared" si="39"/>
        <v>-330000</v>
      </c>
      <c r="M37" s="86">
        <f t="shared" si="39"/>
        <v>0</v>
      </c>
      <c r="N37" s="86">
        <f t="shared" si="39"/>
        <v>0</v>
      </c>
      <c r="P37" s="75" t="str">
        <f>B37</f>
        <v>Minority interest+Prefered share dividend</v>
      </c>
      <c r="Q37" s="86"/>
      <c r="R37" s="86"/>
      <c r="S37" s="86"/>
      <c r="T37" s="93">
        <v>-200000</v>
      </c>
      <c r="U37" s="93">
        <v>-320000</v>
      </c>
      <c r="V37" s="93">
        <v>-330000</v>
      </c>
      <c r="W37" s="93">
        <v>0</v>
      </c>
      <c r="X37" s="93">
        <v>0</v>
      </c>
      <c r="Z37" s="61" t="s">
        <v>317</v>
      </c>
    </row>
    <row r="38" spans="2:26">
      <c r="B38" s="75"/>
      <c r="C38" s="86"/>
      <c r="D38" s="86"/>
      <c r="E38" s="86"/>
      <c r="F38" s="86"/>
      <c r="G38" s="86"/>
      <c r="H38" s="86"/>
      <c r="I38" s="86"/>
      <c r="J38" s="86"/>
      <c r="K38" s="86"/>
      <c r="L38" s="86"/>
      <c r="M38" s="86"/>
      <c r="N38" s="86"/>
    </row>
    <row r="39" spans="2:26" s="74" customFormat="1">
      <c r="B39" s="96" t="s">
        <v>318</v>
      </c>
      <c r="C39" s="104">
        <f t="shared" ref="C39:N39" si="40">C34-C35+C37</f>
        <v>1316304</v>
      </c>
      <c r="D39" s="104">
        <f t="shared" si="40"/>
        <v>1405251</v>
      </c>
      <c r="E39" s="104">
        <f t="shared" si="40"/>
        <v>1824383</v>
      </c>
      <c r="F39" s="104">
        <f t="shared" si="40"/>
        <v>1835559</v>
      </c>
      <c r="G39" s="104">
        <f t="shared" si="40"/>
        <v>1944625</v>
      </c>
      <c r="H39" s="104">
        <f t="shared" si="40"/>
        <v>2436721</v>
      </c>
      <c r="I39" s="104">
        <f t="shared" si="40"/>
        <v>2098247</v>
      </c>
      <c r="J39" s="104">
        <f t="shared" si="40"/>
        <v>380142.55932686827</v>
      </c>
      <c r="K39" s="104">
        <f t="shared" si="40"/>
        <v>1768016.1942729112</v>
      </c>
      <c r="L39" s="104">
        <f t="shared" si="40"/>
        <v>1909483.0536893304</v>
      </c>
      <c r="M39" s="104">
        <f t="shared" si="40"/>
        <v>5476967.6715000002</v>
      </c>
      <c r="N39" s="104">
        <f t="shared" si="40"/>
        <v>5476967.6715000002</v>
      </c>
      <c r="P39" s="75" t="s">
        <v>319</v>
      </c>
      <c r="Q39" s="87">
        <f t="shared" ref="Q39:X39" si="41">G39/G$7</f>
        <v>0.35181957456539642</v>
      </c>
      <c r="R39" s="87">
        <f t="shared" si="41"/>
        <v>0.43163803157606839</v>
      </c>
      <c r="S39" s="87">
        <f t="shared" si="41"/>
        <v>0.36458350889953395</v>
      </c>
      <c r="T39" s="87">
        <f t="shared" si="41"/>
        <v>9.6264526301740358E-2</v>
      </c>
      <c r="U39" s="87">
        <f t="shared" si="41"/>
        <v>0.34174695501427743</v>
      </c>
      <c r="V39" s="87">
        <f t="shared" si="41"/>
        <v>0.34863873008152563</v>
      </c>
      <c r="W39" s="87">
        <f t="shared" si="41"/>
        <v>1</v>
      </c>
      <c r="X39" s="87">
        <f t="shared" si="41"/>
        <v>1</v>
      </c>
    </row>
    <row r="40" spans="2:26">
      <c r="C40" s="86"/>
      <c r="D40" s="86"/>
      <c r="E40" s="86"/>
      <c r="F40" s="86"/>
      <c r="G40" s="86"/>
      <c r="H40" s="86"/>
      <c r="I40" s="86"/>
      <c r="J40" s="99"/>
      <c r="K40" s="99"/>
      <c r="L40" s="99"/>
      <c r="M40" s="99"/>
      <c r="N40" s="99"/>
    </row>
    <row r="41" spans="2:26" s="79" customFormat="1" ht="20">
      <c r="B41" s="76" t="s">
        <v>320</v>
      </c>
      <c r="C41" s="77"/>
      <c r="D41" s="77"/>
      <c r="E41" s="77"/>
      <c r="F41" s="77"/>
      <c r="G41" s="77"/>
      <c r="H41" s="77"/>
      <c r="I41" s="77"/>
      <c r="J41" s="77"/>
      <c r="K41" s="77"/>
      <c r="L41" s="77"/>
      <c r="M41" s="77"/>
      <c r="N41" s="77"/>
      <c r="P41" s="73" t="s">
        <v>276</v>
      </c>
    </row>
    <row r="42" spans="2:26">
      <c r="B42" s="75" t="s">
        <v>321</v>
      </c>
      <c r="C42" s="178">
        <f>'BS as rep.'!J11</f>
        <v>1691006</v>
      </c>
      <c r="D42" s="178">
        <f>'BS as rep.'!K11</f>
        <v>612282</v>
      </c>
      <c r="E42" s="178">
        <f>'BS as rep.'!L11</f>
        <v>701134</v>
      </c>
      <c r="F42" s="178">
        <f>'BS as rep.'!M11</f>
        <v>560059</v>
      </c>
      <c r="G42" s="178">
        <f>'BS as rep.'!N11</f>
        <v>1482309</v>
      </c>
      <c r="H42" s="178">
        <f>'BS as rep.'!O11</f>
        <v>514335</v>
      </c>
      <c r="I42" s="178">
        <f>'BS as rep.'!P11</f>
        <v>669373</v>
      </c>
      <c r="J42" s="99">
        <f>J105</f>
        <v>3332940.4449378187</v>
      </c>
      <c r="K42" s="99">
        <f>K105</f>
        <v>-1315492.6129003884</v>
      </c>
      <c r="L42" s="99">
        <f>L105</f>
        <v>-3992204.8614099878</v>
      </c>
      <c r="M42" s="99">
        <f>M105</f>
        <v>-3385848.0579714198</v>
      </c>
      <c r="N42" s="99" t="e">
        <f>N105</f>
        <v>#DIV/0!</v>
      </c>
      <c r="P42" s="106" t="s">
        <v>322</v>
      </c>
    </row>
    <row r="43" spans="2:26">
      <c r="B43" s="75" t="s">
        <v>323</v>
      </c>
      <c r="C43" s="178">
        <f>'BS as rep.'!J12</f>
        <v>520361</v>
      </c>
      <c r="D43" s="178">
        <f>'BS as rep.'!K12</f>
        <v>580197</v>
      </c>
      <c r="E43" s="178">
        <f>'BS as rep.'!L12</f>
        <v>624605</v>
      </c>
      <c r="F43" s="178">
        <f>'BS as rep.'!M12</f>
        <v>664619</v>
      </c>
      <c r="G43" s="178">
        <f>'BS as rep.'!N12</f>
        <v>742672</v>
      </c>
      <c r="H43" s="178">
        <f>'BS as rep.'!O12</f>
        <v>763815</v>
      </c>
      <c r="I43" s="178">
        <f>'BS as rep.'!P12</f>
        <v>832151</v>
      </c>
      <c r="J43" s="99">
        <f>I43*(J7/I7)+1000000</f>
        <v>1570982.4571707549</v>
      </c>
      <c r="K43" s="99">
        <f>J43*(K7/J7)-1000000</f>
        <v>1058129.5310331325</v>
      </c>
      <c r="L43" s="99">
        <f>K43*(L7/K7)-500000</f>
        <v>620204.79581053369</v>
      </c>
      <c r="M43" s="99">
        <f>L43*(M7/L7)</f>
        <v>620204.79581053369</v>
      </c>
      <c r="N43" s="99">
        <f>M43*(N7/M7)</f>
        <v>620204.79581053369</v>
      </c>
      <c r="P43" s="106" t="s">
        <v>324</v>
      </c>
      <c r="Q43" s="136" t="s">
        <v>873</v>
      </c>
    </row>
    <row r="44" spans="2:26">
      <c r="B44" s="75" t="s">
        <v>326</v>
      </c>
      <c r="C44" s="84">
        <v>0</v>
      </c>
      <c r="D44" s="84">
        <v>0</v>
      </c>
      <c r="E44" s="84">
        <v>0</v>
      </c>
      <c r="F44" s="85">
        <v>0</v>
      </c>
      <c r="G44" s="105">
        <v>0</v>
      </c>
      <c r="H44" s="105">
        <v>0</v>
      </c>
      <c r="I44" s="105">
        <v>0</v>
      </c>
      <c r="J44" s="99">
        <f>I44*(J14/I14)</f>
        <v>0</v>
      </c>
      <c r="K44" s="99">
        <f>J44*(K14/J14)</f>
        <v>0</v>
      </c>
      <c r="L44" s="99">
        <f>K44*(L14/K14)</f>
        <v>0</v>
      </c>
      <c r="M44" s="99">
        <f>L44*(M14/L14)</f>
        <v>0</v>
      </c>
      <c r="N44" s="99" t="e">
        <f>M44*(N14/M14)</f>
        <v>#DIV/0!</v>
      </c>
      <c r="P44" s="106" t="s">
        <v>327</v>
      </c>
    </row>
    <row r="45" spans="2:26">
      <c r="B45" s="75" t="s">
        <v>328</v>
      </c>
      <c r="C45" s="84">
        <v>0</v>
      </c>
      <c r="D45" s="84">
        <v>0</v>
      </c>
      <c r="E45" s="84">
        <v>0</v>
      </c>
      <c r="F45" s="85">
        <v>0</v>
      </c>
      <c r="G45" s="105">
        <v>0</v>
      </c>
      <c r="H45" s="105">
        <v>0</v>
      </c>
      <c r="I45" s="105">
        <v>0</v>
      </c>
      <c r="J45" s="107">
        <f>I45*(J23/I23)</f>
        <v>0</v>
      </c>
      <c r="K45" s="107">
        <f>J45*(K23/J23)</f>
        <v>0</v>
      </c>
      <c r="L45" s="107">
        <f>K45*(L23/K23)</f>
        <v>0</v>
      </c>
      <c r="M45" s="107">
        <f>L45*(M23/L23)</f>
        <v>0</v>
      </c>
      <c r="N45" s="107" t="e">
        <f>M45*(N23/M23)</f>
        <v>#DIV/0!</v>
      </c>
      <c r="P45" s="106" t="s">
        <v>329</v>
      </c>
    </row>
    <row r="46" spans="2:26">
      <c r="B46" s="96" t="s">
        <v>330</v>
      </c>
      <c r="C46" s="108">
        <f t="shared" ref="C46:N46" si="42">SUM(C42:C45)</f>
        <v>2211367</v>
      </c>
      <c r="D46" s="108">
        <f t="shared" si="42"/>
        <v>1192479</v>
      </c>
      <c r="E46" s="108">
        <f t="shared" si="42"/>
        <v>1325739</v>
      </c>
      <c r="F46" s="108">
        <f t="shared" si="42"/>
        <v>1224678</v>
      </c>
      <c r="G46" s="108">
        <f t="shared" si="42"/>
        <v>2224981</v>
      </c>
      <c r="H46" s="108">
        <f t="shared" si="42"/>
        <v>1278150</v>
      </c>
      <c r="I46" s="108">
        <f t="shared" si="42"/>
        <v>1501524</v>
      </c>
      <c r="J46" s="108">
        <f t="shared" si="42"/>
        <v>4903922.9021085734</v>
      </c>
      <c r="K46" s="108">
        <f t="shared" si="42"/>
        <v>-257363.08186725597</v>
      </c>
      <c r="L46" s="108">
        <f t="shared" si="42"/>
        <v>-3372000.0655994541</v>
      </c>
      <c r="M46" s="108">
        <f t="shared" si="42"/>
        <v>-2765643.2621608861</v>
      </c>
      <c r="N46" s="108" t="e">
        <f t="shared" si="42"/>
        <v>#DIV/0!</v>
      </c>
    </row>
    <row r="47" spans="2:26">
      <c r="B47" s="75"/>
      <c r="C47" s="86"/>
      <c r="D47" s="86"/>
      <c r="E47" s="86"/>
      <c r="F47" s="86"/>
      <c r="G47" s="86"/>
      <c r="H47" s="99"/>
      <c r="I47" s="99"/>
      <c r="J47" s="99"/>
      <c r="K47" s="99"/>
      <c r="L47" s="99"/>
      <c r="M47" s="99"/>
      <c r="N47" s="99"/>
    </row>
    <row r="48" spans="2:26">
      <c r="B48" s="75" t="s">
        <v>331</v>
      </c>
      <c r="C48" s="178">
        <f>'BS as rep.'!J10</f>
        <v>22243845</v>
      </c>
      <c r="D48" s="178">
        <f>'BS as rep.'!K10</f>
        <v>22367785</v>
      </c>
      <c r="E48" s="178">
        <f>'BS as rep.'!L10</f>
        <v>23547738</v>
      </c>
      <c r="F48" s="178">
        <f>'BS as rep.'!M10</f>
        <v>24360335</v>
      </c>
      <c r="G48" s="178">
        <f>'BS as rep.'!N10</f>
        <v>24457515</v>
      </c>
      <c r="H48" s="178">
        <f>'BS as rep.'!O10</f>
        <v>24208131</v>
      </c>
      <c r="I48" s="178">
        <f>'BS as rep.'!P10</f>
        <v>23898719</v>
      </c>
      <c r="J48" s="99">
        <f>I48-J75-J90</f>
        <v>24491059.565000001</v>
      </c>
      <c r="K48" s="99">
        <f>J48-K75-K90</f>
        <v>25267079.4395</v>
      </c>
      <c r="L48" s="99">
        <f>K48-L75-L90</f>
        <v>26088624.590225</v>
      </c>
      <c r="M48" s="99">
        <f>L48-M75-M90</f>
        <v>26910169.74095</v>
      </c>
      <c r="N48" s="99">
        <f>M48-N75-N90</f>
        <v>27731714.891674999</v>
      </c>
      <c r="P48" s="106" t="s">
        <v>332</v>
      </c>
    </row>
    <row r="49" spans="2:26">
      <c r="B49" s="75" t="s">
        <v>333</v>
      </c>
      <c r="C49" s="84">
        <v>0</v>
      </c>
      <c r="D49" s="84">
        <v>0</v>
      </c>
      <c r="E49" s="84">
        <v>0</v>
      </c>
      <c r="F49" s="85">
        <v>0</v>
      </c>
      <c r="G49" s="105">
        <v>0</v>
      </c>
      <c r="H49" s="105">
        <v>0</v>
      </c>
      <c r="I49" s="105">
        <v>0</v>
      </c>
      <c r="J49" s="99">
        <f>I49-J77-J91</f>
        <v>0</v>
      </c>
      <c r="K49" s="99">
        <f>J49-K77-K91</f>
        <v>0</v>
      </c>
      <c r="L49" s="99">
        <f>K49-L77-L91</f>
        <v>0</v>
      </c>
      <c r="M49" s="99">
        <f>L49-M77-M91</f>
        <v>0</v>
      </c>
      <c r="N49" s="99">
        <f>M49-N77-N91</f>
        <v>0</v>
      </c>
      <c r="P49" s="106" t="s">
        <v>334</v>
      </c>
    </row>
    <row r="50" spans="2:26">
      <c r="B50" s="75" t="s">
        <v>335</v>
      </c>
      <c r="C50" s="84">
        <v>0</v>
      </c>
      <c r="D50" s="84">
        <v>0</v>
      </c>
      <c r="E50" s="84">
        <v>0</v>
      </c>
      <c r="F50" s="85">
        <v>0</v>
      </c>
      <c r="G50" s="105">
        <v>0</v>
      </c>
      <c r="H50" s="105">
        <v>0</v>
      </c>
      <c r="I50" s="105">
        <v>0</v>
      </c>
      <c r="J50" s="99">
        <f>I50</f>
        <v>0</v>
      </c>
      <c r="K50" s="99">
        <f>J50</f>
        <v>0</v>
      </c>
      <c r="L50" s="99">
        <f>K50</f>
        <v>0</v>
      </c>
      <c r="M50" s="99">
        <f>L50</f>
        <v>0</v>
      </c>
      <c r="N50" s="99">
        <f>M50</f>
        <v>0</v>
      </c>
      <c r="P50" s="106" t="s">
        <v>336</v>
      </c>
    </row>
    <row r="51" spans="2:26">
      <c r="B51" s="75" t="s">
        <v>337</v>
      </c>
      <c r="C51" s="84">
        <v>0</v>
      </c>
      <c r="D51" s="84">
        <v>0</v>
      </c>
      <c r="E51" s="84">
        <v>0</v>
      </c>
      <c r="F51" s="85">
        <v>0</v>
      </c>
      <c r="G51" s="105">
        <v>0</v>
      </c>
      <c r="H51" s="105">
        <v>0</v>
      </c>
      <c r="I51" s="105">
        <v>0</v>
      </c>
      <c r="J51" s="99">
        <f>I51-J76</f>
        <v>0</v>
      </c>
      <c r="K51" s="99">
        <f>J51-K76</f>
        <v>0</v>
      </c>
      <c r="L51" s="99">
        <f>K51-L76</f>
        <v>0</v>
      </c>
      <c r="M51" s="99">
        <f>L51-M76</f>
        <v>0</v>
      </c>
      <c r="N51" s="99">
        <f>M51-N76</f>
        <v>0</v>
      </c>
      <c r="P51" s="106" t="s">
        <v>338</v>
      </c>
    </row>
    <row r="52" spans="2:26">
      <c r="B52" s="75" t="s">
        <v>339</v>
      </c>
      <c r="C52" s="178">
        <f>SUM('BS as rep.'!J16:J17,'BS as rep.'!J19)</f>
        <v>4425102</v>
      </c>
      <c r="D52" s="178">
        <f>SUM('BS as rep.'!K16:K17)</f>
        <v>1806789</v>
      </c>
      <c r="E52" s="178">
        <f>SUM('BS as rep.'!L16:L17)</f>
        <v>1266768</v>
      </c>
      <c r="F52" s="178">
        <f>SUM('BS as rep.'!M16:M17)</f>
        <v>1353588</v>
      </c>
      <c r="G52" s="178">
        <f>SUM('BS as rep.'!N16:N17)</f>
        <v>1373983</v>
      </c>
      <c r="H52" s="178">
        <f>SUM('BS as rep.'!O16:O17)</f>
        <v>1210040</v>
      </c>
      <c r="I52" s="178">
        <f>SUM('BS as rep.'!P16:P17)</f>
        <v>1728685</v>
      </c>
      <c r="J52" s="99">
        <f>I52*(J7/I7)</f>
        <v>1186141.4682842735</v>
      </c>
      <c r="K52" s="99">
        <f>J52*(K7/J7)</f>
        <v>1553952.9246274186</v>
      </c>
      <c r="L52" s="99">
        <f>K52*(L7/K7)</f>
        <v>1645115.7136988859</v>
      </c>
      <c r="M52" s="99">
        <f>L52*(M7/L7)</f>
        <v>1645115.7136988859</v>
      </c>
      <c r="N52" s="99">
        <f>M52*(N7/M7)</f>
        <v>1645115.7136988859</v>
      </c>
      <c r="P52" s="106" t="s">
        <v>324</v>
      </c>
    </row>
    <row r="53" spans="2:26">
      <c r="B53" s="98" t="s">
        <v>340</v>
      </c>
      <c r="C53" s="178">
        <f>SUM('BS as rep.'!J13:J15)</f>
        <v>4444260</v>
      </c>
      <c r="D53" s="178">
        <f>SUM('BS as rep.'!K13:K15)</f>
        <v>4165277</v>
      </c>
      <c r="E53" s="178">
        <f>SUM('BS as rep.'!L13:L15)</f>
        <v>4424937</v>
      </c>
      <c r="F53" s="178">
        <f>SUM('BS as rep.'!M13:M15)</f>
        <v>4164977</v>
      </c>
      <c r="G53" s="178">
        <f>SUM('BS as rep.'!N13:N15)</f>
        <v>4201159</v>
      </c>
      <c r="H53" s="178">
        <f>SUM('BS as rep.'!O13:O15)</f>
        <v>3989902</v>
      </c>
      <c r="I53" s="178">
        <f>SUM('BS as rep.'!P13:P15)</f>
        <v>4102702</v>
      </c>
      <c r="J53" s="99">
        <f>I53-J92</f>
        <v>4202702</v>
      </c>
      <c r="K53" s="99">
        <f>J53-K92</f>
        <v>4302702</v>
      </c>
      <c r="L53" s="99">
        <f>K53-L92</f>
        <v>4302702</v>
      </c>
      <c r="M53" s="99">
        <f>L53-M92</f>
        <v>4302702</v>
      </c>
      <c r="N53" s="99">
        <f>M53-N92</f>
        <v>4302702</v>
      </c>
      <c r="P53" s="106" t="s">
        <v>336</v>
      </c>
    </row>
    <row r="54" spans="2:26">
      <c r="B54" s="109" t="s">
        <v>341</v>
      </c>
      <c r="C54" s="108">
        <f t="shared" ref="C54:N54" si="43">SUM(C53,C52,C51,C50,C49,C48,C46)</f>
        <v>33324574</v>
      </c>
      <c r="D54" s="108">
        <f t="shared" si="43"/>
        <v>29532330</v>
      </c>
      <c r="E54" s="108">
        <f t="shared" si="43"/>
        <v>30565182</v>
      </c>
      <c r="F54" s="108">
        <f t="shared" si="43"/>
        <v>31103578</v>
      </c>
      <c r="G54" s="108">
        <f t="shared" si="43"/>
        <v>32257638</v>
      </c>
      <c r="H54" s="108">
        <f t="shared" si="43"/>
        <v>30686223</v>
      </c>
      <c r="I54" s="108">
        <f t="shared" si="43"/>
        <v>31231630</v>
      </c>
      <c r="J54" s="108">
        <f t="shared" si="43"/>
        <v>34783825.935392849</v>
      </c>
      <c r="K54" s="108">
        <f t="shared" si="43"/>
        <v>30866371.282260165</v>
      </c>
      <c r="L54" s="108">
        <f t="shared" si="43"/>
        <v>28664442.238324434</v>
      </c>
      <c r="M54" s="108">
        <f t="shared" si="43"/>
        <v>30092344.192488</v>
      </c>
      <c r="N54" s="108" t="e">
        <f t="shared" si="43"/>
        <v>#DIV/0!</v>
      </c>
      <c r="P54" s="110"/>
    </row>
    <row r="55" spans="2:26">
      <c r="B55" s="75"/>
      <c r="C55" s="86"/>
      <c r="D55" s="86"/>
      <c r="E55" s="86"/>
      <c r="F55" s="86"/>
      <c r="G55" s="86"/>
      <c r="H55" s="86"/>
      <c r="I55" s="86"/>
      <c r="J55" s="99"/>
      <c r="K55" s="99"/>
      <c r="L55" s="99"/>
      <c r="M55" s="99"/>
      <c r="N55" s="99"/>
    </row>
    <row r="56" spans="2:26">
      <c r="B56" s="75" t="s">
        <v>342</v>
      </c>
      <c r="C56" s="178">
        <f>'BS as rep.'!J23</f>
        <v>1223102</v>
      </c>
      <c r="D56" s="178">
        <f>'BS as rep.'!K23</f>
        <v>1259681</v>
      </c>
      <c r="E56" s="178">
        <f>'BS as rep.'!L23</f>
        <v>1323801</v>
      </c>
      <c r="F56" s="178">
        <f>'BS as rep.'!M23</f>
        <v>1214022</v>
      </c>
      <c r="G56" s="178">
        <f>'BS as rep.'!N23</f>
        <v>1269190</v>
      </c>
      <c r="H56" s="178">
        <f>'BS as rep.'!O23</f>
        <v>1316861</v>
      </c>
      <c r="I56" s="178">
        <f>'BS as rep.'!P23</f>
        <v>1390682</v>
      </c>
      <c r="J56" s="107">
        <f>I56*(J23/I23)</f>
        <v>1226117.104836799</v>
      </c>
      <c r="K56" s="107">
        <f>J56*(K23/J23)</f>
        <v>1250114.6022130738</v>
      </c>
      <c r="L56" s="107">
        <f>K56*(L23/K23)</f>
        <v>1323452.6885801598</v>
      </c>
      <c r="M56" s="107">
        <f>L56*(M23/L23)</f>
        <v>0</v>
      </c>
      <c r="N56" s="107" t="e">
        <f>M56*(N23/M23)</f>
        <v>#DIV/0!</v>
      </c>
      <c r="P56" s="106" t="s">
        <v>329</v>
      </c>
    </row>
    <row r="57" spans="2:26">
      <c r="B57" s="75" t="s">
        <v>343</v>
      </c>
      <c r="C57" s="178">
        <v>2072529</v>
      </c>
      <c r="D57" s="178">
        <v>1174796</v>
      </c>
      <c r="E57" s="178">
        <v>2928580</v>
      </c>
      <c r="F57" s="85">
        <v>2233249</v>
      </c>
      <c r="G57" s="105">
        <v>2060959</v>
      </c>
      <c r="H57" s="105">
        <v>1416309</v>
      </c>
      <c r="I57" s="105">
        <v>2857060</v>
      </c>
      <c r="J57" s="107">
        <f>I57*(J23/I23)</f>
        <v>2518972.8029449042</v>
      </c>
      <c r="K57" s="107">
        <f>J57*(K23/J23)</f>
        <v>2568274.0018198877</v>
      </c>
      <c r="L57" s="107">
        <f>K57*(L23/K23)</f>
        <v>2718942.0287562734</v>
      </c>
      <c r="M57" s="107">
        <f>L57*(M23/L23)</f>
        <v>0</v>
      </c>
      <c r="N57" s="107" t="e">
        <f>M57*(N23/M23)</f>
        <v>#DIV/0!</v>
      </c>
      <c r="P57" s="106" t="s">
        <v>329</v>
      </c>
    </row>
    <row r="58" spans="2:26">
      <c r="B58" s="75" t="s">
        <v>344</v>
      </c>
      <c r="C58" s="178"/>
      <c r="D58" s="178"/>
      <c r="E58" s="178"/>
      <c r="F58" s="179"/>
      <c r="G58" s="179"/>
      <c r="H58" s="179"/>
      <c r="I58" s="179"/>
      <c r="J58" s="107">
        <f>I58*(J23/I23)</f>
        <v>0</v>
      </c>
      <c r="K58" s="107">
        <f>J58*(K23/J23)</f>
        <v>0</v>
      </c>
      <c r="L58" s="107">
        <f>K58*(L23/K23)</f>
        <v>0</v>
      </c>
      <c r="M58" s="107">
        <f>L58*(M23/L23)</f>
        <v>0</v>
      </c>
      <c r="N58" s="107" t="e">
        <f>M58*(N23/M23)</f>
        <v>#DIV/0!</v>
      </c>
      <c r="P58" s="106" t="s">
        <v>329</v>
      </c>
    </row>
    <row r="59" spans="2:26">
      <c r="B59" s="96" t="s">
        <v>345</v>
      </c>
      <c r="C59" s="108">
        <f t="shared" ref="C59:N59" si="44">SUM(C56:C58)</f>
        <v>3295631</v>
      </c>
      <c r="D59" s="108">
        <f t="shared" si="44"/>
        <v>2434477</v>
      </c>
      <c r="E59" s="108">
        <f t="shared" si="44"/>
        <v>4252381</v>
      </c>
      <c r="F59" s="108">
        <f t="shared" si="44"/>
        <v>3447271</v>
      </c>
      <c r="G59" s="108">
        <f t="shared" si="44"/>
        <v>3330149</v>
      </c>
      <c r="H59" s="108">
        <f t="shared" si="44"/>
        <v>2733170</v>
      </c>
      <c r="I59" s="108">
        <f t="shared" si="44"/>
        <v>4247742</v>
      </c>
      <c r="J59" s="108">
        <f t="shared" si="44"/>
        <v>3745089.9077817034</v>
      </c>
      <c r="K59" s="108">
        <f t="shared" si="44"/>
        <v>3818388.6040329617</v>
      </c>
      <c r="L59" s="108">
        <f t="shared" si="44"/>
        <v>4042394.717336433</v>
      </c>
      <c r="M59" s="108">
        <f t="shared" si="44"/>
        <v>0</v>
      </c>
      <c r="N59" s="108" t="e">
        <f t="shared" si="44"/>
        <v>#DIV/0!</v>
      </c>
      <c r="P59" s="110"/>
    </row>
    <row r="60" spans="2:26">
      <c r="B60" s="75"/>
      <c r="C60" s="86"/>
      <c r="D60" s="86"/>
      <c r="E60" s="86"/>
      <c r="F60" s="86"/>
      <c r="G60" s="86"/>
      <c r="H60" s="99"/>
      <c r="I60" s="99"/>
      <c r="J60" s="99"/>
      <c r="K60" s="99"/>
      <c r="L60" s="99"/>
      <c r="M60" s="99"/>
      <c r="N60" s="99"/>
    </row>
    <row r="61" spans="2:26">
      <c r="B61" s="75" t="s">
        <v>346</v>
      </c>
      <c r="C61" s="178">
        <f>'BS as rep.'!J22-C57</f>
        <v>20597388</v>
      </c>
      <c r="D61" s="178">
        <f>'BS as rep.'!K22-D57</f>
        <v>19678197</v>
      </c>
      <c r="E61" s="178">
        <f>'BS as rep.'!L22-E57</f>
        <v>19488102</v>
      </c>
      <c r="F61" s="178">
        <f>'BS as rep.'!M22-F57</f>
        <v>20743855</v>
      </c>
      <c r="G61" s="178">
        <f>'BS as rep.'!N22-G57</f>
        <v>22571504</v>
      </c>
      <c r="H61" s="178">
        <f>'BS as rep.'!O22-H57</f>
        <v>21889226</v>
      </c>
      <c r="I61" s="178">
        <f>'BS as rep.'!P22-I57</f>
        <v>21306170</v>
      </c>
      <c r="J61" s="99">
        <f>T61</f>
        <v>28000000</v>
      </c>
      <c r="K61" s="99">
        <f>U61</f>
        <v>25000000</v>
      </c>
      <c r="L61" s="99">
        <f>V61</f>
        <v>24000000</v>
      </c>
      <c r="M61" s="99">
        <f>W61</f>
        <v>24000000</v>
      </c>
      <c r="N61" s="99">
        <f>X61</f>
        <v>24000000</v>
      </c>
      <c r="P61" s="111" t="s">
        <v>346</v>
      </c>
      <c r="Q61" s="86"/>
      <c r="R61" s="99"/>
      <c r="S61" s="99"/>
      <c r="T61" s="93">
        <v>28000000</v>
      </c>
      <c r="U61" s="93">
        <v>25000000</v>
      </c>
      <c r="V61" s="93">
        <v>24000000</v>
      </c>
      <c r="W61" s="93">
        <f t="shared" ref="W61:X61" si="45">V61</f>
        <v>24000000</v>
      </c>
      <c r="X61" s="93">
        <f t="shared" si="45"/>
        <v>24000000</v>
      </c>
      <c r="Z61" s="61" t="s">
        <v>874</v>
      </c>
    </row>
    <row r="62" spans="2:26">
      <c r="B62" s="75" t="s">
        <v>348</v>
      </c>
      <c r="C62" s="178">
        <f>SUM('BS as rep.'!J24:J28)</f>
        <v>2418438</v>
      </c>
      <c r="D62" s="178">
        <f>SUM('BS as rep.'!K24:K28)</f>
        <v>1442614</v>
      </c>
      <c r="E62" s="178">
        <f>SUM('BS as rep.'!L24:L28)</f>
        <v>1582793</v>
      </c>
      <c r="F62" s="178">
        <f>SUM('BS as rep.'!M24:M28)</f>
        <v>1814778</v>
      </c>
      <c r="G62" s="178">
        <f>SUM('BS as rep.'!N24:N28)</f>
        <v>1926741</v>
      </c>
      <c r="H62" s="178">
        <f>SUM('BS as rep.'!O24:O28)</f>
        <v>2036708</v>
      </c>
      <c r="I62" s="178">
        <f>SUM('BS as rep.'!P24:P28)</f>
        <v>2547407</v>
      </c>
      <c r="J62" s="99">
        <f>I62+J52-I52</f>
        <v>2004863.4682842735</v>
      </c>
      <c r="K62" s="99">
        <f>J62+K52-J52</f>
        <v>2372674.9246274186</v>
      </c>
      <c r="L62" s="99">
        <f>K62+L52-K52</f>
        <v>2463837.7136988859</v>
      </c>
      <c r="M62" s="99">
        <f>L62+M52-L52</f>
        <v>2463837.7136988859</v>
      </c>
      <c r="N62" s="99">
        <f>M62+N52-M52</f>
        <v>2463837.7136988859</v>
      </c>
      <c r="P62" s="106" t="s">
        <v>349</v>
      </c>
    </row>
    <row r="63" spans="2:26">
      <c r="B63" s="96" t="s">
        <v>350</v>
      </c>
      <c r="C63" s="108">
        <f t="shared" ref="C63:N63" si="46">SUM(C62,C61,C59)</f>
        <v>26311457</v>
      </c>
      <c r="D63" s="108">
        <f t="shared" si="46"/>
        <v>23555288</v>
      </c>
      <c r="E63" s="108">
        <f t="shared" si="46"/>
        <v>25323276</v>
      </c>
      <c r="F63" s="108">
        <f t="shared" si="46"/>
        <v>26005904</v>
      </c>
      <c r="G63" s="108">
        <f t="shared" si="46"/>
        <v>27828394</v>
      </c>
      <c r="H63" s="112">
        <f t="shared" si="46"/>
        <v>26659104</v>
      </c>
      <c r="I63" s="112">
        <f t="shared" si="46"/>
        <v>28101319</v>
      </c>
      <c r="J63" s="112">
        <f t="shared" si="46"/>
        <v>33749953.376065977</v>
      </c>
      <c r="K63" s="112">
        <f t="shared" si="46"/>
        <v>31191063.528660379</v>
      </c>
      <c r="L63" s="112">
        <f t="shared" si="46"/>
        <v>30506232.431035317</v>
      </c>
      <c r="M63" s="112">
        <f t="shared" si="46"/>
        <v>26463837.713698886</v>
      </c>
      <c r="N63" s="112" t="e">
        <f t="shared" si="46"/>
        <v>#DIV/0!</v>
      </c>
      <c r="P63" s="110"/>
    </row>
    <row r="64" spans="2:26">
      <c r="B64" s="75"/>
      <c r="C64" s="86"/>
      <c r="D64" s="86"/>
      <c r="E64" s="86"/>
      <c r="F64" s="86"/>
      <c r="G64" s="86"/>
      <c r="H64" s="86"/>
      <c r="I64" s="86"/>
      <c r="J64" s="99"/>
      <c r="K64" s="99"/>
      <c r="L64" s="99"/>
      <c r="M64" s="99"/>
      <c r="N64" s="99"/>
    </row>
    <row r="65" spans="2:25">
      <c r="B65" s="75" t="s">
        <v>351</v>
      </c>
      <c r="C65" s="178">
        <f>'BS as rep.'!J40+'BS as rep.'!J37</f>
        <v>9217394</v>
      </c>
      <c r="D65" s="178">
        <f>'BS as rep.'!K40+'BS as rep.'!K37</f>
        <v>9422268</v>
      </c>
      <c r="E65" s="178">
        <f>'BS as rep.'!L40+'BS as rep.'!L37</f>
        <v>9384481</v>
      </c>
      <c r="F65" s="178">
        <f>'BS as rep.'!M40+'BS as rep.'!M37</f>
        <v>9523118</v>
      </c>
      <c r="G65" s="178">
        <f>'BS as rep.'!N40+'BS as rep.'!N37</f>
        <v>9614780</v>
      </c>
      <c r="H65" s="178">
        <f>'BS as rep.'!O40+'BS as rep.'!O37</f>
        <v>9700450</v>
      </c>
      <c r="I65" s="178">
        <f>'BS as rep.'!P40+'BS as rep.'!P37</f>
        <v>9756105</v>
      </c>
      <c r="J65" s="99">
        <f>I65+SUM(J85:J86)</f>
        <v>9749434</v>
      </c>
      <c r="K65" s="99">
        <f t="shared" ref="K65:N65" si="47">J65+SUM(K85:K86)</f>
        <v>9742763</v>
      </c>
      <c r="L65" s="99">
        <f t="shared" si="47"/>
        <v>9736092</v>
      </c>
      <c r="M65" s="99">
        <f t="shared" si="47"/>
        <v>9729421</v>
      </c>
      <c r="N65" s="99">
        <f t="shared" si="47"/>
        <v>9722750</v>
      </c>
      <c r="P65" s="106" t="s">
        <v>352</v>
      </c>
    </row>
    <row r="66" spans="2:25" ht="14.5">
      <c r="B66" s="75" t="s">
        <v>353</v>
      </c>
      <c r="C66" s="178">
        <f>'BS as rep.'!J43</f>
        <v>-117897</v>
      </c>
      <c r="D66" s="178">
        <f>'BS as rep.'!K43</f>
        <v>-103929</v>
      </c>
      <c r="E66" s="178">
        <f>'BS as rep.'!L43</f>
        <v>-437134</v>
      </c>
      <c r="F66" s="178">
        <f>'BS as rep.'!M43</f>
        <v>-682562</v>
      </c>
      <c r="G66" s="178">
        <f>'BS as rep.'!N43</f>
        <v>-1079063</v>
      </c>
      <c r="H66" s="178">
        <f>'BS as rep.'!O43</f>
        <v>-1427431</v>
      </c>
      <c r="I66" s="178">
        <f>'BS as rep.'!P43</f>
        <v>-1773571</v>
      </c>
      <c r="J66" s="99">
        <f>I66+J99/2</f>
        <v>-1973571</v>
      </c>
      <c r="K66" s="99">
        <f t="shared" ref="K66:N66" si="48">J66+K99/2</f>
        <v>-2348571</v>
      </c>
      <c r="L66" s="99">
        <f t="shared" si="48"/>
        <v>-2773571</v>
      </c>
      <c r="M66" s="99">
        <f t="shared" si="48"/>
        <v>-2773571</v>
      </c>
      <c r="N66" s="99">
        <f t="shared" si="48"/>
        <v>-2773571</v>
      </c>
      <c r="P66" s="106" t="s">
        <v>354</v>
      </c>
    </row>
    <row r="67" spans="2:25" ht="14.5">
      <c r="B67" s="75" t="s">
        <v>355</v>
      </c>
      <c r="C67" s="84">
        <f>'BS as rep.'!J41</f>
        <v>-3218686</v>
      </c>
      <c r="D67" s="84">
        <f>'BS as rep.'!K41</f>
        <v>-4208183</v>
      </c>
      <c r="E67" s="84">
        <f>'BS as rep.'!L41</f>
        <v>-4266930</v>
      </c>
      <c r="F67" s="84">
        <f>'BS as rep.'!M41</f>
        <v>-4459387</v>
      </c>
      <c r="G67" s="84">
        <f>'BS as rep.'!N41</f>
        <v>-4782173</v>
      </c>
      <c r="H67" s="84">
        <f>'BS as rep.'!O41</f>
        <v>-4893069</v>
      </c>
      <c r="I67" s="84">
        <f>'BS as rep.'!P41</f>
        <v>-5379952</v>
      </c>
      <c r="J67" s="99">
        <f>I67+J74+J97</f>
        <v>-6999809.4406731315</v>
      </c>
      <c r="K67" s="99">
        <f t="shared" ref="K67:N67" si="49">J67+K74+K97</f>
        <v>-7531793.2464002203</v>
      </c>
      <c r="L67" s="99">
        <f t="shared" si="49"/>
        <v>-8122310.1927108895</v>
      </c>
      <c r="M67" s="99">
        <f t="shared" si="49"/>
        <v>-2645342.5212108893</v>
      </c>
      <c r="N67" s="99">
        <f t="shared" si="49"/>
        <v>2831625.1502891108</v>
      </c>
      <c r="P67" s="106" t="s">
        <v>356</v>
      </c>
    </row>
    <row r="68" spans="2:25" ht="14.5">
      <c r="B68" s="75" t="s">
        <v>357</v>
      </c>
      <c r="C68" s="84">
        <f>SUM('BS as rep.'!J31,'BS as rep.'!J36,'BS as rep.'!J45)</f>
        <v>1208101</v>
      </c>
      <c r="D68" s="84">
        <f>SUM('BS as rep.'!K31,'BS as rep.'!K36,'BS as rep.'!K45)</f>
        <v>927927</v>
      </c>
      <c r="E68" s="84">
        <f>SUM('BS as rep.'!L31,'BS as rep.'!L36,'BS as rep.'!L45)</f>
        <v>814175</v>
      </c>
      <c r="F68" s="84">
        <f>SUM('BS as rep.'!M31,'BS as rep.'!M36,'BS as rep.'!M45)</f>
        <v>830631</v>
      </c>
      <c r="G68" s="84">
        <f>SUM('BS as rep.'!N31,'BS as rep.'!N36,'BS as rep.'!N45)</f>
        <v>786153</v>
      </c>
      <c r="H68" s="84">
        <f>SUM('BS as rep.'!O31,'BS as rep.'!O36,'BS as rep.'!O45)</f>
        <v>773186</v>
      </c>
      <c r="I68" s="84">
        <f>SUM('BS as rep.'!P31,'BS as rep.'!P36,'BS as rep.'!P45)</f>
        <v>646333</v>
      </c>
      <c r="J68" s="99">
        <f>I68+J98</f>
        <v>576423</v>
      </c>
      <c r="K68" s="99">
        <f t="shared" ref="K68:N68" si="50">J68+K98</f>
        <v>506513</v>
      </c>
      <c r="L68" s="99">
        <f t="shared" si="50"/>
        <v>436603</v>
      </c>
      <c r="M68" s="99">
        <f t="shared" si="50"/>
        <v>436603</v>
      </c>
      <c r="N68" s="99">
        <f t="shared" si="50"/>
        <v>436603</v>
      </c>
      <c r="P68" s="106" t="s">
        <v>358</v>
      </c>
    </row>
    <row r="69" spans="2:25" ht="14.5">
      <c r="B69" s="75" t="s">
        <v>359</v>
      </c>
      <c r="C69" s="84">
        <f>'BS as rep.'!J42</f>
        <v>-75795</v>
      </c>
      <c r="D69" s="84">
        <f>'BS as rep.'!K42</f>
        <v>-61041</v>
      </c>
      <c r="E69" s="84">
        <f>'BS as rep.'!L42</f>
        <v>-252686</v>
      </c>
      <c r="F69" s="84">
        <f>'BS as rep.'!M42</f>
        <v>-114126</v>
      </c>
      <c r="G69" s="84">
        <f>'BS as rep.'!N42</f>
        <v>-110453</v>
      </c>
      <c r="H69" s="84">
        <f>'BS as rep.'!O42</f>
        <v>-126017</v>
      </c>
      <c r="I69" s="84">
        <f>'BS as rep.'!P42</f>
        <v>-118604</v>
      </c>
      <c r="J69" s="99">
        <f>I69+J99/2</f>
        <v>-318604</v>
      </c>
      <c r="K69" s="99">
        <f t="shared" ref="K69:N69" si="51">J69+K99/2</f>
        <v>-693604</v>
      </c>
      <c r="L69" s="99">
        <f t="shared" si="51"/>
        <v>-1118604</v>
      </c>
      <c r="M69" s="99">
        <f t="shared" si="51"/>
        <v>-1118604</v>
      </c>
      <c r="N69" s="99">
        <f t="shared" si="51"/>
        <v>-1118604</v>
      </c>
      <c r="P69" s="106" t="s">
        <v>360</v>
      </c>
    </row>
    <row r="70" spans="2:25">
      <c r="B70" s="96" t="s">
        <v>361</v>
      </c>
      <c r="C70" s="108">
        <f t="shared" ref="C70:N70" si="52">SUM(C65:C69)</f>
        <v>7013117</v>
      </c>
      <c r="D70" s="108">
        <f t="shared" si="52"/>
        <v>5977042</v>
      </c>
      <c r="E70" s="108">
        <f t="shared" si="52"/>
        <v>5241906</v>
      </c>
      <c r="F70" s="108">
        <f t="shared" si="52"/>
        <v>5097674</v>
      </c>
      <c r="G70" s="108">
        <f t="shared" si="52"/>
        <v>4429244</v>
      </c>
      <c r="H70" s="108">
        <f t="shared" si="52"/>
        <v>4027119</v>
      </c>
      <c r="I70" s="108">
        <f t="shared" si="52"/>
        <v>3130311</v>
      </c>
      <c r="J70" s="108">
        <f t="shared" si="52"/>
        <v>1033872.5593268685</v>
      </c>
      <c r="K70" s="108">
        <f t="shared" si="52"/>
        <v>-324692.24640022032</v>
      </c>
      <c r="L70" s="108">
        <f t="shared" si="52"/>
        <v>-1841790.1927108895</v>
      </c>
      <c r="M70" s="108">
        <f t="shared" si="52"/>
        <v>3628506.4787891107</v>
      </c>
      <c r="N70" s="108">
        <f t="shared" si="52"/>
        <v>9098803.1502891108</v>
      </c>
      <c r="P70" s="110"/>
    </row>
    <row r="71" spans="2:25">
      <c r="B71" s="96" t="s">
        <v>362</v>
      </c>
      <c r="C71" s="113">
        <f t="shared" ref="C71:N71" si="53">SUM(C70,C63)</f>
        <v>33324574</v>
      </c>
      <c r="D71" s="113">
        <f t="shared" si="53"/>
        <v>29532330</v>
      </c>
      <c r="E71" s="113">
        <f t="shared" si="53"/>
        <v>30565182</v>
      </c>
      <c r="F71" s="113">
        <f t="shared" si="53"/>
        <v>31103578</v>
      </c>
      <c r="G71" s="113">
        <f t="shared" si="53"/>
        <v>32257638</v>
      </c>
      <c r="H71" s="113">
        <f t="shared" si="53"/>
        <v>30686223</v>
      </c>
      <c r="I71" s="113">
        <f t="shared" si="53"/>
        <v>31231630</v>
      </c>
      <c r="J71" s="113">
        <f t="shared" si="53"/>
        <v>34783825.935392842</v>
      </c>
      <c r="K71" s="113">
        <f t="shared" si="53"/>
        <v>30866371.282260157</v>
      </c>
      <c r="L71" s="113">
        <f t="shared" si="53"/>
        <v>28664442.238324426</v>
      </c>
      <c r="M71" s="113">
        <f t="shared" si="53"/>
        <v>30092344.192487996</v>
      </c>
      <c r="N71" s="113" t="e">
        <f t="shared" si="53"/>
        <v>#DIV/0!</v>
      </c>
      <c r="P71" s="110"/>
    </row>
    <row r="72" spans="2:25">
      <c r="C72" s="114">
        <f t="shared" ref="C72:M72" si="54">ROUND(C71-C54,1)</f>
        <v>0</v>
      </c>
      <c r="D72" s="114">
        <f t="shared" si="54"/>
        <v>0</v>
      </c>
      <c r="E72" s="114">
        <f t="shared" si="54"/>
        <v>0</v>
      </c>
      <c r="F72" s="114">
        <f t="shared" si="54"/>
        <v>0</v>
      </c>
      <c r="G72" s="114">
        <f t="shared" si="54"/>
        <v>0</v>
      </c>
      <c r="H72" s="114">
        <f t="shared" si="54"/>
        <v>0</v>
      </c>
      <c r="I72" s="114">
        <f t="shared" si="54"/>
        <v>0</v>
      </c>
      <c r="J72" s="114">
        <f t="shared" si="54"/>
        <v>0</v>
      </c>
      <c r="K72" s="114">
        <f t="shared" si="54"/>
        <v>0</v>
      </c>
      <c r="L72" s="114">
        <f t="shared" si="54"/>
        <v>0</v>
      </c>
      <c r="M72" s="114">
        <f t="shared" si="54"/>
        <v>0</v>
      </c>
      <c r="N72" s="114" t="e">
        <f>ROUND(N71-N54,1)</f>
        <v>#DIV/0!</v>
      </c>
    </row>
    <row r="73" spans="2:25" s="64" customFormat="1" ht="20">
      <c r="B73" s="76" t="s">
        <v>363</v>
      </c>
      <c r="C73" s="77"/>
      <c r="D73" s="77"/>
      <c r="E73" s="77"/>
      <c r="F73" s="77"/>
      <c r="G73" s="77"/>
      <c r="H73" s="77"/>
      <c r="I73" s="77"/>
      <c r="J73" s="77"/>
      <c r="K73" s="77"/>
      <c r="L73" s="77"/>
      <c r="M73" s="77"/>
      <c r="N73" s="77"/>
      <c r="O73" s="79"/>
      <c r="P73" s="73" t="s">
        <v>276</v>
      </c>
      <c r="Q73" s="79"/>
      <c r="R73" s="79"/>
      <c r="S73" s="79"/>
      <c r="T73" s="79"/>
      <c r="U73" s="79"/>
      <c r="V73" s="79"/>
      <c r="W73" s="79"/>
      <c r="X73" s="79"/>
      <c r="Y73" s="79"/>
    </row>
    <row r="74" spans="2:25" ht="15.5">
      <c r="B74" s="75" t="s">
        <v>364</v>
      </c>
      <c r="C74" s="99">
        <f t="shared" ref="C74:N74" si="55">C39</f>
        <v>1316304</v>
      </c>
      <c r="D74" s="99">
        <f t="shared" si="55"/>
        <v>1405251</v>
      </c>
      <c r="E74" s="99">
        <f t="shared" si="55"/>
        <v>1824383</v>
      </c>
      <c r="F74" s="99">
        <f t="shared" si="55"/>
        <v>1835559</v>
      </c>
      <c r="G74" s="129">
        <f>G39-G37</f>
        <v>2244903</v>
      </c>
      <c r="H74" s="129">
        <f t="shared" ref="H74:I74" si="56">H39-H37</f>
        <v>2822343</v>
      </c>
      <c r="I74" s="129">
        <f t="shared" si="56"/>
        <v>2423188</v>
      </c>
      <c r="J74" s="99">
        <f t="shared" si="55"/>
        <v>380142.55932686827</v>
      </c>
      <c r="K74" s="99">
        <f t="shared" si="55"/>
        <v>1768016.1942729112</v>
      </c>
      <c r="L74" s="99">
        <f t="shared" si="55"/>
        <v>1909483.0536893304</v>
      </c>
      <c r="M74" s="99">
        <f t="shared" si="55"/>
        <v>5476967.6715000002</v>
      </c>
      <c r="N74" s="99">
        <f t="shared" si="55"/>
        <v>5476967.6715000002</v>
      </c>
      <c r="P74" s="110"/>
    </row>
    <row r="75" spans="2:25" outlineLevel="1">
      <c r="B75" s="83" t="s">
        <v>875</v>
      </c>
      <c r="C75" s="85">
        <v>0</v>
      </c>
      <c r="D75" s="85">
        <v>0</v>
      </c>
      <c r="E75" s="85">
        <v>0</v>
      </c>
      <c r="F75" s="85"/>
      <c r="G75" s="85"/>
      <c r="H75" s="85"/>
      <c r="I75" s="85"/>
      <c r="J75" s="99">
        <f>J7*T75</f>
        <v>0</v>
      </c>
      <c r="K75" s="99">
        <f>K7*U75</f>
        <v>0</v>
      </c>
      <c r="L75" s="99">
        <f>L7*V75</f>
        <v>0</v>
      </c>
      <c r="M75" s="99">
        <f>M7*W75</f>
        <v>0</v>
      </c>
      <c r="N75" s="99">
        <f>N7*X75</f>
        <v>0</v>
      </c>
      <c r="P75" s="61" t="s">
        <v>876</v>
      </c>
      <c r="Q75" s="115">
        <f>G75/G7</f>
        <v>0</v>
      </c>
      <c r="R75" s="115">
        <f>H75/H7</f>
        <v>0</v>
      </c>
      <c r="S75" s="115">
        <f>I75/I7</f>
        <v>0</v>
      </c>
      <c r="T75" s="88">
        <f>S75*1.3</f>
        <v>0</v>
      </c>
      <c r="U75" s="88">
        <f>S75</f>
        <v>0</v>
      </c>
      <c r="V75" s="88">
        <f>U75</f>
        <v>0</v>
      </c>
      <c r="W75" s="88">
        <f t="shared" ref="W75:X75" si="57">V75</f>
        <v>0</v>
      </c>
      <c r="X75" s="88">
        <f t="shared" si="57"/>
        <v>0</v>
      </c>
    </row>
    <row r="76" spans="2:25" outlineLevel="1">
      <c r="B76" s="83" t="s">
        <v>367</v>
      </c>
      <c r="C76" s="85">
        <v>0</v>
      </c>
      <c r="D76" s="85">
        <v>0</v>
      </c>
      <c r="E76" s="85">
        <v>0</v>
      </c>
      <c r="F76" s="85"/>
      <c r="G76" s="85"/>
      <c r="H76" s="85"/>
      <c r="I76" s="85"/>
      <c r="J76" s="99">
        <f>T76</f>
        <v>0</v>
      </c>
      <c r="K76" s="99">
        <f t="shared" ref="K76:N76" si="58">U76</f>
        <v>0</v>
      </c>
      <c r="L76" s="99">
        <f t="shared" si="58"/>
        <v>0</v>
      </c>
      <c r="M76" s="99">
        <f t="shared" si="58"/>
        <v>0</v>
      </c>
      <c r="N76" s="99">
        <f t="shared" si="58"/>
        <v>0</v>
      </c>
      <c r="P76" s="61" t="s">
        <v>367</v>
      </c>
      <c r="T76" s="93">
        <v>0</v>
      </c>
      <c r="U76" s="93">
        <v>0</v>
      </c>
      <c r="V76" s="93">
        <v>0</v>
      </c>
      <c r="W76" s="93">
        <v>0</v>
      </c>
      <c r="X76" s="93">
        <v>0</v>
      </c>
    </row>
    <row r="77" spans="2:25" outlineLevel="1">
      <c r="B77" s="83" t="s">
        <v>368</v>
      </c>
      <c r="C77" s="85">
        <v>0</v>
      </c>
      <c r="D77" s="85">
        <v>0</v>
      </c>
      <c r="E77" s="85">
        <v>0</v>
      </c>
      <c r="F77" s="85"/>
      <c r="G77" s="85"/>
      <c r="H77" s="85"/>
      <c r="I77" s="85"/>
      <c r="J77" s="99">
        <f>J7*T77</f>
        <v>0</v>
      </c>
      <c r="K77" s="99">
        <f>K7*U77</f>
        <v>0</v>
      </c>
      <c r="L77" s="99">
        <f>L7*V77</f>
        <v>0</v>
      </c>
      <c r="M77" s="99">
        <f>M7*W77</f>
        <v>0</v>
      </c>
      <c r="N77" s="99">
        <f>N7*X77</f>
        <v>0</v>
      </c>
      <c r="P77" s="61" t="s">
        <v>369</v>
      </c>
      <c r="T77" s="88">
        <v>0</v>
      </c>
      <c r="U77" s="88">
        <v>0</v>
      </c>
      <c r="V77" s="88">
        <v>0</v>
      </c>
      <c r="W77" s="88">
        <v>0</v>
      </c>
      <c r="X77" s="88">
        <v>0</v>
      </c>
    </row>
    <row r="78" spans="2:25">
      <c r="B78" s="98" t="s">
        <v>370</v>
      </c>
      <c r="C78" s="86">
        <f t="shared" ref="C78:E78" si="59">SUM(C75:C77)</f>
        <v>0</v>
      </c>
      <c r="D78" s="86">
        <f t="shared" si="59"/>
        <v>0</v>
      </c>
      <c r="E78" s="86">
        <f t="shared" si="59"/>
        <v>0</v>
      </c>
      <c r="F78" s="86"/>
      <c r="G78" s="86">
        <f>'CF as rep.'!C4</f>
        <v>1357351</v>
      </c>
      <c r="H78" s="86">
        <f>'CF as rep.'!D4</f>
        <v>1349776</v>
      </c>
      <c r="I78" s="86">
        <f>'CF as rep.'!E4</f>
        <v>1394172</v>
      </c>
      <c r="J78" s="86">
        <f>SUM(J75:J77)</f>
        <v>0</v>
      </c>
      <c r="K78" s="86">
        <f>SUM(K75:K77)</f>
        <v>0</v>
      </c>
      <c r="L78" s="86">
        <f>SUM(L75:L77)</f>
        <v>0</v>
      </c>
      <c r="M78" s="86">
        <f>SUM(M75:M77)</f>
        <v>0</v>
      </c>
      <c r="N78" s="86">
        <f>SUM(N75:N77)</f>
        <v>0</v>
      </c>
      <c r="P78" s="110"/>
    </row>
    <row r="79" spans="2:25">
      <c r="B79" s="75" t="s">
        <v>323</v>
      </c>
      <c r="C79" s="84">
        <v>0</v>
      </c>
      <c r="D79" s="84">
        <v>0</v>
      </c>
      <c r="E79" s="84">
        <v>0</v>
      </c>
      <c r="F79" s="85"/>
      <c r="G79" s="105">
        <f>'CF as rep.'!C15</f>
        <v>-26170</v>
      </c>
      <c r="H79" s="105">
        <f>'CF as rep.'!D15</f>
        <v>-17518</v>
      </c>
      <c r="I79" s="105">
        <f>'CF as rep.'!E15</f>
        <v>-157</v>
      </c>
      <c r="J79" s="99">
        <f t="shared" ref="J79:N81" si="60">-(J43-I43)</f>
        <v>-738831.4571707549</v>
      </c>
      <c r="K79" s="99">
        <f t="shared" si="60"/>
        <v>512852.92613762245</v>
      </c>
      <c r="L79" s="99">
        <f t="shared" si="60"/>
        <v>437924.73522259877</v>
      </c>
      <c r="M79" s="99">
        <f t="shared" si="60"/>
        <v>0</v>
      </c>
      <c r="N79" s="99">
        <f t="shared" si="60"/>
        <v>0</v>
      </c>
      <c r="P79" s="106" t="s">
        <v>371</v>
      </c>
    </row>
    <row r="80" spans="2:25">
      <c r="B80" s="75" t="s">
        <v>326</v>
      </c>
      <c r="C80" s="84">
        <v>0</v>
      </c>
      <c r="D80" s="84">
        <v>0</v>
      </c>
      <c r="E80" s="84">
        <v>0</v>
      </c>
      <c r="F80" s="85"/>
      <c r="G80" s="105"/>
      <c r="H80" s="105"/>
      <c r="I80" s="105"/>
      <c r="J80" s="99">
        <f t="shared" si="60"/>
        <v>0</v>
      </c>
      <c r="K80" s="99">
        <f t="shared" si="60"/>
        <v>0</v>
      </c>
      <c r="L80" s="99">
        <f t="shared" si="60"/>
        <v>0</v>
      </c>
      <c r="M80" s="99">
        <f t="shared" si="60"/>
        <v>0</v>
      </c>
      <c r="N80" s="99" t="e">
        <f t="shared" si="60"/>
        <v>#DIV/0!</v>
      </c>
      <c r="P80" s="106" t="s">
        <v>371</v>
      </c>
    </row>
    <row r="81" spans="2:26">
      <c r="B81" s="75" t="s">
        <v>328</v>
      </c>
      <c r="C81" s="84">
        <v>0</v>
      </c>
      <c r="D81" s="84">
        <v>0</v>
      </c>
      <c r="E81" s="84">
        <v>0</v>
      </c>
      <c r="F81" s="85"/>
      <c r="G81" s="85">
        <f>'CF as rep.'!C16</f>
        <v>-132945</v>
      </c>
      <c r="H81" s="85">
        <f>'CF as rep.'!D16</f>
        <v>-75438</v>
      </c>
      <c r="I81" s="85">
        <f>'CF as rep.'!E16</f>
        <v>-49338</v>
      </c>
      <c r="J81" s="99">
        <f t="shared" si="60"/>
        <v>0</v>
      </c>
      <c r="K81" s="99">
        <f t="shared" si="60"/>
        <v>0</v>
      </c>
      <c r="L81" s="99">
        <f t="shared" si="60"/>
        <v>0</v>
      </c>
      <c r="M81" s="99">
        <f t="shared" si="60"/>
        <v>0</v>
      </c>
      <c r="N81" s="99" t="e">
        <f t="shared" si="60"/>
        <v>#DIV/0!</v>
      </c>
      <c r="P81" s="106" t="s">
        <v>371</v>
      </c>
    </row>
    <row r="82" spans="2:26">
      <c r="B82" s="75" t="s">
        <v>342</v>
      </c>
      <c r="C82" s="84">
        <v>0</v>
      </c>
      <c r="D82" s="84">
        <v>0</v>
      </c>
      <c r="E82" s="84">
        <v>0</v>
      </c>
      <c r="F82" s="85"/>
      <c r="G82" s="85">
        <f>'CF as rep.'!C17</f>
        <v>99931</v>
      </c>
      <c r="H82" s="85">
        <f>'CF as rep.'!D17</f>
        <v>84307</v>
      </c>
      <c r="I82" s="85">
        <f>'CF as rep.'!E17</f>
        <v>13100</v>
      </c>
      <c r="J82" s="99">
        <f>J56-I56</f>
        <v>-164564.89516320103</v>
      </c>
      <c r="K82" s="99">
        <f>K56-J56</f>
        <v>23997.497376274783</v>
      </c>
      <c r="L82" s="99">
        <f>L56-K56</f>
        <v>73338.086367086042</v>
      </c>
      <c r="M82" s="99">
        <f>M56-L56</f>
        <v>-1323452.6885801598</v>
      </c>
      <c r="N82" s="99" t="e">
        <f>N56-M56</f>
        <v>#DIV/0!</v>
      </c>
      <c r="P82" s="106" t="s">
        <v>371</v>
      </c>
    </row>
    <row r="83" spans="2:26">
      <c r="B83" s="75" t="s">
        <v>372</v>
      </c>
      <c r="C83" s="84">
        <v>0</v>
      </c>
      <c r="D83" s="84">
        <v>0</v>
      </c>
      <c r="E83" s="84">
        <v>0</v>
      </c>
      <c r="F83" s="84"/>
      <c r="G83" s="85">
        <f>SUM('CF as rep.'!C9,'CF as rep.'!C11:C12)</f>
        <v>-26169</v>
      </c>
      <c r="H83" s="85">
        <f>SUM('CF as rep.'!D9,'CF as rep.'!D11:D12)</f>
        <v>-120734</v>
      </c>
      <c r="I83" s="85">
        <f>SUM('CF as rep.'!E9,'CF as rep.'!E11:E12)</f>
        <v>-15580</v>
      </c>
      <c r="J83" s="99">
        <f>J58-I58</f>
        <v>0</v>
      </c>
      <c r="K83" s="99">
        <f t="shared" ref="K83:N83" si="61">K58-J58</f>
        <v>0</v>
      </c>
      <c r="L83" s="99">
        <f t="shared" si="61"/>
        <v>0</v>
      </c>
      <c r="M83" s="99">
        <f t="shared" si="61"/>
        <v>0</v>
      </c>
      <c r="N83" s="99" t="e">
        <f t="shared" si="61"/>
        <v>#DIV/0!</v>
      </c>
      <c r="P83" s="106" t="s">
        <v>371</v>
      </c>
    </row>
    <row r="84" spans="2:26">
      <c r="B84" s="75" t="s">
        <v>373</v>
      </c>
      <c r="C84" s="84">
        <v>0</v>
      </c>
      <c r="D84" s="84">
        <v>0</v>
      </c>
      <c r="E84" s="84">
        <v>0</v>
      </c>
      <c r="F84" s="84"/>
      <c r="G84" s="85">
        <f>'CF as rep.'!C10</f>
        <v>-26543</v>
      </c>
      <c r="H84" s="85">
        <f>'CF as rep.'!D10</f>
        <v>-18325</v>
      </c>
      <c r="I84" s="85">
        <f>'CF as rep.'!E10</f>
        <v>-67139</v>
      </c>
      <c r="J84" s="99">
        <v>0</v>
      </c>
      <c r="K84" s="99">
        <v>0</v>
      </c>
      <c r="L84" s="99">
        <v>0</v>
      </c>
      <c r="M84" s="99">
        <v>0</v>
      </c>
      <c r="N84" s="99">
        <v>0</v>
      </c>
      <c r="P84" s="106" t="s">
        <v>374</v>
      </c>
    </row>
    <row r="85" spans="2:26">
      <c r="B85" s="61" t="s">
        <v>375</v>
      </c>
      <c r="C85" s="84">
        <v>0</v>
      </c>
      <c r="D85" s="84">
        <v>0</v>
      </c>
      <c r="E85" s="84">
        <v>0</v>
      </c>
      <c r="F85" s="84"/>
      <c r="G85" s="85"/>
      <c r="H85" s="85"/>
      <c r="I85" s="85"/>
      <c r="J85" s="99">
        <f>T85</f>
        <v>0</v>
      </c>
      <c r="K85" s="99">
        <f t="shared" ref="K85:N85" si="62">U85</f>
        <v>0</v>
      </c>
      <c r="L85" s="99">
        <f t="shared" si="62"/>
        <v>0</v>
      </c>
      <c r="M85" s="99">
        <f t="shared" si="62"/>
        <v>0</v>
      </c>
      <c r="N85" s="99">
        <f t="shared" si="62"/>
        <v>0</v>
      </c>
      <c r="P85" s="75" t="s">
        <v>376</v>
      </c>
      <c r="T85" s="93">
        <v>0</v>
      </c>
      <c r="U85" s="93">
        <v>0</v>
      </c>
      <c r="V85" s="93">
        <v>0</v>
      </c>
      <c r="W85" s="93">
        <v>0</v>
      </c>
      <c r="X85" s="93">
        <v>0</v>
      </c>
    </row>
    <row r="86" spans="2:26">
      <c r="B86" s="75" t="s">
        <v>377</v>
      </c>
      <c r="C86" s="84">
        <v>0</v>
      </c>
      <c r="D86" s="84">
        <v>0</v>
      </c>
      <c r="E86" s="84">
        <v>0</v>
      </c>
      <c r="F86" s="84"/>
      <c r="G86" s="85">
        <f>SUM('CF as rep.'!C6:C8)</f>
        <v>-25188</v>
      </c>
      <c r="H86" s="85">
        <f>SUM('CF as rep.'!D6:D8)</f>
        <v>-273615</v>
      </c>
      <c r="I86" s="85">
        <f>SUM('CF as rep.'!E6:E8)</f>
        <v>-6671</v>
      </c>
      <c r="J86" s="99">
        <f>I86</f>
        <v>-6671</v>
      </c>
      <c r="K86" s="99">
        <f t="shared" ref="K86:N86" si="63">J86</f>
        <v>-6671</v>
      </c>
      <c r="L86" s="99">
        <f t="shared" si="63"/>
        <v>-6671</v>
      </c>
      <c r="M86" s="99">
        <f t="shared" si="63"/>
        <v>-6671</v>
      </c>
      <c r="N86" s="99">
        <f t="shared" si="63"/>
        <v>-6671</v>
      </c>
      <c r="P86" s="106" t="s">
        <v>336</v>
      </c>
    </row>
    <row r="87" spans="2:26">
      <c r="B87" s="75" t="s">
        <v>378</v>
      </c>
      <c r="C87" s="84">
        <v>0</v>
      </c>
      <c r="D87" s="84">
        <v>0</v>
      </c>
      <c r="E87" s="84">
        <v>0</v>
      </c>
      <c r="F87" s="84"/>
      <c r="G87" s="116">
        <f>'CF as rep.'!C5</f>
        <v>128618</v>
      </c>
      <c r="H87" s="116">
        <f>'CF as rep.'!D5</f>
        <v>0</v>
      </c>
      <c r="I87" s="116">
        <f>'CF as rep.'!E5</f>
        <v>116256</v>
      </c>
      <c r="J87" s="99">
        <f>T87</f>
        <v>0</v>
      </c>
      <c r="K87" s="99">
        <f t="shared" ref="K87:N87" si="64">U87</f>
        <v>0</v>
      </c>
      <c r="L87" s="99">
        <f t="shared" si="64"/>
        <v>0</v>
      </c>
      <c r="M87" s="99">
        <f t="shared" si="64"/>
        <v>0</v>
      </c>
      <c r="N87" s="99">
        <f t="shared" si="64"/>
        <v>0</v>
      </c>
      <c r="P87" s="75" t="s">
        <v>379</v>
      </c>
      <c r="T87" s="93">
        <v>0</v>
      </c>
      <c r="U87" s="93">
        <v>0</v>
      </c>
      <c r="V87" s="93">
        <v>0</v>
      </c>
      <c r="W87" s="93">
        <v>0</v>
      </c>
      <c r="X87" s="93">
        <v>0</v>
      </c>
    </row>
    <row r="88" spans="2:26">
      <c r="B88" s="96" t="s">
        <v>380</v>
      </c>
      <c r="C88" s="108">
        <f t="shared" ref="C88:I88" si="65">SUM(C78:C87,C74)</f>
        <v>1316304</v>
      </c>
      <c r="D88" s="108">
        <f t="shared" si="65"/>
        <v>1405251</v>
      </c>
      <c r="E88" s="108">
        <f t="shared" si="65"/>
        <v>1824383</v>
      </c>
      <c r="F88" s="108">
        <f t="shared" si="65"/>
        <v>1835559</v>
      </c>
      <c r="G88" s="108">
        <f t="shared" si="65"/>
        <v>3593788</v>
      </c>
      <c r="H88" s="108">
        <f t="shared" si="65"/>
        <v>3750796</v>
      </c>
      <c r="I88" s="108">
        <f t="shared" si="65"/>
        <v>3807831</v>
      </c>
      <c r="J88" s="108">
        <f>SUM(J78:J87,J74)</f>
        <v>-529924.79300708766</v>
      </c>
      <c r="K88" s="108">
        <f>SUM(K78:K87,K74)</f>
        <v>2298195.6177868084</v>
      </c>
      <c r="L88" s="108">
        <f>SUM(L78:L87,L74)</f>
        <v>2414074.8752790149</v>
      </c>
      <c r="M88" s="108">
        <f>SUM(M78:M87,M74)</f>
        <v>4146843.9829198401</v>
      </c>
      <c r="N88" s="108" t="e">
        <f>SUM(N78:N87,N74)</f>
        <v>#DIV/0!</v>
      </c>
      <c r="P88" s="110"/>
    </row>
    <row r="89" spans="2:26">
      <c r="B89" s="75"/>
      <c r="C89" s="86"/>
      <c r="D89" s="86"/>
      <c r="E89" s="86"/>
      <c r="F89" s="86"/>
      <c r="G89" s="86"/>
      <c r="H89" s="86"/>
      <c r="I89" s="86"/>
      <c r="J89" s="99"/>
      <c r="K89" s="99"/>
      <c r="L89" s="99"/>
      <c r="M89" s="99"/>
      <c r="N89" s="99"/>
    </row>
    <row r="90" spans="2:26">
      <c r="B90" s="75" t="s">
        <v>381</v>
      </c>
      <c r="C90" s="84">
        <v>0</v>
      </c>
      <c r="D90" s="84">
        <v>0</v>
      </c>
      <c r="E90" s="84">
        <v>0</v>
      </c>
      <c r="F90" s="85"/>
      <c r="G90" s="105">
        <f>'CF as rep.'!C24</f>
        <v>-732100</v>
      </c>
      <c r="H90" s="105">
        <f>'CF as rep.'!D24</f>
        <v>-781909</v>
      </c>
      <c r="I90" s="105">
        <f>'CF as rep.'!E24</f>
        <v>-876011</v>
      </c>
      <c r="J90" s="107">
        <f>-T90*J7</f>
        <v>-592340.56499999994</v>
      </c>
      <c r="K90" s="107">
        <f>-U90*K7</f>
        <v>-776019.8744999998</v>
      </c>
      <c r="L90" s="107">
        <f>-V90*L7</f>
        <v>-821545.15072499996</v>
      </c>
      <c r="M90" s="107">
        <f>-W90*M7</f>
        <v>-821545.15072499996</v>
      </c>
      <c r="N90" s="107">
        <f>-X90*N7</f>
        <v>-821545.15072499996</v>
      </c>
      <c r="P90" s="75" t="s">
        <v>382</v>
      </c>
      <c r="Q90" s="115">
        <f>-G90/G7</f>
        <v>0.13245078641862915</v>
      </c>
      <c r="R90" s="115">
        <f>-H90/H7</f>
        <v>0.13850648540871607</v>
      </c>
      <c r="S90" s="115">
        <f>-I90/I7</f>
        <v>0.15221237738673743</v>
      </c>
      <c r="T90" s="88">
        <v>0.15</v>
      </c>
      <c r="U90" s="88">
        <v>0.15</v>
      </c>
      <c r="V90" s="88">
        <v>0.15</v>
      </c>
      <c r="W90" s="88">
        <v>0.15</v>
      </c>
      <c r="X90" s="88">
        <v>0.15</v>
      </c>
      <c r="Z90" s="61" t="s">
        <v>383</v>
      </c>
    </row>
    <row r="91" spans="2:26">
      <c r="B91" s="75" t="s">
        <v>384</v>
      </c>
      <c r="C91" s="84">
        <v>0</v>
      </c>
      <c r="D91" s="84">
        <v>0</v>
      </c>
      <c r="E91" s="84">
        <v>0</v>
      </c>
      <c r="F91" s="85"/>
      <c r="G91" s="105"/>
      <c r="H91" s="105"/>
      <c r="I91" s="105"/>
      <c r="J91" s="107">
        <f>-T91*J7</f>
        <v>0</v>
      </c>
      <c r="K91" s="107">
        <f>-U91*K7</f>
        <v>0</v>
      </c>
      <c r="L91" s="107">
        <f>-V91*L7</f>
        <v>0</v>
      </c>
      <c r="M91" s="107">
        <f>-W91*M7</f>
        <v>0</v>
      </c>
      <c r="N91" s="107">
        <f>-X91*N7</f>
        <v>0</v>
      </c>
      <c r="P91" s="75" t="s">
        <v>385</v>
      </c>
      <c r="Q91" s="115">
        <f>-G91/G7</f>
        <v>0</v>
      </c>
      <c r="R91" s="115">
        <f>-H91/H7</f>
        <v>0</v>
      </c>
      <c r="S91" s="115">
        <f>-I91/I7</f>
        <v>0</v>
      </c>
      <c r="T91" s="88">
        <v>0</v>
      </c>
      <c r="U91" s="88">
        <v>0</v>
      </c>
      <c r="V91" s="88">
        <v>0</v>
      </c>
      <c r="W91" s="88">
        <v>0</v>
      </c>
      <c r="X91" s="88">
        <v>0</v>
      </c>
    </row>
    <row r="92" spans="2:26">
      <c r="B92" s="75" t="s">
        <v>386</v>
      </c>
      <c r="C92" s="84">
        <v>0</v>
      </c>
      <c r="D92" s="84">
        <v>0</v>
      </c>
      <c r="E92" s="84">
        <v>0</v>
      </c>
      <c r="F92" s="85"/>
      <c r="G92" s="105">
        <f>SUM('CF as rep.'!C20,'CF as rep.'!C25:C27,'CF as rep.'!C32)</f>
        <v>10897</v>
      </c>
      <c r="H92" s="105">
        <f>SUM('CF as rep.'!D20,'CF as rep.'!D25:D27,'CF as rep.'!D32)</f>
        <v>527524</v>
      </c>
      <c r="I92" s="105">
        <f>SUM('CF as rep.'!E20,'CF as rep.'!E25:E27,'CF as rep.'!E32)</f>
        <v>160232</v>
      </c>
      <c r="J92" s="99">
        <f t="shared" ref="J92:N93" si="66">T92</f>
        <v>-100000</v>
      </c>
      <c r="K92" s="99">
        <f t="shared" si="66"/>
        <v>-100000</v>
      </c>
      <c r="L92" s="99">
        <f t="shared" si="66"/>
        <v>0</v>
      </c>
      <c r="M92" s="99">
        <f t="shared" si="66"/>
        <v>0</v>
      </c>
      <c r="N92" s="99">
        <f>X92</f>
        <v>0</v>
      </c>
      <c r="P92" s="75" t="s">
        <v>386</v>
      </c>
      <c r="T92" s="93">
        <v>-100000</v>
      </c>
      <c r="U92" s="93">
        <v>-100000</v>
      </c>
      <c r="V92" s="93">
        <v>0</v>
      </c>
      <c r="W92" s="93">
        <v>0</v>
      </c>
      <c r="X92" s="93">
        <v>0</v>
      </c>
      <c r="Z92" s="61" t="s">
        <v>387</v>
      </c>
    </row>
    <row r="93" spans="2:26">
      <c r="B93" s="75" t="s">
        <v>379</v>
      </c>
      <c r="C93" s="84">
        <v>0</v>
      </c>
      <c r="D93" s="84">
        <v>0</v>
      </c>
      <c r="E93" s="84">
        <v>0</v>
      </c>
      <c r="F93" s="85"/>
      <c r="G93" s="105">
        <f>SUM('CF as rep.'!C21:C22,'CF as rep.'!C28:C31)</f>
        <v>-40264</v>
      </c>
      <c r="H93" s="105">
        <f>SUM('CF as rep.'!D21:D22,'CF as rep.'!D28:D31)</f>
        <v>17879</v>
      </c>
      <c r="I93" s="105">
        <f>SUM('CF as rep.'!E21:E22,'CF as rep.'!E28:E31)</f>
        <v>-360928</v>
      </c>
      <c r="J93" s="99">
        <f>T93</f>
        <v>0</v>
      </c>
      <c r="K93" s="99">
        <f t="shared" si="66"/>
        <v>0</v>
      </c>
      <c r="L93" s="99">
        <f t="shared" si="66"/>
        <v>0</v>
      </c>
      <c r="M93" s="99">
        <f t="shared" si="66"/>
        <v>0</v>
      </c>
      <c r="N93" s="99">
        <f t="shared" si="66"/>
        <v>0</v>
      </c>
      <c r="P93" s="75" t="s">
        <v>379</v>
      </c>
      <c r="T93" s="93">
        <v>0</v>
      </c>
      <c r="U93" s="93">
        <v>0</v>
      </c>
      <c r="V93" s="93">
        <v>0</v>
      </c>
      <c r="W93" s="93">
        <v>0</v>
      </c>
      <c r="X93" s="93">
        <v>0</v>
      </c>
    </row>
    <row r="94" spans="2:26">
      <c r="B94" s="96" t="s">
        <v>388</v>
      </c>
      <c r="C94" s="108">
        <f t="shared" ref="C94:N94" si="67">SUM(C90:C93)</f>
        <v>0</v>
      </c>
      <c r="D94" s="108">
        <f t="shared" si="67"/>
        <v>0</v>
      </c>
      <c r="E94" s="108">
        <f t="shared" si="67"/>
        <v>0</v>
      </c>
      <c r="F94" s="108">
        <f t="shared" si="67"/>
        <v>0</v>
      </c>
      <c r="G94" s="108">
        <f t="shared" si="67"/>
        <v>-761467</v>
      </c>
      <c r="H94" s="112">
        <f t="shared" si="67"/>
        <v>-236506</v>
      </c>
      <c r="I94" s="112">
        <f t="shared" si="67"/>
        <v>-1076707</v>
      </c>
      <c r="J94" s="112">
        <f t="shared" si="67"/>
        <v>-692340.56499999994</v>
      </c>
      <c r="K94" s="112">
        <f t="shared" si="67"/>
        <v>-876019.8744999998</v>
      </c>
      <c r="L94" s="112">
        <f t="shared" si="67"/>
        <v>-821545.15072499996</v>
      </c>
      <c r="M94" s="112">
        <f t="shared" si="67"/>
        <v>-821545.15072499996</v>
      </c>
      <c r="N94" s="112">
        <f t="shared" si="67"/>
        <v>-821545.15072499996</v>
      </c>
      <c r="P94" s="110"/>
    </row>
    <row r="95" spans="2:26">
      <c r="B95" s="75"/>
      <c r="C95" s="86"/>
      <c r="D95" s="86"/>
      <c r="E95" s="86"/>
      <c r="F95" s="86"/>
      <c r="G95" s="86"/>
      <c r="H95" s="86"/>
      <c r="I95" s="86"/>
      <c r="J95" s="99"/>
      <c r="K95" s="99"/>
      <c r="L95" s="99"/>
      <c r="M95" s="99"/>
      <c r="N95" s="99"/>
    </row>
    <row r="96" spans="2:26" ht="14.5">
      <c r="B96" s="75" t="s">
        <v>389</v>
      </c>
      <c r="C96" s="84">
        <v>0</v>
      </c>
      <c r="D96" s="84">
        <v>0</v>
      </c>
      <c r="E96" s="84">
        <v>0</v>
      </c>
      <c r="F96" s="84">
        <v>0</v>
      </c>
      <c r="G96" s="85">
        <f>SUM('CF as rep.'!C46:C48)</f>
        <v>1082737</v>
      </c>
      <c r="H96" s="85">
        <f>SUM('CF as rep.'!D46:D48)</f>
        <v>-1144966</v>
      </c>
      <c r="I96" s="85">
        <f>SUM('CF as rep.'!E46:E48)</f>
        <v>784627</v>
      </c>
      <c r="J96" s="99">
        <f>J57-I57+J61-I61</f>
        <v>6355742.8029449061</v>
      </c>
      <c r="K96" s="99">
        <f t="shared" ref="K96:N96" si="68">K57-J57+K61-J61</f>
        <v>-2950698.8011250161</v>
      </c>
      <c r="L96" s="99">
        <f t="shared" si="68"/>
        <v>-849331.97306361422</v>
      </c>
      <c r="M96" s="99">
        <f t="shared" si="68"/>
        <v>-2718942.028756272</v>
      </c>
      <c r="N96" s="99" t="e">
        <f t="shared" si="68"/>
        <v>#DIV/0!</v>
      </c>
      <c r="P96" s="106" t="s">
        <v>390</v>
      </c>
    </row>
    <row r="97" spans="2:26" ht="15.5">
      <c r="B97" s="130" t="s">
        <v>391</v>
      </c>
      <c r="C97" s="84">
        <v>0</v>
      </c>
      <c r="D97" s="84">
        <v>0</v>
      </c>
      <c r="E97" s="84">
        <v>0</v>
      </c>
      <c r="F97" s="84">
        <v>0</v>
      </c>
      <c r="G97" s="85">
        <f>'CF as rep.'!C44</f>
        <v>-2231259</v>
      </c>
      <c r="H97" s="85">
        <f>'CF as rep.'!D44</f>
        <v>-2449071</v>
      </c>
      <c r="I97" s="85">
        <f>'CF as rep.'!E44</f>
        <v>-2558944</v>
      </c>
      <c r="J97" s="99">
        <f t="shared" ref="J97:N99" si="69">T97</f>
        <v>-2000000</v>
      </c>
      <c r="K97" s="99">
        <f t="shared" si="69"/>
        <v>-2300000</v>
      </c>
      <c r="L97" s="99">
        <f t="shared" si="69"/>
        <v>-2500000</v>
      </c>
      <c r="M97" s="99">
        <f t="shared" si="69"/>
        <v>0</v>
      </c>
      <c r="N97" s="99">
        <f t="shared" si="69"/>
        <v>0</v>
      </c>
      <c r="P97" s="130" t="s">
        <v>391</v>
      </c>
      <c r="T97" s="93">
        <v>-2000000</v>
      </c>
      <c r="U97" s="93">
        <v>-2300000</v>
      </c>
      <c r="V97" s="93">
        <v>-2500000</v>
      </c>
      <c r="W97" s="93">
        <v>0</v>
      </c>
      <c r="X97" s="93">
        <v>0</v>
      </c>
      <c r="Z97" s="61" t="s">
        <v>877</v>
      </c>
    </row>
    <row r="98" spans="2:26" ht="15.5">
      <c r="B98" s="130" t="s">
        <v>393</v>
      </c>
      <c r="C98" s="84"/>
      <c r="D98" s="84"/>
      <c r="E98" s="84"/>
      <c r="F98" s="84"/>
      <c r="G98" s="85"/>
      <c r="H98" s="85"/>
      <c r="I98" s="85"/>
      <c r="J98" s="99">
        <f>T98</f>
        <v>-69910</v>
      </c>
      <c r="K98" s="99">
        <f t="shared" si="69"/>
        <v>-69910</v>
      </c>
      <c r="L98" s="99">
        <f t="shared" si="69"/>
        <v>-69910</v>
      </c>
      <c r="M98" s="99"/>
      <c r="N98" s="99"/>
      <c r="P98" s="130" t="s">
        <v>394</v>
      </c>
      <c r="T98" s="93">
        <f>(I68-G68)/2</f>
        <v>-69910</v>
      </c>
      <c r="U98" s="93">
        <f>T98</f>
        <v>-69910</v>
      </c>
      <c r="V98" s="93">
        <f>U98</f>
        <v>-69910</v>
      </c>
      <c r="W98" s="93"/>
      <c r="X98" s="93"/>
    </row>
    <row r="99" spans="2:26">
      <c r="B99" s="75" t="s">
        <v>395</v>
      </c>
      <c r="C99" s="84">
        <v>0</v>
      </c>
      <c r="D99" s="84">
        <v>0</v>
      </c>
      <c r="E99" s="84">
        <v>0</v>
      </c>
      <c r="F99" s="84">
        <v>0</v>
      </c>
      <c r="G99" s="85">
        <f>SUM('CF as rep.'!C35:C43,'CF as rep.'!C45)</f>
        <v>-761549</v>
      </c>
      <c r="H99" s="85">
        <f>SUM('CF as rep.'!D35:D43,'CF as rep.'!D45)</f>
        <v>-888227</v>
      </c>
      <c r="I99" s="85">
        <f>SUM('CF as rep.'!E35:E43,'CF as rep.'!E45)</f>
        <v>-801769</v>
      </c>
      <c r="J99" s="99">
        <f t="shared" si="69"/>
        <v>-400000</v>
      </c>
      <c r="K99" s="99">
        <f t="shared" si="69"/>
        <v>-750000</v>
      </c>
      <c r="L99" s="99">
        <f t="shared" si="69"/>
        <v>-850000</v>
      </c>
      <c r="M99" s="99">
        <f t="shared" si="69"/>
        <v>0</v>
      </c>
      <c r="N99" s="99">
        <f t="shared" si="69"/>
        <v>0</v>
      </c>
      <c r="P99" s="75" t="s">
        <v>379</v>
      </c>
      <c r="T99" s="93">
        <v>-400000</v>
      </c>
      <c r="U99" s="93">
        <v>-750000</v>
      </c>
      <c r="V99" s="93">
        <v>-850000</v>
      </c>
      <c r="W99" s="93">
        <v>0</v>
      </c>
      <c r="X99" s="93">
        <v>0</v>
      </c>
      <c r="Z99" s="61" t="s">
        <v>396</v>
      </c>
    </row>
    <row r="100" spans="2:26">
      <c r="B100" s="96" t="s">
        <v>397</v>
      </c>
      <c r="C100" s="108">
        <f t="shared" ref="C100:N100" si="70">SUM(C96:C99)</f>
        <v>0</v>
      </c>
      <c r="D100" s="108">
        <f t="shared" si="70"/>
        <v>0</v>
      </c>
      <c r="E100" s="108">
        <f t="shared" si="70"/>
        <v>0</v>
      </c>
      <c r="F100" s="108">
        <f t="shared" si="70"/>
        <v>0</v>
      </c>
      <c r="G100" s="108">
        <f t="shared" si="70"/>
        <v>-1910071</v>
      </c>
      <c r="H100" s="112">
        <f t="shared" si="70"/>
        <v>-4482264</v>
      </c>
      <c r="I100" s="112">
        <f t="shared" si="70"/>
        <v>-2576086</v>
      </c>
      <c r="J100" s="112">
        <f t="shared" si="70"/>
        <v>3885832.8029449061</v>
      </c>
      <c r="K100" s="112">
        <f t="shared" si="70"/>
        <v>-6070608.8011250161</v>
      </c>
      <c r="L100" s="112">
        <f t="shared" si="70"/>
        <v>-4269241.9730636142</v>
      </c>
      <c r="M100" s="112">
        <f t="shared" si="70"/>
        <v>-2718942.028756272</v>
      </c>
      <c r="N100" s="112" t="e">
        <f t="shared" si="70"/>
        <v>#DIV/0!</v>
      </c>
      <c r="P100" s="110"/>
    </row>
    <row r="101" spans="2:26">
      <c r="B101" s="75" t="s">
        <v>398</v>
      </c>
      <c r="C101" s="84">
        <v>0</v>
      </c>
      <c r="D101" s="84">
        <v>0</v>
      </c>
      <c r="E101" s="84">
        <v>0</v>
      </c>
      <c r="F101" s="84">
        <v>0</v>
      </c>
      <c r="G101" s="85">
        <v>0</v>
      </c>
      <c r="H101" s="105">
        <v>0</v>
      </c>
      <c r="I101" s="105">
        <v>0</v>
      </c>
      <c r="J101" s="99">
        <f t="shared" ref="J101:N101" si="71">T101</f>
        <v>0</v>
      </c>
      <c r="K101" s="99">
        <f t="shared" si="71"/>
        <v>0</v>
      </c>
      <c r="L101" s="99">
        <f t="shared" si="71"/>
        <v>0</v>
      </c>
      <c r="M101" s="99">
        <f t="shared" si="71"/>
        <v>0</v>
      </c>
      <c r="N101" s="99">
        <f t="shared" si="71"/>
        <v>0</v>
      </c>
      <c r="P101" s="75" t="s">
        <v>398</v>
      </c>
      <c r="T101" s="93">
        <v>0</v>
      </c>
      <c r="U101" s="93">
        <v>0</v>
      </c>
      <c r="V101" s="93">
        <v>0</v>
      </c>
      <c r="W101" s="93">
        <v>0</v>
      </c>
      <c r="X101" s="93">
        <v>0</v>
      </c>
    </row>
    <row r="102" spans="2:26">
      <c r="B102" s="96" t="s">
        <v>399</v>
      </c>
      <c r="C102" s="108">
        <f t="shared" ref="C102:N102" si="72">C88+C94+C100+C101</f>
        <v>1316304</v>
      </c>
      <c r="D102" s="108">
        <f t="shared" si="72"/>
        <v>1405251</v>
      </c>
      <c r="E102" s="108">
        <f t="shared" si="72"/>
        <v>1824383</v>
      </c>
      <c r="F102" s="108">
        <f t="shared" si="72"/>
        <v>1835559</v>
      </c>
      <c r="G102" s="108">
        <f t="shared" si="72"/>
        <v>922250</v>
      </c>
      <c r="H102" s="108">
        <f t="shared" si="72"/>
        <v>-967974</v>
      </c>
      <c r="I102" s="108">
        <f t="shared" si="72"/>
        <v>155038</v>
      </c>
      <c r="J102" s="108">
        <f t="shared" si="72"/>
        <v>2663567.4449378187</v>
      </c>
      <c r="K102" s="108">
        <f t="shared" si="72"/>
        <v>-4648433.0578382071</v>
      </c>
      <c r="L102" s="108">
        <f t="shared" si="72"/>
        <v>-2676712.2485095994</v>
      </c>
      <c r="M102" s="108">
        <f t="shared" si="72"/>
        <v>606356.80343856802</v>
      </c>
      <c r="N102" s="108" t="e">
        <f t="shared" si="72"/>
        <v>#DIV/0!</v>
      </c>
      <c r="P102" s="110"/>
    </row>
    <row r="103" spans="2:26">
      <c r="B103" s="75"/>
      <c r="C103" s="86"/>
      <c r="D103" s="86"/>
      <c r="E103" s="86"/>
      <c r="F103" s="86"/>
      <c r="G103" s="86"/>
      <c r="H103" s="99"/>
      <c r="I103" s="99"/>
      <c r="J103" s="99"/>
      <c r="K103" s="99"/>
      <c r="L103" s="99"/>
      <c r="M103" s="99"/>
      <c r="N103" s="99"/>
    </row>
    <row r="104" spans="2:26">
      <c r="B104" s="75" t="s">
        <v>400</v>
      </c>
      <c r="C104" s="85">
        <v>0</v>
      </c>
      <c r="D104" s="86">
        <f t="shared" ref="D104:I104" si="73">C105</f>
        <v>1316304</v>
      </c>
      <c r="E104" s="86">
        <f t="shared" si="73"/>
        <v>2721555</v>
      </c>
      <c r="F104" s="86">
        <f t="shared" si="73"/>
        <v>4545938</v>
      </c>
      <c r="G104" s="86">
        <f>'CF as rep.'!C51</f>
        <v>560059</v>
      </c>
      <c r="H104" s="99">
        <f t="shared" si="73"/>
        <v>1482309</v>
      </c>
      <c r="I104" s="99">
        <f t="shared" si="73"/>
        <v>514335</v>
      </c>
      <c r="J104" s="99">
        <f>I105</f>
        <v>669373</v>
      </c>
      <c r="K104" s="99">
        <f>J105</f>
        <v>3332940.4449378187</v>
      </c>
      <c r="L104" s="99">
        <f>K105</f>
        <v>-1315492.6129003884</v>
      </c>
      <c r="M104" s="99">
        <f>L105</f>
        <v>-3992204.8614099878</v>
      </c>
      <c r="N104" s="99">
        <f>M105</f>
        <v>-3385848.0579714198</v>
      </c>
      <c r="P104" s="110"/>
    </row>
    <row r="105" spans="2:26">
      <c r="B105" s="75" t="s">
        <v>401</v>
      </c>
      <c r="C105" s="177">
        <f>SUM(C104,C102)</f>
        <v>1316304</v>
      </c>
      <c r="D105" s="86">
        <f t="shared" ref="D105:I105" si="74">SUM(D104,D102)</f>
        <v>2721555</v>
      </c>
      <c r="E105" s="86">
        <f t="shared" si="74"/>
        <v>4545938</v>
      </c>
      <c r="F105" s="86">
        <f t="shared" si="74"/>
        <v>6381497</v>
      </c>
      <c r="G105" s="86">
        <f t="shared" si="74"/>
        <v>1482309</v>
      </c>
      <c r="H105" s="99">
        <f t="shared" si="74"/>
        <v>514335</v>
      </c>
      <c r="I105" s="99">
        <f t="shared" si="74"/>
        <v>669373</v>
      </c>
      <c r="J105" s="99">
        <f>SUM(J104,J102)</f>
        <v>3332940.4449378187</v>
      </c>
      <c r="K105" s="99">
        <f>SUM(K104,K102)</f>
        <v>-1315492.6129003884</v>
      </c>
      <c r="L105" s="99">
        <f>SUM(L104,L102)</f>
        <v>-3992204.8614099878</v>
      </c>
      <c r="M105" s="99">
        <f>SUM(M104,M102)</f>
        <v>-3385848.0579714198</v>
      </c>
      <c r="N105" s="99" t="e">
        <f>SUM(N104,N102)</f>
        <v>#DIV/0!</v>
      </c>
      <c r="P105" s="110"/>
    </row>
    <row r="106" spans="2:26">
      <c r="C106" s="86"/>
      <c r="D106" s="86"/>
      <c r="E106" s="86"/>
      <c r="F106" s="86"/>
      <c r="G106" s="86"/>
      <c r="H106" s="99"/>
      <c r="I106" s="99"/>
      <c r="J106" s="99"/>
      <c r="K106" s="99"/>
      <c r="L106" s="99"/>
      <c r="M106" s="99"/>
      <c r="N106" s="99"/>
    </row>
    <row r="107" spans="2:26" s="118" customFormat="1" ht="20">
      <c r="B107" s="76" t="s">
        <v>402</v>
      </c>
      <c r="C107" s="117"/>
      <c r="D107" s="117"/>
      <c r="E107" s="117"/>
      <c r="F107" s="117"/>
      <c r="G107" s="117"/>
      <c r="H107" s="117"/>
      <c r="I107" s="117"/>
      <c r="J107" s="117"/>
      <c r="K107" s="117"/>
      <c r="L107" s="117"/>
      <c r="M107" s="117"/>
      <c r="N107" s="117"/>
    </row>
    <row r="108" spans="2:26" s="121" customFormat="1">
      <c r="B108" s="119"/>
      <c r="C108" s="120"/>
      <c r="D108" s="120"/>
      <c r="E108" s="120"/>
      <c r="F108" s="120"/>
      <c r="G108" s="120"/>
      <c r="H108" s="120"/>
      <c r="I108" s="120"/>
      <c r="J108" s="120"/>
      <c r="K108" s="120"/>
      <c r="L108" s="120"/>
      <c r="M108" s="120"/>
      <c r="N108" s="120"/>
    </row>
    <row r="109" spans="2:26" s="121" customFormat="1">
      <c r="B109" s="96" t="s">
        <v>277</v>
      </c>
      <c r="C109" s="122">
        <f t="shared" ref="C109:N109" si="75">IFERROR(C7/C7,"")</f>
        <v>1</v>
      </c>
      <c r="D109" s="122">
        <f t="shared" si="75"/>
        <v>1</v>
      </c>
      <c r="E109" s="122">
        <f t="shared" si="75"/>
        <v>1</v>
      </c>
      <c r="F109" s="122">
        <f t="shared" si="75"/>
        <v>1</v>
      </c>
      <c r="G109" s="122">
        <f t="shared" si="75"/>
        <v>1</v>
      </c>
      <c r="H109" s="122">
        <f t="shared" si="75"/>
        <v>1</v>
      </c>
      <c r="I109" s="122">
        <f t="shared" si="75"/>
        <v>1</v>
      </c>
      <c r="J109" s="122">
        <f t="shared" si="75"/>
        <v>1</v>
      </c>
      <c r="K109" s="122">
        <f t="shared" si="75"/>
        <v>1</v>
      </c>
      <c r="L109" s="122">
        <f t="shared" si="75"/>
        <v>1</v>
      </c>
      <c r="M109" s="122">
        <f t="shared" si="75"/>
        <v>1</v>
      </c>
      <c r="N109" s="122">
        <f t="shared" si="75"/>
        <v>1</v>
      </c>
    </row>
    <row r="110" spans="2:26" s="121" customFormat="1">
      <c r="C110" s="123"/>
      <c r="D110" s="123"/>
      <c r="E110" s="123"/>
      <c r="F110" s="123"/>
      <c r="G110" s="123"/>
      <c r="H110" s="123"/>
      <c r="I110" s="123"/>
      <c r="J110" s="123"/>
      <c r="K110" s="123"/>
      <c r="L110" s="123"/>
      <c r="M110" s="123"/>
      <c r="N110" s="123"/>
    </row>
    <row r="111" spans="2:26" s="121" customFormat="1">
      <c r="B111" s="96" t="s">
        <v>288</v>
      </c>
      <c r="C111" s="124">
        <f t="shared" ref="C111:N111" si="76">IFERROR(C14/C7,"")</f>
        <v>0.18441325845115011</v>
      </c>
      <c r="D111" s="124">
        <f t="shared" si="76"/>
        <v>0.18124327371706353</v>
      </c>
      <c r="E111" s="124">
        <f t="shared" si="76"/>
        <v>0.1823344511111917</v>
      </c>
      <c r="F111" s="124">
        <f t="shared" si="76"/>
        <v>0.17867637223748989</v>
      </c>
      <c r="G111" s="124">
        <f t="shared" si="76"/>
        <v>0.17731507547216235</v>
      </c>
      <c r="H111" s="124">
        <f t="shared" si="76"/>
        <v>0.17854961518349463</v>
      </c>
      <c r="I111" s="124">
        <f t="shared" si="76"/>
        <v>0.17751701985807938</v>
      </c>
      <c r="J111" s="124">
        <f t="shared" si="76"/>
        <v>0.20191260443401596</v>
      </c>
      <c r="K111" s="124">
        <f t="shared" si="76"/>
        <v>0.17751701985807941</v>
      </c>
      <c r="L111" s="124">
        <f t="shared" si="76"/>
        <v>0.17751701985807938</v>
      </c>
      <c r="M111" s="124">
        <f t="shared" si="76"/>
        <v>0</v>
      </c>
      <c r="N111" s="124">
        <f t="shared" si="76"/>
        <v>0</v>
      </c>
    </row>
    <row r="112" spans="2:26" s="121" customFormat="1">
      <c r="C112" s="86"/>
      <c r="D112" s="86"/>
      <c r="E112" s="86"/>
      <c r="F112" s="86"/>
      <c r="G112" s="86"/>
      <c r="H112" s="86"/>
      <c r="I112" s="86"/>
      <c r="J112" s="87"/>
      <c r="K112" s="87"/>
      <c r="L112" s="87"/>
      <c r="M112" s="87"/>
      <c r="N112" s="87"/>
    </row>
    <row r="113" spans="2:14" s="121" customFormat="1">
      <c r="B113" s="96" t="s">
        <v>878</v>
      </c>
      <c r="C113" s="124">
        <f t="shared" ref="C113:N113" si="77">IFERROR(C21/C7,"")</f>
        <v>0.81558674154884991</v>
      </c>
      <c r="D113" s="124">
        <f t="shared" si="77"/>
        <v>0.8187567262829365</v>
      </c>
      <c r="E113" s="124">
        <f t="shared" si="77"/>
        <v>0.81766554888880827</v>
      </c>
      <c r="F113" s="124">
        <f t="shared" si="77"/>
        <v>0.82132362776251011</v>
      </c>
      <c r="G113" s="124">
        <f t="shared" si="77"/>
        <v>0.82268492452783759</v>
      </c>
      <c r="H113" s="124">
        <f t="shared" si="77"/>
        <v>0.82145038481650534</v>
      </c>
      <c r="I113" s="124">
        <f t="shared" si="77"/>
        <v>0.82248298014192067</v>
      </c>
      <c r="J113" s="124">
        <f t="shared" si="77"/>
        <v>0.79808739556598396</v>
      </c>
      <c r="K113" s="124">
        <f t="shared" si="77"/>
        <v>0.82248298014192056</v>
      </c>
      <c r="L113" s="124">
        <f t="shared" si="77"/>
        <v>0.82248298014192056</v>
      </c>
      <c r="M113" s="124">
        <f t="shared" si="77"/>
        <v>1</v>
      </c>
      <c r="N113" s="124">
        <f t="shared" si="77"/>
        <v>1</v>
      </c>
    </row>
    <row r="114" spans="2:14" s="121" customFormat="1">
      <c r="C114" s="123"/>
      <c r="D114" s="123"/>
      <c r="E114" s="123"/>
      <c r="F114" s="123"/>
      <c r="G114" s="123"/>
      <c r="H114" s="123"/>
      <c r="I114" s="123"/>
      <c r="J114" s="123"/>
      <c r="K114" s="123"/>
      <c r="L114" s="123"/>
      <c r="M114" s="123"/>
      <c r="N114" s="123"/>
    </row>
    <row r="115" spans="2:14" s="121" customFormat="1">
      <c r="B115" s="96" t="s">
        <v>404</v>
      </c>
      <c r="C115" s="124">
        <f t="shared" ref="C115:N115" si="78">IFERROR(C23/C7,"")</f>
        <v>0.33390942348656394</v>
      </c>
      <c r="D115" s="124">
        <f t="shared" si="78"/>
        <v>0.32903569790536208</v>
      </c>
      <c r="E115" s="124">
        <f t="shared" si="78"/>
        <v>0.31086327023987187</v>
      </c>
      <c r="F115" s="124">
        <f t="shared" si="78"/>
        <v>0.32073239232422407</v>
      </c>
      <c r="G115" s="124">
        <f t="shared" si="78"/>
        <v>0.31568842567196931</v>
      </c>
      <c r="H115" s="124">
        <f t="shared" si="78"/>
        <v>0.30308905409254583</v>
      </c>
      <c r="I115" s="124">
        <f t="shared" si="78"/>
        <v>0.31722919959709406</v>
      </c>
      <c r="J115" s="124">
        <f t="shared" si="78"/>
        <v>0.4076210911579099</v>
      </c>
      <c r="K115" s="124">
        <f t="shared" si="78"/>
        <v>0.317229199597094</v>
      </c>
      <c r="L115" s="124">
        <f t="shared" si="78"/>
        <v>0.317229199597094</v>
      </c>
      <c r="M115" s="124">
        <f t="shared" si="78"/>
        <v>0</v>
      </c>
      <c r="N115" s="124">
        <f t="shared" si="78"/>
        <v>0</v>
      </c>
    </row>
    <row r="116" spans="2:14" s="121" customFormat="1">
      <c r="B116" s="75"/>
      <c r="C116" s="87"/>
      <c r="D116" s="87"/>
      <c r="E116" s="87"/>
      <c r="F116" s="87"/>
      <c r="G116" s="87"/>
      <c r="H116" s="87"/>
      <c r="I116" s="87"/>
      <c r="J116" s="87"/>
      <c r="K116" s="87"/>
      <c r="L116" s="87"/>
      <c r="M116" s="87"/>
      <c r="N116" s="87"/>
    </row>
    <row r="117" spans="2:14" s="121" customFormat="1">
      <c r="B117" s="96" t="s">
        <v>405</v>
      </c>
      <c r="C117" s="124">
        <f t="shared" ref="C117:N117" si="79">IFERROR(C30/C7,"")</f>
        <v>0.48167731806228598</v>
      </c>
      <c r="D117" s="124">
        <f t="shared" si="79"/>
        <v>0.48972102837757436</v>
      </c>
      <c r="E117" s="124">
        <f t="shared" si="79"/>
        <v>0.50680227864893646</v>
      </c>
      <c r="F117" s="124">
        <f t="shared" si="79"/>
        <v>0.50059123543828599</v>
      </c>
      <c r="G117" s="124">
        <f t="shared" si="79"/>
        <v>0.50699649885586839</v>
      </c>
      <c r="H117" s="124">
        <f t="shared" si="79"/>
        <v>0.51836133072395951</v>
      </c>
      <c r="I117" s="124">
        <f t="shared" si="79"/>
        <v>0.50525378054482661</v>
      </c>
      <c r="J117" s="124">
        <f t="shared" si="79"/>
        <v>0.39046630440807412</v>
      </c>
      <c r="K117" s="124">
        <f t="shared" si="79"/>
        <v>0.50525378054482661</v>
      </c>
      <c r="L117" s="124">
        <f t="shared" si="79"/>
        <v>0.5052537805448265</v>
      </c>
      <c r="M117" s="124">
        <f t="shared" si="79"/>
        <v>1</v>
      </c>
      <c r="N117" s="124">
        <f t="shared" si="79"/>
        <v>1</v>
      </c>
    </row>
    <row r="118" spans="2:14" s="121" customFormat="1">
      <c r="B118" s="75"/>
      <c r="C118" s="87"/>
      <c r="D118" s="87"/>
      <c r="E118" s="87"/>
      <c r="F118" s="87"/>
      <c r="G118" s="87"/>
      <c r="H118" s="87"/>
      <c r="I118" s="87"/>
      <c r="J118" s="87"/>
      <c r="K118" s="87"/>
      <c r="L118" s="87"/>
      <c r="M118" s="87"/>
      <c r="N118" s="87"/>
    </row>
    <row r="119" spans="2:14" s="121" customFormat="1">
      <c r="B119" s="75" t="s">
        <v>406</v>
      </c>
      <c r="C119" s="87">
        <f t="shared" ref="C119:M119" si="80">IFERROR(C35/C34,"")</f>
        <v>2.4849037915240006E-2</v>
      </c>
      <c r="D119" s="87">
        <f t="shared" si="80"/>
        <v>1.6721133643444821E-2</v>
      </c>
      <c r="E119" s="87">
        <f t="shared" si="80"/>
        <v>9.3399304020059786E-3</v>
      </c>
      <c r="F119" s="87">
        <f t="shared" si="80"/>
        <v>1.3711984564661354E-2</v>
      </c>
      <c r="G119" s="87">
        <f t="shared" si="80"/>
        <v>1.029121179977833E-2</v>
      </c>
      <c r="H119" s="87">
        <f t="shared" si="80"/>
        <v>1.2904823342978084E-2</v>
      </c>
      <c r="I119" s="87">
        <f t="shared" si="80"/>
        <v>1.2250727812421277E-2</v>
      </c>
      <c r="J119" s="87">
        <f t="shared" si="80"/>
        <v>1.2250727812421277E-2</v>
      </c>
      <c r="K119" s="87">
        <f t="shared" si="80"/>
        <v>1.2250727812421277E-2</v>
      </c>
      <c r="L119" s="87">
        <f t="shared" si="80"/>
        <v>1.2250727812421277E-2</v>
      </c>
      <c r="M119" s="87">
        <f t="shared" si="80"/>
        <v>0</v>
      </c>
      <c r="N119" s="87">
        <f>IFERROR(N35/N34,"")</f>
        <v>0</v>
      </c>
    </row>
    <row r="120" spans="2:14" s="121" customFormat="1">
      <c r="C120" s="123"/>
      <c r="D120" s="123"/>
      <c r="E120" s="123"/>
      <c r="F120" s="123"/>
      <c r="G120" s="123"/>
      <c r="H120" s="123"/>
      <c r="I120" s="123"/>
      <c r="J120" s="123"/>
      <c r="K120" s="123"/>
      <c r="L120" s="123"/>
      <c r="M120" s="123"/>
      <c r="N120" s="123"/>
    </row>
    <row r="121" spans="2:14" s="121" customFormat="1">
      <c r="B121" s="96" t="s">
        <v>407</v>
      </c>
      <c r="C121" s="97">
        <f t="shared" ref="C121:N121" si="81">C39/C7</f>
        <v>0.28968920402064419</v>
      </c>
      <c r="D121" s="97">
        <f t="shared" si="81"/>
        <v>0.28850410752362332</v>
      </c>
      <c r="E121" s="97">
        <f t="shared" si="81"/>
        <v>0.34643891317735337</v>
      </c>
      <c r="F121" s="97">
        <f t="shared" si="81"/>
        <v>0.33771511743111465</v>
      </c>
      <c r="G121" s="97">
        <f t="shared" si="81"/>
        <v>0.35181957456539642</v>
      </c>
      <c r="H121" s="97">
        <f t="shared" si="81"/>
        <v>0.43163803157606839</v>
      </c>
      <c r="I121" s="97">
        <f t="shared" si="81"/>
        <v>0.36458350889953395</v>
      </c>
      <c r="J121" s="97">
        <f t="shared" si="81"/>
        <v>9.6264526301740358E-2</v>
      </c>
      <c r="K121" s="97">
        <f t="shared" si="81"/>
        <v>0.34174695501427743</v>
      </c>
      <c r="L121" s="97">
        <f t="shared" si="81"/>
        <v>0.34863873008152563</v>
      </c>
      <c r="M121" s="97">
        <f t="shared" si="81"/>
        <v>1</v>
      </c>
      <c r="N121" s="97">
        <f t="shared" si="81"/>
        <v>1</v>
      </c>
    </row>
    <row r="122" spans="2:14" s="121" customFormat="1">
      <c r="C122" s="123"/>
      <c r="D122" s="123"/>
      <c r="E122" s="123"/>
      <c r="F122" s="123"/>
      <c r="G122" s="123"/>
      <c r="H122" s="123"/>
      <c r="I122" s="123"/>
      <c r="J122" s="123"/>
      <c r="K122" s="123"/>
      <c r="L122" s="123"/>
      <c r="M122" s="123"/>
      <c r="N122" s="123"/>
    </row>
    <row r="123" spans="2:14" s="118" customFormat="1" ht="20">
      <c r="B123" s="76" t="s">
        <v>408</v>
      </c>
      <c r="C123" s="125"/>
      <c r="D123" s="125"/>
      <c r="E123" s="125"/>
      <c r="F123" s="125"/>
      <c r="G123" s="125"/>
      <c r="H123" s="125"/>
      <c r="I123" s="125"/>
      <c r="J123" s="125"/>
      <c r="K123" s="125"/>
      <c r="L123" s="125"/>
      <c r="M123" s="125"/>
      <c r="N123" s="125"/>
    </row>
    <row r="124" spans="2:14" s="121" customFormat="1">
      <c r="B124" s="75"/>
      <c r="C124" s="86"/>
      <c r="D124" s="86"/>
      <c r="E124" s="86"/>
      <c r="F124" s="86"/>
      <c r="G124" s="86"/>
      <c r="H124" s="86"/>
      <c r="I124" s="86"/>
      <c r="J124" s="86"/>
      <c r="K124" s="86"/>
      <c r="L124" s="86"/>
      <c r="M124" s="86"/>
      <c r="N124" s="86"/>
    </row>
    <row r="125" spans="2:14" s="121" customFormat="1">
      <c r="B125" s="96" t="s">
        <v>277</v>
      </c>
      <c r="C125" s="124"/>
      <c r="D125" s="124"/>
      <c r="E125" s="124"/>
      <c r="F125" s="124"/>
      <c r="G125" s="124">
        <f>IFERROR(G7/F7-1,"")</f>
        <v>1.694629609902365E-2</v>
      </c>
      <c r="H125" s="124">
        <f>IFERROR(H7/G7-1,"")</f>
        <v>2.1339755715954256E-2</v>
      </c>
      <c r="I125" s="124">
        <f>IFERROR(I7/H7-1,"")</f>
        <v>1.946774017552344E-2</v>
      </c>
      <c r="J125" s="124">
        <f>J7/I7-1</f>
        <v>-0.31384753828240919</v>
      </c>
      <c r="K125" s="124">
        <f>IFERROR(K7/J7-1,"")</f>
        <v>0.31009071529652865</v>
      </c>
      <c r="L125" s="124">
        <f>IFERROR(L7/K7-1,"")</f>
        <v>5.8665090574300915E-2</v>
      </c>
      <c r="M125" s="124">
        <f>IFERROR(M7/L7-1,"")</f>
        <v>0</v>
      </c>
      <c r="N125" s="124">
        <f>IFERROR(N7/M7-1,"")</f>
        <v>0</v>
      </c>
    </row>
    <row r="126" spans="2:14" s="121" customFormat="1">
      <c r="C126" s="126"/>
      <c r="D126" s="126"/>
      <c r="E126" s="126"/>
      <c r="F126" s="126"/>
      <c r="G126" s="126"/>
      <c r="H126" s="126"/>
      <c r="I126" s="126"/>
      <c r="J126" s="126"/>
      <c r="K126" s="126"/>
      <c r="L126" s="126"/>
      <c r="M126" s="126"/>
      <c r="N126" s="126"/>
    </row>
    <row r="127" spans="2:14" s="121" customFormat="1">
      <c r="B127" s="96" t="s">
        <v>287</v>
      </c>
      <c r="C127" s="124"/>
      <c r="D127" s="124"/>
      <c r="E127" s="124"/>
      <c r="F127" s="124"/>
      <c r="G127" s="124">
        <f t="shared" ref="G127:N127" si="82">IFERROR(G14/F14-1,"")</f>
        <v>9.1984014778401235E-3</v>
      </c>
      <c r="H127" s="124">
        <f t="shared" si="82"/>
        <v>2.8450738715206869E-2</v>
      </c>
      <c r="I127" s="124">
        <f t="shared" si="82"/>
        <v>1.3571913282617309E-2</v>
      </c>
      <c r="J127" s="124">
        <f t="shared" si="82"/>
        <v>-0.21955184525420779</v>
      </c>
      <c r="K127" s="124">
        <f t="shared" si="82"/>
        <v>0.15180228681156893</v>
      </c>
      <c r="L127" s="124">
        <f t="shared" si="82"/>
        <v>5.8665090574300915E-2</v>
      </c>
      <c r="M127" s="124">
        <f t="shared" si="82"/>
        <v>-1</v>
      </c>
      <c r="N127" s="124" t="str">
        <f t="shared" si="82"/>
        <v/>
      </c>
    </row>
    <row r="128" spans="2:14" s="121" customFormat="1">
      <c r="C128" s="123"/>
      <c r="D128" s="123"/>
      <c r="E128" s="123"/>
      <c r="F128" s="123"/>
      <c r="G128" s="123"/>
      <c r="H128" s="123"/>
      <c r="I128" s="123"/>
      <c r="J128" s="123"/>
      <c r="K128" s="123"/>
      <c r="L128" s="123"/>
      <c r="M128" s="123"/>
      <c r="N128" s="123"/>
    </row>
    <row r="129" spans="2:14" s="121" customFormat="1">
      <c r="B129" s="96" t="s">
        <v>296</v>
      </c>
      <c r="C129" s="97"/>
      <c r="D129" s="97"/>
      <c r="E129" s="97"/>
      <c r="F129" s="97"/>
      <c r="G129" s="124">
        <f>IFERROR(G21/F21-1,"")</f>
        <v>1.8631826207493596E-2</v>
      </c>
      <c r="H129" s="124">
        <f>IFERROR(H21/G21-1,"")</f>
        <v>1.9807110046146548E-2</v>
      </c>
      <c r="I129" s="124">
        <f>IFERROR(I21/H21-1,"")</f>
        <v>2.0749251076698449E-2</v>
      </c>
      <c r="J129" s="124">
        <f>J21/I21-1</f>
        <v>-0.33419943712526456</v>
      </c>
      <c r="K129" s="124">
        <f>IFERROR(K21/J21-1,"")</f>
        <v>0.35013699221398364</v>
      </c>
      <c r="L129" s="124">
        <f>IFERROR(L21/K21-1,"")</f>
        <v>5.8665090574300915E-2</v>
      </c>
      <c r="M129" s="124">
        <f>IFERROR(M21/L21-1,"")</f>
        <v>0.2158306301091466</v>
      </c>
      <c r="N129" s="124">
        <f>IFERROR(N21/M21-1,"")</f>
        <v>0</v>
      </c>
    </row>
    <row r="130" spans="2:14" s="121" customFormat="1">
      <c r="C130" s="123"/>
      <c r="D130" s="123"/>
      <c r="E130" s="123"/>
      <c r="F130" s="123"/>
      <c r="G130" s="123"/>
      <c r="H130" s="123"/>
      <c r="I130" s="123"/>
      <c r="J130" s="123"/>
      <c r="K130" s="123"/>
      <c r="L130" s="123"/>
      <c r="M130" s="123"/>
      <c r="N130" s="123"/>
    </row>
    <row r="131" spans="2:14" s="121" customFormat="1">
      <c r="B131" s="96" t="s">
        <v>298</v>
      </c>
      <c r="C131" s="97"/>
      <c r="D131" s="97"/>
      <c r="E131" s="97"/>
      <c r="F131" s="97"/>
      <c r="G131" s="124">
        <f t="shared" ref="G131:N131" si="83">IFERROR(G23/F23-1,"")</f>
        <v>9.5338946590683982E-4</v>
      </c>
      <c r="H131" s="124">
        <f t="shared" si="83"/>
        <v>-1.9422711465766795E-2</v>
      </c>
      <c r="I131" s="124">
        <f t="shared" si="83"/>
        <v>6.7029412194444804E-2</v>
      </c>
      <c r="J131" s="124">
        <f t="shared" si="83"/>
        <v>-0.11833395065385255</v>
      </c>
      <c r="K131" s="124">
        <f t="shared" si="83"/>
        <v>1.9571945682520298E-2</v>
      </c>
      <c r="L131" s="124">
        <f t="shared" si="83"/>
        <v>5.8665090574300915E-2</v>
      </c>
      <c r="M131" s="124">
        <f t="shared" si="83"/>
        <v>-1</v>
      </c>
      <c r="N131" s="124" t="str">
        <f t="shared" si="83"/>
        <v/>
      </c>
    </row>
    <row r="132" spans="2:14" s="121" customFormat="1">
      <c r="C132" s="123"/>
      <c r="D132" s="123"/>
      <c r="E132" s="123"/>
      <c r="F132" s="123"/>
      <c r="G132" s="123"/>
      <c r="H132" s="123"/>
      <c r="I132" s="123"/>
      <c r="J132" s="123"/>
      <c r="K132" s="123"/>
      <c r="L132" s="123"/>
      <c r="M132" s="123"/>
      <c r="N132" s="123"/>
    </row>
    <row r="133" spans="2:14" s="121" customFormat="1">
      <c r="B133" s="96" t="s">
        <v>307</v>
      </c>
      <c r="C133" s="97"/>
      <c r="D133" s="97"/>
      <c r="E133" s="97"/>
      <c r="F133" s="97"/>
      <c r="G133" s="124">
        <f t="shared" ref="G133:N133" si="84">IFERROR(G30/F30-1,"")</f>
        <v>2.9958527330650853E-2</v>
      </c>
      <c r="H133" s="124">
        <f t="shared" si="84"/>
        <v>4.4234104355645565E-2</v>
      </c>
      <c r="I133" s="124">
        <f t="shared" si="84"/>
        <v>-6.3110434032885854E-3</v>
      </c>
      <c r="J133" s="124">
        <f t="shared" si="84"/>
        <v>-0.46973298111996975</v>
      </c>
      <c r="K133" s="124">
        <f t="shared" si="84"/>
        <v>0.69522511747510407</v>
      </c>
      <c r="L133" s="124">
        <f t="shared" si="84"/>
        <v>5.8665090574300915E-2</v>
      </c>
      <c r="M133" s="124">
        <f t="shared" si="84"/>
        <v>0.9792033993722471</v>
      </c>
      <c r="N133" s="124">
        <f t="shared" si="84"/>
        <v>0</v>
      </c>
    </row>
    <row r="134" spans="2:14" s="121" customFormat="1">
      <c r="B134" s="83"/>
      <c r="C134" s="123"/>
      <c r="D134" s="123"/>
      <c r="E134" s="123"/>
      <c r="F134" s="123"/>
      <c r="G134" s="123"/>
      <c r="H134" s="123"/>
      <c r="I134" s="123"/>
      <c r="J134" s="123"/>
      <c r="K134" s="123"/>
      <c r="L134" s="123"/>
      <c r="M134" s="123"/>
      <c r="N134" s="123"/>
    </row>
    <row r="135" spans="2:14" s="121" customFormat="1">
      <c r="B135" s="61" t="s">
        <v>309</v>
      </c>
      <c r="C135" s="87"/>
      <c r="D135" s="87"/>
      <c r="E135" s="87"/>
      <c r="F135" s="87"/>
      <c r="G135" s="127">
        <f t="shared" ref="G135:N135" si="85">IFERROR(G32/F32-1,"")</f>
        <v>-4.0165766905564615E-2</v>
      </c>
      <c r="H135" s="127">
        <f t="shared" si="85"/>
        <v>-0.87444532235898553</v>
      </c>
      <c r="I135" s="127">
        <f t="shared" si="85"/>
        <v>5.7790420233230932</v>
      </c>
      <c r="J135" s="127">
        <f t="shared" si="85"/>
        <v>1.099894630094437</v>
      </c>
      <c r="K135" s="127">
        <f t="shared" si="85"/>
        <v>-0.47621437079203721</v>
      </c>
      <c r="L135" s="127">
        <f t="shared" si="85"/>
        <v>0</v>
      </c>
      <c r="M135" s="127">
        <f t="shared" si="85"/>
        <v>-1</v>
      </c>
      <c r="N135" s="127" t="str">
        <f t="shared" si="85"/>
        <v/>
      </c>
    </row>
    <row r="136" spans="2:14" s="121" customFormat="1">
      <c r="B136" s="75"/>
      <c r="C136" s="87"/>
      <c r="D136" s="87"/>
      <c r="E136" s="87"/>
      <c r="F136" s="87"/>
      <c r="G136" s="87"/>
      <c r="H136" s="87"/>
      <c r="I136" s="87"/>
      <c r="J136" s="87"/>
      <c r="K136" s="87"/>
      <c r="L136" s="87"/>
      <c r="M136" s="87"/>
      <c r="N136" s="87"/>
    </row>
    <row r="137" spans="2:14" s="121" customFormat="1">
      <c r="B137" s="75" t="s">
        <v>311</v>
      </c>
      <c r="C137" s="123"/>
      <c r="D137" s="123"/>
      <c r="E137" s="123"/>
      <c r="F137" s="123"/>
      <c r="G137" s="127">
        <f t="shared" ref="G137:N138" si="86">IFERROR(G34/F34-1,"")</f>
        <v>4.7986863698862958E-2</v>
      </c>
      <c r="H137" s="127">
        <f t="shared" si="86"/>
        <v>0.26055154511459522</v>
      </c>
      <c r="I137" s="127">
        <f t="shared" si="86"/>
        <v>-0.14199537569585774</v>
      </c>
      <c r="J137" s="127">
        <f t="shared" si="86"/>
        <v>-0.76058706162011847</v>
      </c>
      <c r="K137" s="127">
        <f t="shared" si="86"/>
        <v>2.5991432807405279</v>
      </c>
      <c r="L137" s="127">
        <f t="shared" si="86"/>
        <v>7.2541036717947094E-2</v>
      </c>
      <c r="M137" s="127">
        <f t="shared" si="86"/>
        <v>1.4156783961400317</v>
      </c>
      <c r="N137" s="127">
        <f t="shared" si="86"/>
        <v>0</v>
      </c>
    </row>
    <row r="138" spans="2:14" s="75" customFormat="1">
      <c r="B138" s="98" t="s">
        <v>313</v>
      </c>
      <c r="C138" s="86"/>
      <c r="D138" s="86"/>
      <c r="E138" s="86"/>
      <c r="F138" s="86"/>
      <c r="G138" s="127">
        <f t="shared" si="86"/>
        <v>-0.21345778017386619</v>
      </c>
      <c r="H138" s="127">
        <f t="shared" si="86"/>
        <v>0.58068800068543025</v>
      </c>
      <c r="I138" s="127">
        <f t="shared" si="86"/>
        <v>-0.18548430809257954</v>
      </c>
      <c r="J138" s="127">
        <f t="shared" si="86"/>
        <v>-0.76058706162011847</v>
      </c>
      <c r="K138" s="127">
        <f t="shared" si="86"/>
        <v>2.5991432807405284</v>
      </c>
      <c r="L138" s="127">
        <f t="shared" si="86"/>
        <v>7.2541036717947094E-2</v>
      </c>
      <c r="M138" s="127">
        <f t="shared" si="86"/>
        <v>-1</v>
      </c>
      <c r="N138" s="127" t="str">
        <f t="shared" si="86"/>
        <v/>
      </c>
    </row>
    <row r="139" spans="2:14" s="75" customFormat="1">
      <c r="C139" s="86"/>
      <c r="D139" s="86"/>
      <c r="E139" s="86"/>
      <c r="F139" s="86"/>
      <c r="G139" s="86"/>
      <c r="H139" s="86"/>
      <c r="I139" s="87"/>
      <c r="J139" s="87"/>
      <c r="K139" s="87"/>
      <c r="L139" s="87"/>
      <c r="M139" s="87"/>
      <c r="N139" s="87"/>
    </row>
    <row r="140" spans="2:14" s="75" customFormat="1">
      <c r="B140" s="75" t="s">
        <v>409</v>
      </c>
      <c r="C140" s="87"/>
      <c r="D140" s="87"/>
      <c r="E140" s="87"/>
      <c r="F140" s="87"/>
      <c r="G140" s="127">
        <f t="shared" ref="G140:N140" si="87">IFERROR(G37/F37-1,"")</f>
        <v>3.7807499323074811E-3</v>
      </c>
      <c r="H140" s="127">
        <f t="shared" si="87"/>
        <v>0.28421662592664121</v>
      </c>
      <c r="I140" s="127">
        <f t="shared" si="87"/>
        <v>-0.15735876065162258</v>
      </c>
      <c r="J140" s="127">
        <f t="shared" si="87"/>
        <v>-0.38450364835462436</v>
      </c>
      <c r="K140" s="127">
        <f t="shared" si="87"/>
        <v>0.60000000000000009</v>
      </c>
      <c r="L140" s="127">
        <f t="shared" si="87"/>
        <v>3.125E-2</v>
      </c>
      <c r="M140" s="127">
        <f t="shared" si="87"/>
        <v>-1</v>
      </c>
      <c r="N140" s="127" t="str">
        <f t="shared" si="87"/>
        <v/>
      </c>
    </row>
    <row r="141" spans="2:14" s="96" customFormat="1">
      <c r="B141" s="75"/>
      <c r="C141" s="97"/>
      <c r="D141" s="97"/>
      <c r="E141" s="97"/>
      <c r="F141" s="97"/>
      <c r="G141" s="87"/>
      <c r="H141" s="87"/>
      <c r="I141" s="87"/>
      <c r="J141" s="87"/>
      <c r="K141" s="87"/>
      <c r="L141" s="87"/>
      <c r="M141" s="87"/>
      <c r="N141" s="87"/>
    </row>
    <row r="142" spans="2:14" s="75" customFormat="1">
      <c r="B142" s="75" t="s">
        <v>364</v>
      </c>
      <c r="C142" s="87"/>
      <c r="D142" s="87"/>
      <c r="E142" s="87"/>
      <c r="F142" s="87"/>
      <c r="G142" s="97">
        <f>IFERROR(G39/F39-1,"")</f>
        <v>5.9418411502980772E-2</v>
      </c>
      <c r="H142" s="97">
        <f>IFERROR(H39/G39-1,"")</f>
        <v>0.2530544449443981</v>
      </c>
      <c r="I142" s="97">
        <f>IFERROR(I39/H39-1,"")</f>
        <v>-0.138905520984963</v>
      </c>
      <c r="J142" s="97">
        <f>J39/I39-1</f>
        <v>-0.8188284985862635</v>
      </c>
      <c r="K142" s="97">
        <f>IFERROR(K39/J39-1,"")</f>
        <v>3.6509293708223547</v>
      </c>
      <c r="L142" s="97">
        <f>IFERROR(L39/K39-1,"")</f>
        <v>8.0014459072642596E-2</v>
      </c>
      <c r="M142" s="97">
        <f>IFERROR(M39/L39-1,"")</f>
        <v>1.8682986533543198</v>
      </c>
      <c r="N142" s="97">
        <f>IFERROR(N39/M39-1,"")</f>
        <v>0</v>
      </c>
    </row>
    <row r="143" spans="2:14">
      <c r="B143" s="61" t="s">
        <v>78</v>
      </c>
      <c r="C143" s="182"/>
      <c r="D143" s="182"/>
      <c r="E143" s="182"/>
      <c r="F143" s="182"/>
      <c r="G143" s="182"/>
      <c r="H143" s="181">
        <f>H146/G146-1</f>
        <v>2.4669140948291757E-2</v>
      </c>
      <c r="I143" s="181">
        <f>I146/H146-1</f>
        <v>5.1835122706691994E-2</v>
      </c>
      <c r="J143" s="181">
        <f>J146/I146-1</f>
        <v>-0.55711721315478191</v>
      </c>
      <c r="K143" s="181">
        <f>K146/J146-1</f>
        <v>0.93277607300110366</v>
      </c>
      <c r="L143" s="181">
        <f>L146/K146-1</f>
        <v>7.6391454649934465E-2</v>
      </c>
    </row>
    <row r="146" spans="2:12">
      <c r="B146" s="61" t="s">
        <v>78</v>
      </c>
      <c r="G146" s="86">
        <f>G39+G25+G86+G83+G37</f>
        <v>2868442</v>
      </c>
      <c r="H146" s="86">
        <f t="shared" ref="H146:L146" si="88">H39+H25+H86+H83+H37</f>
        <v>2939204</v>
      </c>
      <c r="I146" s="86">
        <f t="shared" si="88"/>
        <v>3091558</v>
      </c>
      <c r="J146" s="86">
        <f t="shared" si="88"/>
        <v>1369197.8227336286</v>
      </c>
      <c r="K146" s="86">
        <f t="shared" si="88"/>
        <v>2646352.7909847638</v>
      </c>
      <c r="L146" s="86">
        <f t="shared" si="88"/>
        <v>2848511.5302050039</v>
      </c>
    </row>
    <row r="148" spans="2:12">
      <c r="B148" s="61" t="s">
        <v>411</v>
      </c>
      <c r="G148" s="86">
        <f>G7</f>
        <v>5527336</v>
      </c>
      <c r="H148" s="86">
        <f t="shared" ref="H148:L148" si="89">H7</f>
        <v>5645288</v>
      </c>
      <c r="I148" s="86">
        <f t="shared" si="89"/>
        <v>5755189</v>
      </c>
      <c r="J148" s="86">
        <f t="shared" si="89"/>
        <v>3948937.0999999996</v>
      </c>
      <c r="K148" s="86">
        <f t="shared" si="89"/>
        <v>5173465.8299999991</v>
      </c>
      <c r="L148" s="86">
        <f t="shared" si="89"/>
        <v>5476967.6715000002</v>
      </c>
    </row>
    <row r="149" spans="2:12">
      <c r="B149" s="61" t="s">
        <v>412</v>
      </c>
      <c r="G149" s="86">
        <f>G146</f>
        <v>2868442</v>
      </c>
      <c r="H149" s="86">
        <f t="shared" ref="H149:L149" si="90">H146</f>
        <v>2939204</v>
      </c>
      <c r="I149" s="86">
        <f t="shared" si="90"/>
        <v>3091558</v>
      </c>
      <c r="J149" s="86">
        <f t="shared" si="90"/>
        <v>1369197.8227336286</v>
      </c>
      <c r="K149" s="86">
        <f t="shared" si="90"/>
        <v>2646352.7909847638</v>
      </c>
      <c r="L149" s="86">
        <f t="shared" si="90"/>
        <v>2848511.5302050039</v>
      </c>
    </row>
    <row r="150" spans="2:12">
      <c r="B150" s="61" t="s">
        <v>413</v>
      </c>
      <c r="G150" s="138">
        <f>1000*G146/Everything!Z135</f>
        <v>9.2183404598743035</v>
      </c>
      <c r="H150" s="138">
        <f>1000*H146/Everything!AA135</f>
        <v>9.5114493657038182</v>
      </c>
      <c r="I150" s="138">
        <f>1000*I146/Everything!AB135</f>
        <v>10.07452171115645</v>
      </c>
      <c r="J150" s="138">
        <f>1000*J146/Everything!AB135</f>
        <v>4.4618322515696232</v>
      </c>
      <c r="K150" s="138">
        <f>1000*K146/Everything!AB135</f>
        <v>8.623722617578407</v>
      </c>
      <c r="L150" s="138">
        <f>1000*L146/Everything!AB135</f>
        <v>9.2825013328327621</v>
      </c>
    </row>
    <row r="151" spans="2:12">
      <c r="B151" s="61" t="s">
        <v>414</v>
      </c>
      <c r="G151" s="139">
        <f>G39/(G70-G68)</f>
        <v>0.53378436058830259</v>
      </c>
      <c r="H151" s="139">
        <f t="shared" ref="H151:J151" si="91">H39/(H70-H68)</f>
        <v>0.74885407904833934</v>
      </c>
      <c r="I151" s="139">
        <f t="shared" si="91"/>
        <v>0.84471239278286681</v>
      </c>
      <c r="J151" s="139">
        <f t="shared" si="91"/>
        <v>0.83100431856627743</v>
      </c>
      <c r="K151" s="139" t="s">
        <v>37</v>
      </c>
      <c r="L151" s="139" t="s">
        <v>37</v>
      </c>
    </row>
    <row r="152" spans="2:12">
      <c r="B152" s="61" t="s">
        <v>415</v>
      </c>
      <c r="G152" s="138">
        <f>Everything!Z136/'Model An 19A'!G150</f>
        <v>18.63025137198521</v>
      </c>
      <c r="H152" s="138">
        <f>Everything!AA136/'Model An 19A'!H150</f>
        <v>17.661871870520049</v>
      </c>
      <c r="I152" s="138">
        <f>Everything!AB136/'Model An 19A'!I150</f>
        <v>14.785813587065162</v>
      </c>
      <c r="J152" s="138">
        <f>68.76/'Model An 19A'!J150</f>
        <v>15.410709350583721</v>
      </c>
      <c r="K152" s="138">
        <f>68.76/'Model An 19A'!K150</f>
        <v>7.9733547853036377</v>
      </c>
      <c r="L152" s="138">
        <f>68.76/'Model An 19A'!L150</f>
        <v>7.4074861435022665</v>
      </c>
    </row>
  </sheetData>
  <phoneticPr fontId="45" type="noConversion"/>
  <conditionalFormatting sqref="C72:N72">
    <cfRule type="cellIs" dxfId="2" priority="1" operator="notEqual">
      <formula>0</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8907-B686-459A-82CC-6DB69DD22A13}">
  <sheetPr>
    <tabColor rgb="FFFFE699"/>
  </sheetPr>
  <dimension ref="A1:C151"/>
  <sheetViews>
    <sheetView workbookViewId="0">
      <pane xSplit="1" ySplit="3" topLeftCell="B4" activePane="bottomRight" state="frozen"/>
      <selection pane="topRight"/>
      <selection pane="bottomLeft"/>
      <selection pane="bottomRight"/>
    </sheetView>
  </sheetViews>
  <sheetFormatPr defaultColWidth="8.83203125" defaultRowHeight="14"/>
  <cols>
    <col min="1" max="1" width="35.5" style="61" customWidth="1"/>
    <col min="2" max="2" width="11.58203125" customWidth="1"/>
    <col min="3" max="3" width="11.33203125" customWidth="1"/>
  </cols>
  <sheetData>
    <row r="1" spans="1:3" ht="17.5">
      <c r="A1" s="64" t="s">
        <v>269</v>
      </c>
    </row>
    <row r="2" spans="1:3">
      <c r="A2" s="68" t="s">
        <v>270</v>
      </c>
      <c r="B2" s="70">
        <f>'Model An 19A'!J3</f>
        <v>2020</v>
      </c>
      <c r="C2" s="69">
        <f>'Model An 21A'!I3</f>
        <v>2020</v>
      </c>
    </row>
    <row r="3" spans="1:3">
      <c r="A3" s="72" t="s">
        <v>272</v>
      </c>
      <c r="B3" s="70" t="str">
        <f>'Model An 19A'!J4</f>
        <v>Forecast</v>
      </c>
      <c r="C3" s="69" t="str">
        <f>'Model An 21A'!I4</f>
        <v>Actual</v>
      </c>
    </row>
    <row r="4" spans="1:3">
      <c r="A4" s="75"/>
      <c r="B4" s="75"/>
      <c r="C4" s="75"/>
    </row>
    <row r="5" spans="1:3" ht="20">
      <c r="A5" s="76" t="s">
        <v>275</v>
      </c>
      <c r="B5" s="78"/>
      <c r="C5" s="77"/>
    </row>
    <row r="6" spans="1:3">
      <c r="A6" s="74" t="s">
        <v>277</v>
      </c>
      <c r="B6" s="80">
        <f>'Model An 19A'!J7</f>
        <v>3948937.0999999996</v>
      </c>
      <c r="C6" s="80">
        <f>'Model An 21A'!I7</f>
        <v>4607503</v>
      </c>
    </row>
    <row r="7" spans="1:3">
      <c r="A7" s="83" t="s">
        <v>279</v>
      </c>
      <c r="B7" s="86">
        <f>'Model An 19A'!J8</f>
        <v>3670639.6999999997</v>
      </c>
      <c r="C7" s="178">
        <f>'Model An 21A'!I8</f>
        <v>4302367</v>
      </c>
    </row>
    <row r="8" spans="1:3">
      <c r="A8" s="83" t="s">
        <v>281</v>
      </c>
      <c r="B8" s="86">
        <f>'Model An 19A'!J9</f>
        <v>79059.399999999994</v>
      </c>
      <c r="C8" s="178">
        <f>'Model An 21A'!I9</f>
        <v>96882</v>
      </c>
    </row>
    <row r="9" spans="1:3">
      <c r="A9" s="83" t="s">
        <v>282</v>
      </c>
      <c r="B9" s="86">
        <f>'Model An 19A'!J10</f>
        <v>0</v>
      </c>
      <c r="C9" s="84">
        <f>'Model An 21A'!I10</f>
        <v>0</v>
      </c>
    </row>
    <row r="10" spans="1:3">
      <c r="A10" s="83" t="s">
        <v>284</v>
      </c>
      <c r="B10" s="86">
        <f>'Model An 19A'!J11</f>
        <v>199238</v>
      </c>
      <c r="C10" s="178">
        <f>'Model An 21A'!I11</f>
        <v>208254</v>
      </c>
    </row>
    <row r="11" spans="1:3">
      <c r="A11" s="83" t="s">
        <v>285</v>
      </c>
      <c r="B11" s="140">
        <f>'Model An 19A'!J12</f>
        <v>0</v>
      </c>
      <c r="C11" s="84">
        <f>'Model An 21A'!I12</f>
        <v>0</v>
      </c>
    </row>
    <row r="12" spans="1:3">
      <c r="A12" s="94"/>
      <c r="B12" s="81"/>
      <c r="C12" s="63"/>
    </row>
    <row r="13" spans="1:3">
      <c r="A13" s="74" t="s">
        <v>287</v>
      </c>
      <c r="B13" s="80">
        <f>'Model An 19A'!J14</f>
        <v>797340.17460711009</v>
      </c>
      <c r="C13" s="80">
        <f>'Model An 21A'!I14</f>
        <v>887154</v>
      </c>
    </row>
    <row r="14" spans="1:3">
      <c r="A14" s="83" t="s">
        <v>289</v>
      </c>
      <c r="B14" s="86">
        <f>'Model An 19A'!J15</f>
        <v>310926.55726501771</v>
      </c>
      <c r="C14" s="178">
        <f>'Model An 21A'!I15</f>
        <v>349154</v>
      </c>
    </row>
    <row r="15" spans="1:3">
      <c r="A15" s="83" t="s">
        <v>291</v>
      </c>
      <c r="B15" s="86">
        <f>'Model An 19A'!J16</f>
        <v>417458.72570178314</v>
      </c>
      <c r="C15" s="178">
        <f>'Model An 21A'!I16</f>
        <v>457142</v>
      </c>
    </row>
    <row r="16" spans="1:3">
      <c r="A16" s="83" t="s">
        <v>293</v>
      </c>
      <c r="B16" s="86">
        <f>'Model An 19A'!J17</f>
        <v>68954.891640309288</v>
      </c>
      <c r="C16" s="178">
        <f>'Model An 21A'!I17</f>
        <v>80858</v>
      </c>
    </row>
    <row r="17" spans="1:3">
      <c r="A17" s="83" t="s">
        <v>294</v>
      </c>
      <c r="B17" s="86">
        <f>'Model An 19A'!J18</f>
        <v>0</v>
      </c>
      <c r="C17" s="84">
        <f>'Model An 21A'!I18</f>
        <v>0</v>
      </c>
    </row>
    <row r="18" spans="1:3">
      <c r="A18" s="83" t="s">
        <v>295</v>
      </c>
      <c r="B18" s="140">
        <f>'Model An 19A'!J19</f>
        <v>0</v>
      </c>
      <c r="C18" s="84">
        <f>'Model An 21A'!I19</f>
        <v>0</v>
      </c>
    </row>
    <row r="19" spans="1:3">
      <c r="B19" s="99"/>
      <c r="C19" s="99"/>
    </row>
    <row r="20" spans="1:3">
      <c r="A20" s="74" t="s">
        <v>296</v>
      </c>
      <c r="B20" s="80">
        <f>'Model An 19A'!J21</f>
        <v>3151596.9253928894</v>
      </c>
      <c r="C20" s="80">
        <f>'Model An 21A'!I21</f>
        <v>3720349</v>
      </c>
    </row>
    <row r="21" spans="1:3">
      <c r="B21" s="99"/>
      <c r="C21" s="99"/>
    </row>
    <row r="22" spans="1:3">
      <c r="A22" s="74" t="s">
        <v>298</v>
      </c>
      <c r="B22" s="80">
        <f>'Model An 19A'!J23</f>
        <v>1609670.0496159522</v>
      </c>
      <c r="C22" s="80">
        <f>'Model An 21A'!I23</f>
        <v>1748540</v>
      </c>
    </row>
    <row r="23" spans="1:3">
      <c r="A23" s="83" t="s">
        <v>300</v>
      </c>
      <c r="B23" s="86">
        <f>'Model An 19A'!J24</f>
        <v>315914.96799999999</v>
      </c>
      <c r="C23" s="178">
        <f>'Model An 21A'!I24</f>
        <v>292853</v>
      </c>
    </row>
    <row r="24" spans="1:3">
      <c r="A24" s="83" t="s">
        <v>85</v>
      </c>
      <c r="B24" s="86">
        <f>'Model An 19A'!J25</f>
        <v>1195726.2634067603</v>
      </c>
      <c r="C24" s="178">
        <f>'Model An 21A'!I25</f>
        <v>1318008</v>
      </c>
    </row>
    <row r="25" spans="1:3">
      <c r="A25" s="83" t="s">
        <v>303</v>
      </c>
      <c r="B25" s="86">
        <f>'Model An 19A'!J26</f>
        <v>0</v>
      </c>
      <c r="C25" s="84">
        <f>'Model An 21A'!I26</f>
        <v>0</v>
      </c>
    </row>
    <row r="26" spans="1:3">
      <c r="A26" s="83" t="s">
        <v>304</v>
      </c>
      <c r="B26" s="86">
        <f>'Model An 19A'!J27</f>
        <v>98028.818209191741</v>
      </c>
      <c r="C26" s="178">
        <f>'Model An 21A'!I27</f>
        <v>137679</v>
      </c>
    </row>
    <row r="27" spans="1:3">
      <c r="A27" s="83" t="s">
        <v>306</v>
      </c>
      <c r="B27" s="140">
        <f>'Model An 19A'!J28</f>
        <v>0</v>
      </c>
      <c r="C27" s="84">
        <f>'Model An 21A'!I28</f>
        <v>0</v>
      </c>
    </row>
    <row r="28" spans="1:3">
      <c r="B28" s="99"/>
      <c r="C28" s="61"/>
    </row>
    <row r="29" spans="1:3">
      <c r="A29" s="74" t="s">
        <v>307</v>
      </c>
      <c r="B29" s="80">
        <f>'Model An 19A'!J30</f>
        <v>1541926.8757769372</v>
      </c>
      <c r="C29" s="80">
        <f>'Model An 21A'!I30</f>
        <v>1971809</v>
      </c>
    </row>
    <row r="30" spans="1:3">
      <c r="B30" s="99"/>
      <c r="C30" s="99"/>
    </row>
    <row r="31" spans="1:3">
      <c r="A31" s="61" t="s">
        <v>309</v>
      </c>
      <c r="B31" s="99">
        <f>'Model An 19A'!J32</f>
        <v>-954589</v>
      </c>
      <c r="C31" s="178">
        <f>'Model An 21A'!I32</f>
        <v>-699122</v>
      </c>
    </row>
    <row r="32" spans="1:3">
      <c r="A32" s="75"/>
      <c r="B32" s="103"/>
      <c r="C32" s="86"/>
    </row>
    <row r="33" spans="1:3">
      <c r="A33" s="75" t="s">
        <v>311</v>
      </c>
      <c r="B33" s="103">
        <f>'Model An 19A'!J34</f>
        <v>587337.87577693723</v>
      </c>
      <c r="C33" s="103">
        <f>'Model An 21A'!I34</f>
        <v>1272687</v>
      </c>
    </row>
    <row r="34" spans="1:3">
      <c r="A34" s="98" t="s">
        <v>313</v>
      </c>
      <c r="B34" s="86">
        <f>'Model An 19A'!J35</f>
        <v>7195.3164500689581</v>
      </c>
      <c r="C34" s="178">
        <f>'Model An 21A'!I35</f>
        <v>-4637</v>
      </c>
    </row>
    <row r="35" spans="1:3">
      <c r="A35" s="75"/>
      <c r="B35" s="86"/>
      <c r="C35" s="86"/>
    </row>
    <row r="36" spans="1:3">
      <c r="A36" s="75" t="s">
        <v>316</v>
      </c>
      <c r="B36" s="86">
        <f>'Model An 19A'!J37</f>
        <v>-200000</v>
      </c>
      <c r="C36" s="178">
        <f>'Model An 21A'!I37</f>
        <v>-168097</v>
      </c>
    </row>
    <row r="37" spans="1:3">
      <c r="A37" s="75"/>
      <c r="B37" s="86"/>
      <c r="C37" s="86"/>
    </row>
    <row r="38" spans="1:3">
      <c r="A38" s="96" t="s">
        <v>318</v>
      </c>
      <c r="B38" s="104">
        <f>'Model An 19A'!J39</f>
        <v>380142.55932686827</v>
      </c>
      <c r="C38" s="104">
        <f>'Model An 21A'!I39</f>
        <v>1109227</v>
      </c>
    </row>
    <row r="39" spans="1:3">
      <c r="B39" s="99"/>
      <c r="C39" s="177"/>
    </row>
    <row r="40" spans="1:3" ht="20">
      <c r="A40" s="76" t="s">
        <v>320</v>
      </c>
      <c r="B40" s="77"/>
      <c r="C40" s="77"/>
    </row>
    <row r="41" spans="1:3">
      <c r="A41" s="75" t="s">
        <v>321</v>
      </c>
      <c r="B41" s="99">
        <f>'Model An 19A'!J42</f>
        <v>3332940.4449378187</v>
      </c>
      <c r="C41" s="179">
        <f>'Model An 21A'!I42</f>
        <v>1011613</v>
      </c>
    </row>
    <row r="42" spans="1:3">
      <c r="A42" s="75" t="s">
        <v>323</v>
      </c>
      <c r="B42" s="99">
        <f>'Model An 19A'!J43</f>
        <v>1570982.4571707549</v>
      </c>
      <c r="C42" s="179">
        <f>'Model An 21A'!I43</f>
        <v>1236734</v>
      </c>
    </row>
    <row r="43" spans="1:3">
      <c r="A43" s="75" t="s">
        <v>326</v>
      </c>
      <c r="B43" s="99">
        <f>'Model An 19A'!J44</f>
        <v>0</v>
      </c>
      <c r="C43" s="105">
        <f>'Model An 21A'!I44</f>
        <v>0</v>
      </c>
    </row>
    <row r="44" spans="1:3">
      <c r="A44" s="75" t="s">
        <v>328</v>
      </c>
      <c r="B44" s="107">
        <f>'Model An 19A'!J45</f>
        <v>0</v>
      </c>
      <c r="C44" s="105">
        <f>'Model An 21A'!I45</f>
        <v>0</v>
      </c>
    </row>
    <row r="45" spans="1:3">
      <c r="A45" s="96" t="s">
        <v>330</v>
      </c>
      <c r="B45" s="108">
        <f>'Model An 19A'!J46</f>
        <v>4903922.9021085734</v>
      </c>
      <c r="C45" s="108">
        <f>'Model An 21A'!I46</f>
        <v>2248347</v>
      </c>
    </row>
    <row r="46" spans="1:3">
      <c r="A46" s="75"/>
      <c r="B46" s="99"/>
      <c r="C46" s="99"/>
    </row>
    <row r="47" spans="1:3">
      <c r="A47" s="75" t="s">
        <v>331</v>
      </c>
      <c r="B47" s="99">
        <f>'Model An 19A'!J48</f>
        <v>24491059.565000001</v>
      </c>
      <c r="C47" s="179">
        <f>'Model An 21A'!I48</f>
        <v>23158259</v>
      </c>
    </row>
    <row r="48" spans="1:3">
      <c r="A48" s="75" t="s">
        <v>333</v>
      </c>
      <c r="B48" s="99">
        <f>'Model An 19A'!J49</f>
        <v>0</v>
      </c>
      <c r="C48" s="105">
        <f>'Model An 21A'!I49</f>
        <v>0</v>
      </c>
    </row>
    <row r="49" spans="1:3">
      <c r="A49" s="75" t="s">
        <v>335</v>
      </c>
      <c r="B49" s="99">
        <f>'Model An 19A'!J50</f>
        <v>0</v>
      </c>
      <c r="C49" s="105">
        <f>'Model An 21A'!I50</f>
        <v>0</v>
      </c>
    </row>
    <row r="50" spans="1:3">
      <c r="A50" s="75" t="s">
        <v>337</v>
      </c>
      <c r="B50" s="99">
        <f>'Model An 19A'!J51</f>
        <v>0</v>
      </c>
      <c r="C50" s="105">
        <f>'Model An 21A'!I51</f>
        <v>0</v>
      </c>
    </row>
    <row r="51" spans="1:3">
      <c r="A51" s="75" t="s">
        <v>339</v>
      </c>
      <c r="B51" s="99">
        <f>'Model An 19A'!J52</f>
        <v>1186141.4682842735</v>
      </c>
      <c r="C51" s="179">
        <f>'Model An 21A'!I52</f>
        <v>1595082</v>
      </c>
    </row>
    <row r="52" spans="1:3">
      <c r="A52" s="98" t="s">
        <v>340</v>
      </c>
      <c r="B52" s="99">
        <f>'Model An 19A'!J53</f>
        <v>4202702</v>
      </c>
      <c r="C52" s="179">
        <f>'Model An 21A'!I53</f>
        <v>7785158</v>
      </c>
    </row>
    <row r="53" spans="1:3">
      <c r="A53" s="109" t="s">
        <v>341</v>
      </c>
      <c r="B53" s="108">
        <f>'Model An 19A'!J54</f>
        <v>34783825.935392849</v>
      </c>
      <c r="C53" s="108">
        <f>'Model An 21A'!I54</f>
        <v>34786846</v>
      </c>
    </row>
    <row r="54" spans="1:3">
      <c r="A54" s="75"/>
      <c r="B54" s="99"/>
      <c r="C54" s="177"/>
    </row>
    <row r="55" spans="1:3">
      <c r="A55" s="75" t="s">
        <v>342</v>
      </c>
      <c r="B55" s="107">
        <f>'Model An 19A'!J56</f>
        <v>1226117.104836799</v>
      </c>
      <c r="C55" s="179">
        <f>'Model An 21A'!I56</f>
        <v>1311925</v>
      </c>
    </row>
    <row r="56" spans="1:3">
      <c r="A56" s="75" t="s">
        <v>343</v>
      </c>
      <c r="B56" s="107">
        <f>'Model An 19A'!J57</f>
        <v>2518972.8029449042</v>
      </c>
      <c r="C56" s="105">
        <f>'Model An 21A'!I57</f>
        <v>2289781</v>
      </c>
    </row>
    <row r="57" spans="1:3">
      <c r="A57" s="75" t="s">
        <v>344</v>
      </c>
      <c r="B57" s="107">
        <f>'Model An 19A'!J58</f>
        <v>0</v>
      </c>
      <c r="C57" s="179">
        <f>'Model An 21A'!I58</f>
        <v>0</v>
      </c>
    </row>
    <row r="58" spans="1:3">
      <c r="A58" s="96" t="s">
        <v>345</v>
      </c>
      <c r="B58" s="108">
        <f>'Model An 19A'!J59</f>
        <v>3745089.9077817034</v>
      </c>
      <c r="C58" s="108">
        <f>'Model An 21A'!I59</f>
        <v>3601706</v>
      </c>
    </row>
    <row r="59" spans="1:3">
      <c r="A59" s="75"/>
      <c r="B59" s="99"/>
      <c r="C59" s="99"/>
    </row>
    <row r="60" spans="1:3">
      <c r="A60" s="75" t="s">
        <v>346</v>
      </c>
      <c r="B60" s="99">
        <f>'Model An 19A'!J61</f>
        <v>28000000</v>
      </c>
      <c r="C60" s="179">
        <f>'Model An 21A'!I61</f>
        <v>24433580</v>
      </c>
    </row>
    <row r="61" spans="1:3">
      <c r="A61" s="75" t="s">
        <v>348</v>
      </c>
      <c r="B61" s="99">
        <f>'Model An 19A'!J62</f>
        <v>2004863.4682842735</v>
      </c>
      <c r="C61" s="179">
        <f>'Model An 21A'!I62</f>
        <v>3093322</v>
      </c>
    </row>
    <row r="62" spans="1:3">
      <c r="A62" s="96" t="s">
        <v>350</v>
      </c>
      <c r="B62" s="112">
        <f>'Model An 19A'!J63</f>
        <v>33749953.376065977</v>
      </c>
      <c r="C62" s="112">
        <f>'Model An 21A'!I63</f>
        <v>31128608</v>
      </c>
    </row>
    <row r="63" spans="1:3">
      <c r="A63" s="75"/>
      <c r="B63" s="99"/>
      <c r="C63" s="99"/>
    </row>
    <row r="64" spans="1:3">
      <c r="A64" s="75" t="s">
        <v>351</v>
      </c>
      <c r="B64" s="99">
        <f>'Model An 19A'!J65</f>
        <v>9749434</v>
      </c>
      <c r="C64" s="178">
        <f>'Model An 21A'!I65</f>
        <v>11179722</v>
      </c>
    </row>
    <row r="65" spans="1:3">
      <c r="A65" s="75" t="s">
        <v>353</v>
      </c>
      <c r="B65" s="99">
        <f>'Model An 19A'!J66</f>
        <v>-1973571</v>
      </c>
      <c r="C65" s="178">
        <f>'Model An 21A'!I66</f>
        <v>-1891352</v>
      </c>
    </row>
    <row r="66" spans="1:3">
      <c r="A66" s="75" t="s">
        <v>355</v>
      </c>
      <c r="B66" s="99">
        <f>'Model An 19A'!J67</f>
        <v>-6999809.4406731315</v>
      </c>
      <c r="C66" s="84">
        <f>'Model An 21A'!I67</f>
        <v>-6102314</v>
      </c>
    </row>
    <row r="67" spans="1:3">
      <c r="A67" s="75" t="s">
        <v>357</v>
      </c>
      <c r="B67" s="99">
        <f>'Model An 19A'!J68</f>
        <v>576423</v>
      </c>
      <c r="C67" s="84">
        <f>'Model An 21A'!I68</f>
        <v>660857</v>
      </c>
    </row>
    <row r="68" spans="1:3">
      <c r="A68" s="75" t="s">
        <v>359</v>
      </c>
      <c r="B68" s="99">
        <f>'Model An 19A'!J69</f>
        <v>-318604</v>
      </c>
      <c r="C68" s="84">
        <f>'Model An 21A'!I69</f>
        <v>-188675</v>
      </c>
    </row>
    <row r="69" spans="1:3">
      <c r="A69" s="96" t="s">
        <v>361</v>
      </c>
      <c r="B69" s="108">
        <f>'Model An 19A'!J70</f>
        <v>1033872.5593268685</v>
      </c>
      <c r="C69" s="108">
        <f>'Model An 21A'!I70</f>
        <v>3658238</v>
      </c>
    </row>
    <row r="70" spans="1:3">
      <c r="A70" s="96" t="s">
        <v>362</v>
      </c>
      <c r="B70" s="113">
        <f>'Model An 19A'!J71</f>
        <v>34783825.935392842</v>
      </c>
      <c r="C70" s="113">
        <f>'Model An 21A'!I71</f>
        <v>34786846</v>
      </c>
    </row>
    <row r="71" spans="1:3">
      <c r="B71" s="114">
        <f>'Model An 19A'!J72</f>
        <v>0</v>
      </c>
      <c r="C71" s="114">
        <f>'Model An 21A'!I72</f>
        <v>0</v>
      </c>
    </row>
    <row r="72" spans="1:3" ht="20">
      <c r="A72" s="76" t="s">
        <v>363</v>
      </c>
      <c r="B72" s="77"/>
      <c r="C72" s="77"/>
    </row>
    <row r="73" spans="1:3" ht="15.5">
      <c r="A73" s="75" t="s">
        <v>364</v>
      </c>
      <c r="B73" s="99">
        <f>'Model An 19A'!J74</f>
        <v>380142.55932686827</v>
      </c>
      <c r="C73" s="129">
        <f>'Model An 21A'!I74</f>
        <v>1277324</v>
      </c>
    </row>
    <row r="74" spans="1:3">
      <c r="A74" s="83" t="s">
        <v>875</v>
      </c>
      <c r="B74" s="99">
        <f>'Model An 19A'!J75</f>
        <v>0</v>
      </c>
      <c r="C74" s="85">
        <f>'Model An 21A'!I75</f>
        <v>1354991</v>
      </c>
    </row>
    <row r="75" spans="1:3">
      <c r="A75" s="83" t="s">
        <v>367</v>
      </c>
      <c r="B75" s="99">
        <f>'Model An 19A'!J76</f>
        <v>0</v>
      </c>
      <c r="C75" s="85">
        <f>'Model An 21A'!I76</f>
        <v>0</v>
      </c>
    </row>
    <row r="76" spans="1:3">
      <c r="A76" s="83" t="s">
        <v>368</v>
      </c>
      <c r="B76" s="99">
        <f>'Model An 19A'!J77</f>
        <v>0</v>
      </c>
      <c r="C76" s="85">
        <f>'Model An 21A'!I77</f>
        <v>0</v>
      </c>
    </row>
    <row r="77" spans="1:3">
      <c r="A77" s="98" t="s">
        <v>370</v>
      </c>
      <c r="B77" s="86">
        <f>'Model An 19A'!J78</f>
        <v>0</v>
      </c>
      <c r="C77" s="86">
        <f>'Model An 21A'!I78</f>
        <v>1354991</v>
      </c>
    </row>
    <row r="78" spans="1:3">
      <c r="A78" s="75" t="s">
        <v>323</v>
      </c>
      <c r="B78" s="99">
        <f>'Model An 19A'!J79</f>
        <v>-738831.4571707549</v>
      </c>
      <c r="C78" s="85">
        <f>'Model An 21A'!I79</f>
        <v>-415911</v>
      </c>
    </row>
    <row r="79" spans="1:3">
      <c r="A79" s="75" t="s">
        <v>326</v>
      </c>
      <c r="B79" s="99">
        <f>'Model An 19A'!J80</f>
        <v>0</v>
      </c>
      <c r="C79" s="105">
        <f>'Model An 21A'!I80</f>
        <v>0</v>
      </c>
    </row>
    <row r="80" spans="1:3">
      <c r="A80" s="75" t="s">
        <v>328</v>
      </c>
      <c r="B80" s="99">
        <f>'Model An 19A'!J81</f>
        <v>0</v>
      </c>
      <c r="C80" s="85">
        <f>'Model An 21A'!I81</f>
        <v>-28191</v>
      </c>
    </row>
    <row r="81" spans="1:3">
      <c r="A81" s="75" t="s">
        <v>342</v>
      </c>
      <c r="B81" s="99">
        <f>'Model An 19A'!J82</f>
        <v>-164564.89516320103</v>
      </c>
      <c r="C81" s="85">
        <f>'Model An 21A'!I82</f>
        <v>19080</v>
      </c>
    </row>
    <row r="82" spans="1:3">
      <c r="A82" s="75" t="s">
        <v>372</v>
      </c>
      <c r="B82" s="99">
        <f>'Model An 19A'!J83</f>
        <v>0</v>
      </c>
      <c r="C82" s="84">
        <f>'Model An 21A'!I83</f>
        <v>-35137</v>
      </c>
    </row>
    <row r="83" spans="1:3">
      <c r="A83" s="75" t="s">
        <v>373</v>
      </c>
      <c r="B83" s="99">
        <f>'Model An 19A'!J84</f>
        <v>0</v>
      </c>
      <c r="C83" s="84">
        <f>'Model An 21A'!I84</f>
        <v>19950</v>
      </c>
    </row>
    <row r="84" spans="1:3">
      <c r="A84" s="61" t="s">
        <v>375</v>
      </c>
      <c r="B84" s="99">
        <f>'Model An 19A'!J85</f>
        <v>0</v>
      </c>
      <c r="C84" s="85">
        <f>'Model An 21A'!I85</f>
        <v>0</v>
      </c>
    </row>
    <row r="85" spans="1:3">
      <c r="A85" s="75" t="s">
        <v>377</v>
      </c>
      <c r="B85" s="99">
        <f>'Model An 19A'!J86</f>
        <v>-6671</v>
      </c>
      <c r="C85" s="84">
        <f>'Model An 21A'!I86</f>
        <v>134592</v>
      </c>
    </row>
    <row r="86" spans="1:3">
      <c r="A86" s="75" t="s">
        <v>378</v>
      </c>
      <c r="B86" s="99">
        <f>'Model An 19A'!J87</f>
        <v>0</v>
      </c>
      <c r="C86" s="84">
        <f>'Model An 21A'!I87</f>
        <v>0</v>
      </c>
    </row>
    <row r="87" spans="1:3">
      <c r="A87" s="96" t="s">
        <v>380</v>
      </c>
      <c r="B87" s="108">
        <f>'Model An 19A'!J88</f>
        <v>-529924.79300708766</v>
      </c>
      <c r="C87" s="108">
        <f>'Model An 21A'!I88</f>
        <v>2326698</v>
      </c>
    </row>
    <row r="88" spans="1:3">
      <c r="A88" s="75"/>
      <c r="B88" s="99"/>
      <c r="C88" s="86"/>
    </row>
    <row r="89" spans="1:3">
      <c r="A89" s="75" t="s">
        <v>381</v>
      </c>
      <c r="B89" s="107">
        <f>'Model An 19A'!J90</f>
        <v>-592340.56499999994</v>
      </c>
      <c r="C89" s="85">
        <f>'Model An 21A'!I90</f>
        <v>-484119</v>
      </c>
    </row>
    <row r="90" spans="1:3">
      <c r="A90" s="75" t="s">
        <v>384</v>
      </c>
      <c r="B90" s="107">
        <f>'Model An 19A'!J91</f>
        <v>0</v>
      </c>
      <c r="C90" s="105">
        <f>'Model An 21A'!I91</f>
        <v>0</v>
      </c>
    </row>
    <row r="91" spans="1:3">
      <c r="A91" s="75" t="s">
        <v>386</v>
      </c>
      <c r="B91" s="99">
        <f>'Model An 19A'!J92</f>
        <v>-100000</v>
      </c>
      <c r="C91" s="85">
        <f>'Model An 21A'!I92</f>
        <v>-3514286</v>
      </c>
    </row>
    <row r="92" spans="1:3">
      <c r="A92" s="75" t="s">
        <v>379</v>
      </c>
      <c r="B92" s="99">
        <f>'Model An 19A'!J93</f>
        <v>0</v>
      </c>
      <c r="C92" s="85">
        <f>'Model An 21A'!I93</f>
        <v>20007</v>
      </c>
    </row>
    <row r="93" spans="1:3">
      <c r="A93" s="96" t="s">
        <v>388</v>
      </c>
      <c r="B93" s="112">
        <f>'Model An 19A'!J94</f>
        <v>-692340.56499999994</v>
      </c>
      <c r="C93" s="112">
        <f>'Model An 21A'!I94</f>
        <v>-3978398</v>
      </c>
    </row>
    <row r="94" spans="1:3">
      <c r="A94" s="75"/>
      <c r="B94" s="99"/>
      <c r="C94" s="99"/>
    </row>
    <row r="95" spans="1:3">
      <c r="A95" s="75" t="s">
        <v>389</v>
      </c>
      <c r="B95" s="99">
        <f>'Model An 19A'!J96</f>
        <v>6355742.8029449061</v>
      </c>
      <c r="C95" s="84">
        <f>'Model An 21A'!I96</f>
        <v>2279585</v>
      </c>
    </row>
    <row r="96" spans="1:3" ht="15.5">
      <c r="A96" s="130" t="s">
        <v>391</v>
      </c>
      <c r="B96" s="99">
        <f>'Model An 19A'!J97</f>
        <v>-2000000</v>
      </c>
      <c r="C96" s="84">
        <f>'Model An 21A'!I97</f>
        <v>-1443183</v>
      </c>
    </row>
    <row r="97" spans="1:3" ht="15.5">
      <c r="A97" s="130" t="s">
        <v>393</v>
      </c>
      <c r="B97" s="99">
        <f>'Model An 19A'!J98</f>
        <v>-69910</v>
      </c>
      <c r="C97" s="85">
        <f>'Model An 21A'!I98</f>
        <v>0</v>
      </c>
    </row>
    <row r="98" spans="1:3">
      <c r="A98" s="75" t="s">
        <v>395</v>
      </c>
      <c r="B98" s="99">
        <f>'Model An 19A'!J99</f>
        <v>-400000</v>
      </c>
      <c r="C98" s="84">
        <f>'Model An 21A'!I99</f>
        <v>1157538</v>
      </c>
    </row>
    <row r="99" spans="1:3">
      <c r="A99" s="96" t="s">
        <v>397</v>
      </c>
      <c r="B99" s="112">
        <f>'Model An 19A'!J100</f>
        <v>3885832.8029449061</v>
      </c>
      <c r="C99" s="112">
        <f>'Model An 21A'!I100</f>
        <v>1993940</v>
      </c>
    </row>
    <row r="100" spans="1:3">
      <c r="A100" s="75" t="s">
        <v>398</v>
      </c>
      <c r="B100" s="99">
        <f>'Model An 19A'!J101</f>
        <v>0</v>
      </c>
      <c r="C100" s="105">
        <f>'Model An 21A'!I101</f>
        <v>0</v>
      </c>
    </row>
    <row r="101" spans="1:3">
      <c r="A101" s="96" t="s">
        <v>399</v>
      </c>
      <c r="B101" s="108">
        <f>'Model An 19A'!J102</f>
        <v>2663567.4449378187</v>
      </c>
      <c r="C101" s="108">
        <f>'Model An 21A'!I102</f>
        <v>342240</v>
      </c>
    </row>
    <row r="102" spans="1:3">
      <c r="A102" s="75"/>
      <c r="B102" s="99"/>
      <c r="C102" s="99"/>
    </row>
    <row r="103" spans="1:3">
      <c r="A103" s="75" t="s">
        <v>400</v>
      </c>
      <c r="B103" s="99">
        <f>'Model An 19A'!J104</f>
        <v>669373</v>
      </c>
      <c r="C103" s="99">
        <f>'Model An 21A'!I104</f>
        <v>669373</v>
      </c>
    </row>
    <row r="104" spans="1:3">
      <c r="A104" s="75" t="s">
        <v>401</v>
      </c>
      <c r="B104" s="99">
        <f>'Model An 19A'!J105</f>
        <v>3332940.4449378187</v>
      </c>
      <c r="C104" s="99">
        <f>'Model An 21A'!I105</f>
        <v>1011613</v>
      </c>
    </row>
    <row r="105" spans="1:3">
      <c r="B105" s="99">
        <f>'Model An 19A'!J106</f>
        <v>0</v>
      </c>
      <c r="C105" s="99">
        <f>'Model An 21A'!I106</f>
        <v>0</v>
      </c>
    </row>
    <row r="106" spans="1:3" ht="20">
      <c r="A106" s="76" t="s">
        <v>402</v>
      </c>
      <c r="B106" s="117"/>
      <c r="C106" s="117"/>
    </row>
    <row r="107" spans="1:3">
      <c r="A107" s="119"/>
      <c r="B107" s="120"/>
      <c r="C107" s="120"/>
    </row>
    <row r="108" spans="1:3">
      <c r="A108" s="96" t="s">
        <v>277</v>
      </c>
      <c r="B108" s="122">
        <f>'Model An 19A'!J109</f>
        <v>1</v>
      </c>
      <c r="C108" s="122">
        <f>'Model An 21A'!I109</f>
        <v>1</v>
      </c>
    </row>
    <row r="109" spans="1:3">
      <c r="A109" s="121"/>
      <c r="B109" s="123"/>
      <c r="C109" s="123"/>
    </row>
    <row r="110" spans="1:3">
      <c r="A110" s="96" t="s">
        <v>288</v>
      </c>
      <c r="B110" s="124">
        <f>'Model An 19A'!J111</f>
        <v>0.20191260443401596</v>
      </c>
      <c r="C110" s="124">
        <f>'Model An 21A'!I110</f>
        <v>0.19254550675278995</v>
      </c>
    </row>
    <row r="111" spans="1:3">
      <c r="A111" s="121"/>
      <c r="B111" s="87"/>
      <c r="C111" s="86"/>
    </row>
    <row r="112" spans="1:3">
      <c r="A112" s="96" t="s">
        <v>878</v>
      </c>
      <c r="B112" s="124">
        <f>'Model An 19A'!J113</f>
        <v>0.79808739556598396</v>
      </c>
      <c r="C112" s="124">
        <f>'Model An 21A'!I111</f>
        <v>0.80745449324721008</v>
      </c>
    </row>
    <row r="113" spans="1:3">
      <c r="A113" s="121"/>
      <c r="B113" s="123"/>
      <c r="C113" s="123"/>
    </row>
    <row r="114" spans="1:3">
      <c r="A114" s="96" t="s">
        <v>404</v>
      </c>
      <c r="B114" s="124">
        <f>'Model An 19A'!J115</f>
        <v>0.4076210911579099</v>
      </c>
      <c r="C114" s="124">
        <f>'Model An 21A'!I112</f>
        <v>0.37949839641992639</v>
      </c>
    </row>
    <row r="115" spans="1:3">
      <c r="A115" s="75"/>
      <c r="B115" s="87"/>
      <c r="C115" s="87"/>
    </row>
    <row r="116" spans="1:3">
      <c r="A116" s="96" t="s">
        <v>405</v>
      </c>
      <c r="B116" s="124">
        <f>'Model An 19A'!J117</f>
        <v>0.39046630440807412</v>
      </c>
      <c r="C116" s="124">
        <f>'Model An 21A'!I113</f>
        <v>0.42795609682728369</v>
      </c>
    </row>
    <row r="117" spans="1:3">
      <c r="A117" s="75"/>
      <c r="B117" s="87"/>
      <c r="C117" s="87"/>
    </row>
    <row r="118" spans="1:3">
      <c r="A118" s="75" t="s">
        <v>406</v>
      </c>
      <c r="B118" s="87">
        <f>'Model An 19A'!J119</f>
        <v>1.2250727812421277E-2</v>
      </c>
      <c r="C118" s="87">
        <f>'Model An 21A'!I114</f>
        <v>-3.6434724327348358E-3</v>
      </c>
    </row>
    <row r="119" spans="1:3">
      <c r="A119" s="121"/>
      <c r="B119" s="123"/>
      <c r="C119" s="123"/>
    </row>
    <row r="120" spans="1:3">
      <c r="A120" s="96" t="s">
        <v>407</v>
      </c>
      <c r="B120" s="97">
        <f>'Model An 19A'!J121</f>
        <v>9.6264526301740358E-2</v>
      </c>
      <c r="C120" s="97">
        <f>'Model An 21A'!I115</f>
        <v>0.24074363055216677</v>
      </c>
    </row>
    <row r="121" spans="1:3">
      <c r="A121" s="121"/>
      <c r="B121" s="123"/>
      <c r="C121" s="123"/>
    </row>
    <row r="122" spans="1:3" ht="20">
      <c r="A122" s="76" t="s">
        <v>408</v>
      </c>
      <c r="B122" s="125"/>
      <c r="C122" s="125"/>
    </row>
    <row r="123" spans="1:3">
      <c r="A123" s="75"/>
      <c r="B123" s="86"/>
      <c r="C123" s="86"/>
    </row>
    <row r="124" spans="1:3">
      <c r="A124" s="96" t="s">
        <v>277</v>
      </c>
      <c r="B124" s="124">
        <f>'Model An 19A'!J125</f>
        <v>-0.31384753828240919</v>
      </c>
      <c r="C124" s="124">
        <f>'Model An 21A'!I117</f>
        <v>-0.19941760383542573</v>
      </c>
    </row>
    <row r="125" spans="1:3">
      <c r="A125" s="121"/>
      <c r="B125" s="126"/>
      <c r="C125" s="126"/>
    </row>
    <row r="126" spans="1:3">
      <c r="A126" s="96" t="s">
        <v>287</v>
      </c>
      <c r="B126" s="124">
        <f>'Model An 19A'!J127</f>
        <v>-0.21955184525420779</v>
      </c>
      <c r="C126" s="124">
        <f>'Model An 21A'!I118</f>
        <v>-0.13164076723398754</v>
      </c>
    </row>
    <row r="127" spans="1:3">
      <c r="A127" s="121"/>
      <c r="B127" s="123"/>
      <c r="C127" s="123"/>
    </row>
    <row r="128" spans="1:3">
      <c r="A128" s="96" t="s">
        <v>296</v>
      </c>
      <c r="B128" s="124">
        <f>'Model An 19A'!J129</f>
        <v>-0.33419943712526456</v>
      </c>
      <c r="C128" s="124">
        <f>'Model An 21A'!I119</f>
        <v>-0.21404592118591881</v>
      </c>
    </row>
    <row r="129" spans="1:3">
      <c r="A129" s="121"/>
      <c r="B129" s="123"/>
      <c r="C129" s="123"/>
    </row>
    <row r="130" spans="1:3">
      <c r="A130" s="96" t="s">
        <v>298</v>
      </c>
      <c r="B130" s="124">
        <f>'Model An 19A'!J131</f>
        <v>-0.11833395065385255</v>
      </c>
      <c r="C130" s="124">
        <f>'Model An 21A'!I120</f>
        <v>-4.227058564484909E-2</v>
      </c>
    </row>
    <row r="131" spans="1:3">
      <c r="A131" s="121"/>
      <c r="B131" s="123"/>
      <c r="C131" s="123"/>
    </row>
    <row r="132" spans="1:3">
      <c r="A132" s="96" t="s">
        <v>307</v>
      </c>
      <c r="B132" s="124">
        <f>'Model An 19A'!J133</f>
        <v>-0.46973298111996975</v>
      </c>
      <c r="C132" s="124">
        <f>'Model An 21A'!I121</f>
        <v>-0.32189697406761264</v>
      </c>
    </row>
    <row r="133" spans="1:3">
      <c r="A133" s="83"/>
      <c r="B133" s="123"/>
      <c r="C133" s="123"/>
    </row>
    <row r="134" spans="1:3">
      <c r="A134" s="61" t="s">
        <v>309</v>
      </c>
      <c r="B134" s="127">
        <f>'Model An 19A'!J135</f>
        <v>1.099894630094437</v>
      </c>
      <c r="C134" s="127">
        <f>'Model An 21A'!I122</f>
        <v>0.5379210671617658</v>
      </c>
    </row>
    <row r="135" spans="1:3">
      <c r="A135" s="75"/>
      <c r="B135" s="87"/>
      <c r="C135" s="87"/>
    </row>
    <row r="136" spans="1:3">
      <c r="A136" s="75" t="s">
        <v>311</v>
      </c>
      <c r="B136" s="127">
        <f>'Model An 19A'!J137</f>
        <v>-0.76058706162011847</v>
      </c>
      <c r="C136" s="127">
        <f>'Model An 21A'!I123</f>
        <v>-0.48122239876864981</v>
      </c>
    </row>
    <row r="137" spans="1:3">
      <c r="A137" s="98" t="s">
        <v>313</v>
      </c>
      <c r="B137" s="127">
        <f>'Model An 19A'!J138</f>
        <v>-0.76058706162011847</v>
      </c>
      <c r="C137" s="127">
        <f>'Model An 21A'!I124</f>
        <v>-1.1542889465628536</v>
      </c>
    </row>
    <row r="138" spans="1:3">
      <c r="A138" s="75"/>
      <c r="B138" s="87"/>
      <c r="C138" s="86"/>
    </row>
    <row r="139" spans="1:3">
      <c r="A139" s="75" t="s">
        <v>409</v>
      </c>
      <c r="B139" s="127">
        <f>'Model An 19A'!J140</f>
        <v>-0.38450364835462436</v>
      </c>
      <c r="C139" s="127">
        <f>'Model An 21A'!I125</f>
        <v>-0.48268454888733647</v>
      </c>
    </row>
    <row r="140" spans="1:3">
      <c r="A140" s="75"/>
      <c r="B140" s="87"/>
      <c r="C140" s="87"/>
    </row>
    <row r="141" spans="1:3">
      <c r="A141" s="75" t="s">
        <v>364</v>
      </c>
      <c r="B141" s="97">
        <f>'Model An 19A'!J142</f>
        <v>-0.8188284985862635</v>
      </c>
      <c r="C141" s="97">
        <f>'Model An 21A'!I126</f>
        <v>-0.47135537427195173</v>
      </c>
    </row>
    <row r="142" spans="1:3">
      <c r="A142" s="61" t="s">
        <v>78</v>
      </c>
      <c r="B142" s="181">
        <f>'Model An 19A'!J143</f>
        <v>-0.55711721315478191</v>
      </c>
      <c r="C142" s="181">
        <f>'Model An 21A'!I127</f>
        <v>-0.23708596118850112</v>
      </c>
    </row>
    <row r="143" spans="1:3">
      <c r="B143" s="63"/>
      <c r="C143" s="63"/>
    </row>
    <row r="144" spans="1:3">
      <c r="B144" s="63"/>
      <c r="C144" s="63"/>
    </row>
    <row r="145" spans="1:3">
      <c r="A145" s="61" t="s">
        <v>78</v>
      </c>
      <c r="B145" s="86">
        <f>'Model An 19A'!J146</f>
        <v>1369197.8227336286</v>
      </c>
      <c r="C145" s="86">
        <f>'Model An 21A'!I128</f>
        <v>2358593</v>
      </c>
    </row>
    <row r="146" spans="1:3">
      <c r="B146" s="63"/>
      <c r="C146" s="63"/>
    </row>
    <row r="147" spans="1:3">
      <c r="A147" s="61" t="s">
        <v>411</v>
      </c>
      <c r="B147" s="86">
        <f>'Model An 19A'!J148</f>
        <v>3948937.0999999996</v>
      </c>
      <c r="C147" s="86">
        <f>'Model An 21A'!I130</f>
        <v>4607503</v>
      </c>
    </row>
    <row r="148" spans="1:3">
      <c r="A148" s="61" t="s">
        <v>412</v>
      </c>
      <c r="B148" s="86">
        <f>'Model An 19A'!J149</f>
        <v>1369197.8227336286</v>
      </c>
      <c r="C148" s="86">
        <f>'Model An 21A'!I131</f>
        <v>2358593</v>
      </c>
    </row>
    <row r="149" spans="1:3">
      <c r="A149" s="61" t="s">
        <v>413</v>
      </c>
      <c r="B149" s="138">
        <f>'Model An 19A'!J150</f>
        <v>4.4618322515696232</v>
      </c>
      <c r="C149" s="138">
        <f>'Model An 21A'!I132</f>
        <v>7.1798564180313917</v>
      </c>
    </row>
    <row r="150" spans="1:3">
      <c r="A150" s="61" t="s">
        <v>414</v>
      </c>
      <c r="B150" s="139">
        <f>'Model An 19A'!J151</f>
        <v>0.83100431856627743</v>
      </c>
      <c r="C150" s="139">
        <f>'Model An 21A'!I133</f>
        <v>0.37006540042790692</v>
      </c>
    </row>
    <row r="151" spans="1:3">
      <c r="A151" s="61" t="s">
        <v>415</v>
      </c>
      <c r="B151" s="138">
        <f>'Model An 19A'!J152</f>
        <v>15.410709350583721</v>
      </c>
      <c r="C151" s="138">
        <f>'Model An 21A'!I134</f>
        <v>20.746932992406915</v>
      </c>
    </row>
  </sheetData>
  <phoneticPr fontId="45" type="noConversion"/>
  <conditionalFormatting sqref="B71:C71">
    <cfRule type="cellIs" dxfId="1" priority="1" operator="notEqual">
      <formula>0</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3A4BC-D1AE-7C43-8E3E-AEE7CFC91451}">
  <dimension ref="B1:Z152"/>
  <sheetViews>
    <sheetView zoomScale="120" zoomScaleNormal="120" workbookViewId="0">
      <pane xSplit="2" ySplit="6" topLeftCell="C7" activePane="bottomRight" state="frozen"/>
      <selection pane="topRight" activeCell="C1" sqref="C1"/>
      <selection pane="bottomLeft" activeCell="A7" sqref="A7"/>
      <selection pane="bottomRight" activeCell="C2" sqref="C2"/>
    </sheetView>
  </sheetViews>
  <sheetFormatPr defaultColWidth="9.08203125" defaultRowHeight="14" outlineLevelRow="1" outlineLevelCol="1"/>
  <cols>
    <col min="1" max="1" width="1.58203125" style="61" customWidth="1"/>
    <col min="2" max="2" width="35.5" style="61" customWidth="1"/>
    <col min="3" max="3" width="11.58203125" style="62" customWidth="1" outlineLevel="1"/>
    <col min="4" max="4" width="13.08203125" style="62" customWidth="1" outlineLevel="1"/>
    <col min="5" max="5" width="10.33203125" style="62" customWidth="1" outlineLevel="1"/>
    <col min="6" max="6" width="10.5" style="62" customWidth="1" outlineLevel="1"/>
    <col min="7" max="7" width="12.08203125" style="62" bestFit="1" customWidth="1"/>
    <col min="8" max="8" width="11.08203125" style="63" bestFit="1" customWidth="1"/>
    <col min="9" max="9" width="10.83203125" style="63" customWidth="1"/>
    <col min="10" max="10" width="12" style="63" customWidth="1"/>
    <col min="11" max="12" width="10.83203125" style="63" customWidth="1"/>
    <col min="13" max="13" width="11.58203125" style="63" customWidth="1"/>
    <col min="14" max="14" width="11.33203125" style="63" customWidth="1"/>
    <col min="15" max="15" width="5.58203125" style="61" customWidth="1"/>
    <col min="16" max="16" width="26.5" style="61" customWidth="1" outlineLevel="1"/>
    <col min="17" max="19" width="9.08203125" style="61" outlineLevel="1"/>
    <col min="20" max="22" width="11.08203125" style="61" bestFit="1" customWidth="1" outlineLevel="1"/>
    <col min="23" max="24" width="9.08203125" style="61" outlineLevel="1"/>
    <col min="25" max="25" width="1.58203125" style="61" customWidth="1"/>
    <col min="26" max="16384" width="9.08203125" style="61"/>
  </cols>
  <sheetData>
    <row r="1" spans="2:26" ht="7.5" customHeight="1"/>
    <row r="2" spans="2:26" s="64" customFormat="1" ht="17.5">
      <c r="B2" s="64" t="s">
        <v>269</v>
      </c>
      <c r="C2" s="65"/>
      <c r="D2" s="65"/>
      <c r="E2" s="65"/>
      <c r="F2" s="65"/>
      <c r="G2" s="65"/>
      <c r="H2" s="66"/>
      <c r="I2" s="66"/>
      <c r="J2" s="66"/>
      <c r="K2" s="66"/>
      <c r="L2" s="66"/>
      <c r="M2" s="66"/>
      <c r="N2" s="67"/>
    </row>
    <row r="3" spans="2:26">
      <c r="B3" s="68" t="s">
        <v>270</v>
      </c>
      <c r="C3" s="69" t="s">
        <v>879</v>
      </c>
      <c r="D3" s="69" t="s">
        <v>880</v>
      </c>
      <c r="E3" s="69" t="s">
        <v>881</v>
      </c>
      <c r="F3" s="69" t="s">
        <v>882</v>
      </c>
      <c r="G3" s="69" t="s">
        <v>883</v>
      </c>
      <c r="H3" s="69" t="s">
        <v>884</v>
      </c>
      <c r="I3" s="69" t="s">
        <v>885</v>
      </c>
      <c r="J3" s="70" t="s">
        <v>886</v>
      </c>
      <c r="K3" s="70" t="s">
        <v>887</v>
      </c>
      <c r="L3" s="70" t="s">
        <v>888</v>
      </c>
      <c r="M3" s="70" t="s">
        <v>889</v>
      </c>
      <c r="N3" s="70" t="s">
        <v>890</v>
      </c>
      <c r="P3" s="71"/>
      <c r="Q3" s="69" t="str">
        <f t="shared" ref="Q3:X4" si="0">G3</f>
        <v>20Q2</v>
      </c>
      <c r="R3" s="69" t="str">
        <f t="shared" si="0"/>
        <v>20Q3</v>
      </c>
      <c r="S3" s="69" t="str">
        <f t="shared" si="0"/>
        <v>20Q4</v>
      </c>
      <c r="T3" s="70" t="str">
        <f t="shared" si="0"/>
        <v>21Q1</v>
      </c>
      <c r="U3" s="70" t="str">
        <f t="shared" si="0"/>
        <v>21Q2</v>
      </c>
      <c r="V3" s="70" t="str">
        <f t="shared" si="0"/>
        <v>21Q3</v>
      </c>
      <c r="W3" s="70" t="str">
        <f t="shared" si="0"/>
        <v>21Q4</v>
      </c>
      <c r="X3" s="70" t="str">
        <f t="shared" si="0"/>
        <v>22Q1</v>
      </c>
    </row>
    <row r="4" spans="2:26">
      <c r="B4" s="72" t="s">
        <v>272</v>
      </c>
      <c r="C4" s="69" t="s">
        <v>273</v>
      </c>
      <c r="D4" s="69" t="s">
        <v>273</v>
      </c>
      <c r="E4" s="69" t="s">
        <v>273</v>
      </c>
      <c r="F4" s="69" t="s">
        <v>273</v>
      </c>
      <c r="G4" s="69" t="s">
        <v>273</v>
      </c>
      <c r="H4" s="69" t="s">
        <v>273</v>
      </c>
      <c r="I4" s="69" t="s">
        <v>273</v>
      </c>
      <c r="J4" s="70" t="s">
        <v>274</v>
      </c>
      <c r="K4" s="70" t="s">
        <v>274</v>
      </c>
      <c r="L4" s="70" t="s">
        <v>274</v>
      </c>
      <c r="M4" s="70" t="s">
        <v>274</v>
      </c>
      <c r="N4" s="70" t="s">
        <v>274</v>
      </c>
      <c r="P4" s="73"/>
      <c r="Q4" s="69" t="str">
        <f t="shared" si="0"/>
        <v>Actual</v>
      </c>
      <c r="R4" s="69" t="str">
        <f t="shared" si="0"/>
        <v>Actual</v>
      </c>
      <c r="S4" s="69" t="str">
        <f t="shared" si="0"/>
        <v>Actual</v>
      </c>
      <c r="T4" s="70" t="str">
        <f t="shared" si="0"/>
        <v>Forecast</v>
      </c>
      <c r="U4" s="70" t="str">
        <f t="shared" si="0"/>
        <v>Forecast</v>
      </c>
      <c r="V4" s="70" t="str">
        <f t="shared" si="0"/>
        <v>Forecast</v>
      </c>
      <c r="W4" s="70" t="str">
        <f t="shared" si="0"/>
        <v>Forecast</v>
      </c>
      <c r="X4" s="70" t="str">
        <f t="shared" si="0"/>
        <v>Forecast</v>
      </c>
      <c r="Y4" s="74"/>
    </row>
    <row r="5" spans="2:26" ht="7.5" customHeight="1" thickBot="1">
      <c r="B5" s="75"/>
      <c r="C5" s="75"/>
      <c r="D5" s="75"/>
      <c r="E5" s="75"/>
      <c r="F5" s="75"/>
      <c r="G5" s="75"/>
      <c r="H5" s="75"/>
      <c r="I5" s="75"/>
      <c r="J5" s="75"/>
      <c r="K5" s="75"/>
      <c r="L5" s="75"/>
      <c r="M5" s="75"/>
      <c r="N5" s="75"/>
      <c r="O5" s="75"/>
    </row>
    <row r="6" spans="2:26" s="79" customFormat="1" ht="20">
      <c r="B6" s="76" t="s">
        <v>275</v>
      </c>
      <c r="C6" s="77"/>
      <c r="D6" s="77"/>
      <c r="E6" s="77"/>
      <c r="F6" s="77"/>
      <c r="G6" s="77"/>
      <c r="H6" s="77"/>
      <c r="I6" s="78"/>
      <c r="J6" s="78"/>
      <c r="K6" s="78"/>
      <c r="L6" s="77"/>
      <c r="M6" s="77"/>
      <c r="N6" s="77"/>
      <c r="P6" s="73" t="s">
        <v>276</v>
      </c>
    </row>
    <row r="7" spans="2:26">
      <c r="B7" s="74" t="s">
        <v>277</v>
      </c>
      <c r="C7" s="80">
        <f t="shared" ref="C7:M7" si="1">SUM(C8,C9:C12)</f>
        <v>1397186</v>
      </c>
      <c r="D7" s="80">
        <f t="shared" si="1"/>
        <v>1416554</v>
      </c>
      <c r="E7" s="80">
        <f t="shared" si="1"/>
        <v>1488615</v>
      </c>
      <c r="F7" s="80">
        <f t="shared" si="1"/>
        <v>1353360</v>
      </c>
      <c r="G7" s="80">
        <f t="shared" si="1"/>
        <v>1062041</v>
      </c>
      <c r="H7" s="80">
        <f t="shared" si="1"/>
        <v>1060674</v>
      </c>
      <c r="I7" s="80">
        <f t="shared" si="1"/>
        <v>1131429</v>
      </c>
      <c r="J7" s="80">
        <f>SUM(J8,J9:J12)</f>
        <v>965940.59999999986</v>
      </c>
      <c r="K7" s="80">
        <f t="shared" si="1"/>
        <v>1372404.5</v>
      </c>
      <c r="L7" s="80">
        <f t="shared" si="1"/>
        <v>1111432.8</v>
      </c>
      <c r="M7" s="80">
        <f t="shared" si="1"/>
        <v>1131429</v>
      </c>
      <c r="N7" s="80">
        <f>SUM(N8,N9:N12)</f>
        <v>965940.59999999986</v>
      </c>
      <c r="P7" s="74" t="s">
        <v>278</v>
      </c>
      <c r="Q7" s="81">
        <f>IFERROR(G7/C7-1,"")</f>
        <v>-0.23987142728312483</v>
      </c>
      <c r="R7" s="81">
        <f t="shared" ref="R7:X11" si="2">IFERROR(H7/D7-1,"")</f>
        <v>-0.2512293918904609</v>
      </c>
      <c r="S7" s="81">
        <f t="shared" si="2"/>
        <v>-0.23994518394615127</v>
      </c>
      <c r="T7" s="81">
        <f t="shared" si="2"/>
        <v>-0.28626485192410012</v>
      </c>
      <c r="U7" s="81">
        <f t="shared" si="2"/>
        <v>0.2922330682148806</v>
      </c>
      <c r="V7" s="81">
        <f t="shared" si="2"/>
        <v>4.785523167344552E-2</v>
      </c>
      <c r="W7" s="81">
        <f t="shared" si="2"/>
        <v>0</v>
      </c>
      <c r="X7" s="81">
        <f t="shared" si="2"/>
        <v>0</v>
      </c>
      <c r="Y7" s="82"/>
    </row>
    <row r="8" spans="2:26" s="75" customFormat="1">
      <c r="B8" s="83" t="s">
        <v>279</v>
      </c>
      <c r="C8" s="84">
        <f>'Quar. as rep.'!E7</f>
        <v>1298567</v>
      </c>
      <c r="D8" s="84">
        <f>'Quar. as rep.'!F7</f>
        <v>1308908</v>
      </c>
      <c r="E8" s="84">
        <f>'Quar. as rep.'!G7</f>
        <v>1356238</v>
      </c>
      <c r="F8" s="84">
        <f>'Quar. as rep.'!H7</f>
        <v>1262232</v>
      </c>
      <c r="G8" s="84">
        <f>'Quar. as rep.'!I7</f>
        <v>1013510</v>
      </c>
      <c r="H8" s="84">
        <f>'Quar. as rep.'!J7</f>
        <v>993831</v>
      </c>
      <c r="I8" s="84">
        <f>'Quar. as rep.'!K7</f>
        <v>1032795</v>
      </c>
      <c r="J8" s="86">
        <f>F8*(1+T8)</f>
        <v>883562.39999999991</v>
      </c>
      <c r="K8" s="86">
        <f t="shared" ref="K8:N11" si="3">G8*(1+U8)</f>
        <v>1317563</v>
      </c>
      <c r="L8" s="86">
        <f t="shared" si="3"/>
        <v>1043522.55</v>
      </c>
      <c r="M8" s="86">
        <f t="shared" si="3"/>
        <v>1032795</v>
      </c>
      <c r="N8" s="86">
        <f>J8*(1+X8)</f>
        <v>883562.39999999991</v>
      </c>
      <c r="P8" s="75" t="str">
        <f t="shared" ref="P8:P12" si="4">B8</f>
        <v>Lease income</v>
      </c>
      <c r="Q8" s="87">
        <f>IFERROR(G8/C8-1,"")</f>
        <v>-0.21951659021059367</v>
      </c>
      <c r="R8" s="87">
        <f t="shared" si="2"/>
        <v>-0.24071745302190839</v>
      </c>
      <c r="S8" s="87">
        <f t="shared" si="2"/>
        <v>-0.23848542807383366</v>
      </c>
      <c r="T8" s="88">
        <v>-0.3</v>
      </c>
      <c r="U8" s="88">
        <v>0.3</v>
      </c>
      <c r="V8" s="88">
        <v>0.05</v>
      </c>
      <c r="W8" s="88"/>
      <c r="X8" s="88"/>
      <c r="Y8" s="89"/>
      <c r="Z8" s="75" t="s">
        <v>870</v>
      </c>
    </row>
    <row r="9" spans="2:26" s="75" customFormat="1">
      <c r="B9" s="83" t="s">
        <v>281</v>
      </c>
      <c r="C9" s="84">
        <f>'Quar. as rep.'!E8</f>
        <v>28248</v>
      </c>
      <c r="D9" s="84">
        <f>'Quar. as rep.'!F8</f>
        <v>27976</v>
      </c>
      <c r="E9" s="84">
        <f>'Quar. as rep.'!G8</f>
        <v>29174</v>
      </c>
      <c r="F9" s="84">
        <f>'Quar. as rep.'!H8</f>
        <v>29166</v>
      </c>
      <c r="G9" s="84">
        <f>'Quar. as rep.'!I8</f>
        <v>21035</v>
      </c>
      <c r="H9" s="84">
        <f>'Quar. as rep.'!J8</f>
        <v>21345</v>
      </c>
      <c r="I9" s="84">
        <f>'Quar. as rep.'!K8</f>
        <v>25336</v>
      </c>
      <c r="J9" s="86">
        <f>F9*(1+T9)</f>
        <v>20416.199999999997</v>
      </c>
      <c r="K9" s="86">
        <f t="shared" si="3"/>
        <v>27345.5</v>
      </c>
      <c r="L9" s="86">
        <f t="shared" si="3"/>
        <v>22412.25</v>
      </c>
      <c r="M9" s="86">
        <f t="shared" si="3"/>
        <v>25336</v>
      </c>
      <c r="N9" s="86">
        <f t="shared" si="3"/>
        <v>20416.199999999997</v>
      </c>
      <c r="O9" s="90"/>
      <c r="P9" s="75" t="str">
        <f t="shared" si="4"/>
        <v>Management fee &amp;etc</v>
      </c>
      <c r="Q9" s="87">
        <f t="shared" ref="Q9:Q11" si="5">IFERROR(G9/C9-1,"")</f>
        <v>-0.25534551118663273</v>
      </c>
      <c r="R9" s="87">
        <f t="shared" si="2"/>
        <v>-0.2370245925078639</v>
      </c>
      <c r="S9" s="87">
        <f t="shared" si="2"/>
        <v>-0.13155549461849592</v>
      </c>
      <c r="T9" s="88">
        <v>-0.3</v>
      </c>
      <c r="U9" s="88">
        <v>0.3</v>
      </c>
      <c r="V9" s="88">
        <v>0.05</v>
      </c>
      <c r="W9" s="88"/>
      <c r="X9" s="88"/>
    </row>
    <row r="10" spans="2:26" s="75" customFormat="1">
      <c r="B10" s="83" t="s">
        <v>282</v>
      </c>
      <c r="C10" s="84">
        <v>0</v>
      </c>
      <c r="D10" s="84">
        <v>0</v>
      </c>
      <c r="E10" s="84"/>
      <c r="F10" s="84"/>
      <c r="G10" s="84"/>
      <c r="H10" s="84"/>
      <c r="I10" s="84"/>
      <c r="J10" s="86">
        <f t="shared" ref="J10:J11" si="6">F10*(1+T10)</f>
        <v>0</v>
      </c>
      <c r="K10" s="86">
        <f t="shared" si="3"/>
        <v>0</v>
      </c>
      <c r="L10" s="86">
        <f t="shared" si="3"/>
        <v>0</v>
      </c>
      <c r="M10" s="86">
        <f t="shared" si="3"/>
        <v>0</v>
      </c>
      <c r="N10" s="86">
        <f t="shared" si="3"/>
        <v>0</v>
      </c>
      <c r="P10" s="75" t="str">
        <f t="shared" si="4"/>
        <v>Other income</v>
      </c>
      <c r="Q10" s="87" t="str">
        <f t="shared" si="5"/>
        <v/>
      </c>
      <c r="R10" s="87" t="str">
        <f t="shared" si="2"/>
        <v/>
      </c>
      <c r="S10" s="87" t="str">
        <f t="shared" si="2"/>
        <v/>
      </c>
      <c r="T10" s="88">
        <v>-0.5</v>
      </c>
      <c r="U10" s="88">
        <v>0.5</v>
      </c>
      <c r="V10" s="88">
        <v>0.2</v>
      </c>
      <c r="W10" s="88"/>
      <c r="X10" s="88"/>
    </row>
    <row r="11" spans="2:26" s="75" customFormat="1">
      <c r="B11" s="83" t="s">
        <v>284</v>
      </c>
      <c r="C11" s="84">
        <f>'Quar. as rep.'!E9</f>
        <v>70371</v>
      </c>
      <c r="D11" s="84">
        <f>'Quar. as rep.'!F9</f>
        <v>79670</v>
      </c>
      <c r="E11" s="84">
        <f>'Quar. as rep.'!G9</f>
        <v>103203</v>
      </c>
      <c r="F11" s="84">
        <f>'Quar. as rep.'!H9</f>
        <v>61962</v>
      </c>
      <c r="G11" s="84">
        <f>'Quar. as rep.'!I9</f>
        <v>27496</v>
      </c>
      <c r="H11" s="84">
        <f>'Quar. as rep.'!J9</f>
        <v>45498</v>
      </c>
      <c r="I11" s="84">
        <f>'Quar. as rep.'!K9</f>
        <v>73298</v>
      </c>
      <c r="J11" s="140">
        <f t="shared" si="6"/>
        <v>61962</v>
      </c>
      <c r="K11" s="86">
        <f t="shared" si="3"/>
        <v>27496</v>
      </c>
      <c r="L11" s="86">
        <f t="shared" si="3"/>
        <v>45498</v>
      </c>
      <c r="M11" s="86">
        <f t="shared" si="3"/>
        <v>73298</v>
      </c>
      <c r="N11" s="86">
        <f t="shared" si="3"/>
        <v>61962</v>
      </c>
      <c r="O11" s="90"/>
      <c r="P11" s="75" t="str">
        <f t="shared" si="4"/>
        <v>Other Revenue</v>
      </c>
      <c r="Q11" s="87">
        <f t="shared" si="5"/>
        <v>-0.60927086441858158</v>
      </c>
      <c r="R11" s="87">
        <f t="shared" si="2"/>
        <v>-0.42891929207982926</v>
      </c>
      <c r="S11" s="87">
        <f t="shared" si="2"/>
        <v>-0.28976870827398427</v>
      </c>
      <c r="T11" s="88">
        <v>0</v>
      </c>
      <c r="U11" s="88">
        <v>0</v>
      </c>
      <c r="V11" s="88"/>
      <c r="W11" s="88"/>
      <c r="X11" s="88"/>
    </row>
    <row r="12" spans="2:26" s="75" customFormat="1">
      <c r="B12" s="83" t="s">
        <v>285</v>
      </c>
      <c r="C12" s="84">
        <v>0</v>
      </c>
      <c r="D12" s="84">
        <v>0</v>
      </c>
      <c r="E12" s="84"/>
      <c r="F12" s="84">
        <v>0</v>
      </c>
      <c r="G12" s="91">
        <v>0</v>
      </c>
      <c r="H12" s="84">
        <v>0</v>
      </c>
      <c r="I12" s="84"/>
      <c r="J12" s="140">
        <f>T12</f>
        <v>0</v>
      </c>
      <c r="K12" s="140">
        <f t="shared" ref="K12:N12" si="7">U12</f>
        <v>0</v>
      </c>
      <c r="L12" s="140">
        <f t="shared" si="7"/>
        <v>0</v>
      </c>
      <c r="M12" s="140">
        <f t="shared" si="7"/>
        <v>0</v>
      </c>
      <c r="N12" s="140">
        <f t="shared" si="7"/>
        <v>0</v>
      </c>
      <c r="P12" s="75" t="str">
        <f t="shared" si="4"/>
        <v>Other/Manual Adjustments</v>
      </c>
      <c r="Q12" s="87"/>
      <c r="R12" s="87"/>
      <c r="S12" s="92" t="s">
        <v>286</v>
      </c>
      <c r="T12" s="93">
        <v>0</v>
      </c>
      <c r="U12" s="93">
        <f>T12</f>
        <v>0</v>
      </c>
      <c r="V12" s="93">
        <f>U12</f>
        <v>0</v>
      </c>
      <c r="W12" s="93">
        <f>V12</f>
        <v>0</v>
      </c>
      <c r="X12" s="93">
        <f>W12</f>
        <v>0</v>
      </c>
    </row>
    <row r="13" spans="2:26">
      <c r="B13" s="94"/>
      <c r="I13" s="95"/>
      <c r="J13" s="81"/>
      <c r="K13" s="81"/>
      <c r="L13" s="80"/>
      <c r="M13" s="95"/>
      <c r="N13" s="95"/>
      <c r="P13" s="96"/>
    </row>
    <row r="14" spans="2:26">
      <c r="B14" s="74" t="s">
        <v>287</v>
      </c>
      <c r="C14" s="80">
        <f t="shared" ref="C14:N14" si="8">SUM(C15,C16:C19)</f>
        <v>243883</v>
      </c>
      <c r="D14" s="80">
        <f t="shared" si="8"/>
        <v>263745</v>
      </c>
      <c r="E14" s="80">
        <f t="shared" si="8"/>
        <v>259084</v>
      </c>
      <c r="F14" s="80">
        <f t="shared" si="8"/>
        <v>247598</v>
      </c>
      <c r="G14" s="80">
        <f t="shared" si="8"/>
        <v>201921</v>
      </c>
      <c r="H14" s="80">
        <f t="shared" si="8"/>
        <v>222518</v>
      </c>
      <c r="I14" s="80">
        <f t="shared" si="8"/>
        <v>215118</v>
      </c>
      <c r="J14" s="80">
        <f t="shared" si="8"/>
        <v>211844.19455119141</v>
      </c>
      <c r="K14" s="80">
        <f t="shared" si="8"/>
        <v>260934.54492592995</v>
      </c>
      <c r="L14" s="80">
        <f t="shared" si="8"/>
        <v>211316.13302328292</v>
      </c>
      <c r="M14" s="80">
        <f t="shared" si="8"/>
        <v>0</v>
      </c>
      <c r="N14" s="80">
        <f t="shared" si="8"/>
        <v>0</v>
      </c>
      <c r="P14" s="74" t="s">
        <v>288</v>
      </c>
      <c r="Q14" s="97">
        <f>IFERROR(G14/G$7,"")</f>
        <v>0.19012542830267382</v>
      </c>
      <c r="R14" s="97">
        <f t="shared" ref="R14:S18" si="9">IFERROR(H14/H$7,"")</f>
        <v>0.20978924721450701</v>
      </c>
      <c r="S14" s="97">
        <f t="shared" si="9"/>
        <v>0.19012947343580552</v>
      </c>
      <c r="T14" s="97">
        <f t="shared" ref="T14:X14" si="10">IFERROR(J14/J7,"")</f>
        <v>0.21931389419928249</v>
      </c>
      <c r="U14" s="97">
        <f t="shared" si="10"/>
        <v>0.19012947343580552</v>
      </c>
      <c r="V14" s="97">
        <f t="shared" si="10"/>
        <v>0.1901294734358055</v>
      </c>
      <c r="W14" s="97">
        <f t="shared" si="10"/>
        <v>0</v>
      </c>
      <c r="X14" s="97">
        <f t="shared" si="10"/>
        <v>0</v>
      </c>
    </row>
    <row r="15" spans="2:26">
      <c r="B15" s="83" t="s">
        <v>289</v>
      </c>
      <c r="C15" s="84">
        <f>'Quar. as rep.'!E12</f>
        <v>106119</v>
      </c>
      <c r="D15" s="84">
        <f>'Quar. as rep.'!F12</f>
        <v>121735</v>
      </c>
      <c r="E15" s="84">
        <f>'Quar. as rep.'!G12</f>
        <v>113741</v>
      </c>
      <c r="F15" s="84">
        <f>'Quar. as rep.'!H12</f>
        <v>105624</v>
      </c>
      <c r="G15" s="84">
        <f>'Quar. as rep.'!I12</f>
        <v>70620</v>
      </c>
      <c r="H15" s="84">
        <f>'Quar. as rep.'!J12</f>
        <v>91236</v>
      </c>
      <c r="I15" s="84">
        <f>'Quar. as rep.'!K12</f>
        <v>81675</v>
      </c>
      <c r="J15" s="86">
        <f>T15*J$7</f>
        <v>69728.810650071711</v>
      </c>
      <c r="K15" s="86">
        <f t="shared" ref="K15:N18" si="11">U15*K$7</f>
        <v>99070.412317078662</v>
      </c>
      <c r="L15" s="86">
        <f t="shared" si="11"/>
        <v>80231.524859270881</v>
      </c>
      <c r="M15" s="86">
        <f t="shared" si="11"/>
        <v>0</v>
      </c>
      <c r="N15" s="86">
        <f t="shared" si="11"/>
        <v>0</v>
      </c>
      <c r="P15" s="98" t="str">
        <f t="shared" ref="P15:P19" si="12">B15</f>
        <v>Property operating</v>
      </c>
      <c r="Q15" s="87">
        <f t="shared" ref="Q15:Q18" si="13">IFERROR(G15/G$7,"")</f>
        <v>6.6494608023607377E-2</v>
      </c>
      <c r="R15" s="87">
        <f t="shared" si="9"/>
        <v>8.6017004282182841E-2</v>
      </c>
      <c r="S15" s="87">
        <f t="shared" si="9"/>
        <v>7.2187472656260354E-2</v>
      </c>
      <c r="T15" s="88">
        <f>S15</f>
        <v>7.2187472656260354E-2</v>
      </c>
      <c r="U15" s="88">
        <f t="shared" ref="U15:V15" si="14">T15</f>
        <v>7.2187472656260354E-2</v>
      </c>
      <c r="V15" s="88">
        <f t="shared" si="14"/>
        <v>7.2187472656260354E-2</v>
      </c>
      <c r="W15" s="88"/>
      <c r="X15" s="88"/>
      <c r="Z15" s="61" t="s">
        <v>290</v>
      </c>
    </row>
    <row r="16" spans="2:26">
      <c r="B16" s="83" t="s">
        <v>291</v>
      </c>
      <c r="C16" s="84">
        <f>'Quar. as rep.'!E14</f>
        <v>115914</v>
      </c>
      <c r="D16" s="84">
        <f>'Quar. as rep.'!F14</f>
        <v>118031</v>
      </c>
      <c r="E16" s="84">
        <f>'Quar. as rep.'!G14</f>
        <v>118600</v>
      </c>
      <c r="F16" s="84">
        <f>'Quar. as rep.'!H14</f>
        <v>117543</v>
      </c>
      <c r="G16" s="84">
        <f>'Quar. as rep.'!I14</f>
        <v>117221</v>
      </c>
      <c r="H16" s="84">
        <f>'Quar. as rep.'!J14</f>
        <v>112311</v>
      </c>
      <c r="I16" s="84">
        <f>'Quar. as rep.'!K14</f>
        <v>110067</v>
      </c>
      <c r="J16" s="86">
        <f t="shared" ref="J16:J18" si="15">T16*J$7</f>
        <v>122158.47324601011</v>
      </c>
      <c r="K16" s="86">
        <f t="shared" si="11"/>
        <v>133509.43461896415</v>
      </c>
      <c r="L16" s="86">
        <f t="shared" si="11"/>
        <v>108121.7416184312</v>
      </c>
      <c r="M16" s="86">
        <f t="shared" si="11"/>
        <v>0</v>
      </c>
      <c r="N16" s="86">
        <f t="shared" si="11"/>
        <v>0</v>
      </c>
      <c r="P16" s="75" t="str">
        <f t="shared" si="12"/>
        <v>Real estate tax</v>
      </c>
      <c r="Q16" s="87">
        <f t="shared" si="13"/>
        <v>0.11037332833666497</v>
      </c>
      <c r="R16" s="87">
        <f t="shared" si="9"/>
        <v>0.10588644578824408</v>
      </c>
      <c r="S16" s="87">
        <f t="shared" si="9"/>
        <v>9.7281402544923276E-2</v>
      </c>
      <c r="T16" s="88">
        <f>S16*1.3</f>
        <v>0.12646582330840025</v>
      </c>
      <c r="U16" s="88">
        <f>S16</f>
        <v>9.7281402544923276E-2</v>
      </c>
      <c r="V16" s="88">
        <f>U16</f>
        <v>9.7281402544923276E-2</v>
      </c>
      <c r="W16" s="88"/>
      <c r="X16" s="88"/>
      <c r="Z16" s="61" t="s">
        <v>292</v>
      </c>
    </row>
    <row r="17" spans="2:26">
      <c r="B17" s="83" t="s">
        <v>293</v>
      </c>
      <c r="C17" s="84">
        <f>'Quar. as rep.'!E15</f>
        <v>21850</v>
      </c>
      <c r="D17" s="84">
        <f>'Quar. as rep.'!F15</f>
        <v>23979</v>
      </c>
      <c r="E17" s="84">
        <f>'Quar. as rep.'!G15</f>
        <v>26743</v>
      </c>
      <c r="F17" s="84">
        <f>'Quar. as rep.'!H15</f>
        <v>24431</v>
      </c>
      <c r="G17" s="84">
        <f>'Quar. as rep.'!I15</f>
        <v>14080</v>
      </c>
      <c r="H17" s="84">
        <f>'Quar. as rep.'!J15</f>
        <v>18971</v>
      </c>
      <c r="I17" s="84">
        <f>'Quar. as rep.'!K15</f>
        <v>23376</v>
      </c>
      <c r="J17" s="86">
        <f t="shared" si="15"/>
        <v>19956.910655109597</v>
      </c>
      <c r="K17" s="86">
        <f t="shared" si="11"/>
        <v>28354.697989887125</v>
      </c>
      <c r="L17" s="86">
        <f t="shared" si="11"/>
        <v>22962.866545580855</v>
      </c>
      <c r="M17" s="86">
        <f t="shared" si="11"/>
        <v>0</v>
      </c>
      <c r="N17" s="86">
        <f t="shared" si="11"/>
        <v>0</v>
      </c>
      <c r="P17" s="75" t="str">
        <f t="shared" si="12"/>
        <v xml:space="preserve">Repairs and maintenance </v>
      </c>
      <c r="Q17" s="87">
        <f t="shared" si="13"/>
        <v>1.3257491942401471E-2</v>
      </c>
      <c r="R17" s="87">
        <f t="shared" si="9"/>
        <v>1.7885797144080087E-2</v>
      </c>
      <c r="S17" s="87">
        <f t="shared" si="9"/>
        <v>2.066059823462188E-2</v>
      </c>
      <c r="T17" s="88">
        <f>S17</f>
        <v>2.066059823462188E-2</v>
      </c>
      <c r="U17" s="88">
        <f t="shared" ref="U17:V17" si="16">T17</f>
        <v>2.066059823462188E-2</v>
      </c>
      <c r="V17" s="88">
        <f t="shared" si="16"/>
        <v>2.066059823462188E-2</v>
      </c>
      <c r="W17" s="88"/>
      <c r="X17" s="88"/>
      <c r="Z17" s="61" t="s">
        <v>290</v>
      </c>
    </row>
    <row r="18" spans="2:26">
      <c r="B18" s="83" t="s">
        <v>294</v>
      </c>
      <c r="C18" s="84">
        <v>0</v>
      </c>
      <c r="D18" s="84">
        <v>0</v>
      </c>
      <c r="E18" s="84"/>
      <c r="F18" s="84">
        <v>0</v>
      </c>
      <c r="G18" s="84">
        <v>0</v>
      </c>
      <c r="H18" s="84">
        <v>0</v>
      </c>
      <c r="I18" s="84"/>
      <c r="J18" s="86">
        <f t="shared" si="15"/>
        <v>0</v>
      </c>
      <c r="K18" s="86">
        <f t="shared" si="11"/>
        <v>0</v>
      </c>
      <c r="L18" s="86">
        <f t="shared" si="11"/>
        <v>0</v>
      </c>
      <c r="M18" s="86">
        <f t="shared" si="11"/>
        <v>0</v>
      </c>
      <c r="N18" s="86">
        <f t="shared" si="11"/>
        <v>0</v>
      </c>
      <c r="P18" s="75" t="str">
        <f t="shared" si="12"/>
        <v>Implementation</v>
      </c>
      <c r="Q18" s="87">
        <f t="shared" si="13"/>
        <v>0</v>
      </c>
      <c r="R18" s="87">
        <f t="shared" si="9"/>
        <v>0</v>
      </c>
      <c r="S18" s="87">
        <f t="shared" si="9"/>
        <v>0</v>
      </c>
      <c r="T18" s="88">
        <f>S18</f>
        <v>0</v>
      </c>
      <c r="U18" s="88">
        <f>T18</f>
        <v>0</v>
      </c>
      <c r="V18" s="88">
        <f>U18</f>
        <v>0</v>
      </c>
      <c r="W18" s="88"/>
      <c r="X18" s="88"/>
      <c r="Y18" s="75"/>
    </row>
    <row r="19" spans="2:26">
      <c r="B19" s="83" t="s">
        <v>295</v>
      </c>
      <c r="C19" s="84">
        <v>0</v>
      </c>
      <c r="D19" s="84">
        <v>0</v>
      </c>
      <c r="E19" s="84"/>
      <c r="F19" s="84">
        <v>0</v>
      </c>
      <c r="G19" s="84">
        <v>0</v>
      </c>
      <c r="H19" s="84">
        <v>0</v>
      </c>
      <c r="I19" s="84"/>
      <c r="J19" s="140">
        <f>T19</f>
        <v>0</v>
      </c>
      <c r="K19" s="140">
        <f t="shared" ref="K19:N19" si="17">U19</f>
        <v>0</v>
      </c>
      <c r="L19" s="140">
        <f t="shared" si="17"/>
        <v>0</v>
      </c>
      <c r="M19" s="140">
        <f t="shared" si="17"/>
        <v>0</v>
      </c>
      <c r="N19" s="140">
        <f t="shared" si="17"/>
        <v>0</v>
      </c>
      <c r="P19" s="75" t="str">
        <f t="shared" si="12"/>
        <v>Fixed</v>
      </c>
      <c r="Q19" s="87"/>
      <c r="R19" s="87"/>
      <c r="S19" s="92" t="s">
        <v>286</v>
      </c>
      <c r="T19" s="93">
        <v>0</v>
      </c>
      <c r="U19" s="93">
        <v>0</v>
      </c>
      <c r="V19" s="93">
        <v>0</v>
      </c>
      <c r="W19" s="93"/>
      <c r="X19" s="93"/>
    </row>
    <row r="20" spans="2:26">
      <c r="C20" s="86"/>
      <c r="D20" s="86"/>
      <c r="E20" s="86"/>
      <c r="F20" s="86"/>
      <c r="G20" s="86"/>
      <c r="H20" s="99"/>
      <c r="I20" s="99"/>
      <c r="J20" s="99"/>
      <c r="K20" s="99"/>
      <c r="L20" s="99"/>
      <c r="M20" s="99"/>
      <c r="N20" s="99"/>
      <c r="Q20" s="100"/>
      <c r="R20" s="100"/>
      <c r="S20" s="100"/>
      <c r="X20" s="101"/>
    </row>
    <row r="21" spans="2:26">
      <c r="B21" s="74" t="s">
        <v>296</v>
      </c>
      <c r="C21" s="80">
        <f t="shared" ref="C21:N21" si="18">C7-C14</f>
        <v>1153303</v>
      </c>
      <c r="D21" s="80">
        <f t="shared" si="18"/>
        <v>1152809</v>
      </c>
      <c r="E21" s="80">
        <f t="shared" si="18"/>
        <v>1229531</v>
      </c>
      <c r="F21" s="80">
        <f t="shared" si="18"/>
        <v>1105762</v>
      </c>
      <c r="G21" s="80">
        <f t="shared" si="18"/>
        <v>860120</v>
      </c>
      <c r="H21" s="80">
        <f t="shared" si="18"/>
        <v>838156</v>
      </c>
      <c r="I21" s="80">
        <f t="shared" si="18"/>
        <v>916311</v>
      </c>
      <c r="J21" s="80">
        <f t="shared" si="18"/>
        <v>754096.40544880845</v>
      </c>
      <c r="K21" s="80">
        <f t="shared" si="18"/>
        <v>1111469.95507407</v>
      </c>
      <c r="L21" s="80">
        <f t="shared" si="18"/>
        <v>900116.66697671707</v>
      </c>
      <c r="M21" s="80">
        <f t="shared" si="18"/>
        <v>1131429</v>
      </c>
      <c r="N21" s="80">
        <f t="shared" si="18"/>
        <v>965940.59999999986</v>
      </c>
      <c r="P21" s="74" t="s">
        <v>297</v>
      </c>
      <c r="Q21" s="81">
        <f t="shared" ref="Q21:X21" si="19">IFERROR(G21/G7,"")</f>
        <v>0.80987457169732624</v>
      </c>
      <c r="R21" s="81">
        <f t="shared" si="19"/>
        <v>0.79021075278549302</v>
      </c>
      <c r="S21" s="81">
        <f t="shared" si="19"/>
        <v>0.80987052656419445</v>
      </c>
      <c r="T21" s="81">
        <f t="shared" si="19"/>
        <v>0.78068610580071751</v>
      </c>
      <c r="U21" s="81">
        <f t="shared" si="19"/>
        <v>0.80987052656419445</v>
      </c>
      <c r="V21" s="81">
        <f t="shared" si="19"/>
        <v>0.80987052656419445</v>
      </c>
      <c r="W21" s="81">
        <f t="shared" si="19"/>
        <v>1</v>
      </c>
      <c r="X21" s="81">
        <f t="shared" si="19"/>
        <v>1</v>
      </c>
    </row>
    <row r="22" spans="2:26">
      <c r="C22" s="86"/>
      <c r="D22" s="86"/>
      <c r="E22" s="99"/>
      <c r="F22" s="99"/>
      <c r="G22" s="99"/>
      <c r="H22" s="99"/>
      <c r="I22" s="99"/>
      <c r="J22" s="99"/>
      <c r="K22" s="99"/>
      <c r="L22" s="99"/>
      <c r="M22" s="99"/>
      <c r="N22" s="99"/>
      <c r="U22" s="101"/>
    </row>
    <row r="23" spans="2:26">
      <c r="B23" s="74" t="s">
        <v>298</v>
      </c>
      <c r="C23" s="80">
        <f>SUM(,C24:C28)</f>
        <v>472672</v>
      </c>
      <c r="D23" s="80">
        <f t="shared" ref="D23:N23" si="20">SUM(,D24:D28)</f>
        <v>447507</v>
      </c>
      <c r="E23" s="80">
        <f t="shared" si="20"/>
        <v>452655</v>
      </c>
      <c r="F23" s="80">
        <f t="shared" si="20"/>
        <v>450893</v>
      </c>
      <c r="G23" s="80">
        <f>SUM(,G24:G29)</f>
        <v>409252</v>
      </c>
      <c r="H23" s="80">
        <f>SUM(,H24:H29)</f>
        <v>434132</v>
      </c>
      <c r="I23" s="80">
        <f>SUM(,I24:I29)</f>
        <v>454264</v>
      </c>
      <c r="J23" s="80">
        <f t="shared" si="20"/>
        <v>487925.13921574567</v>
      </c>
      <c r="K23" s="80">
        <f t="shared" si="20"/>
        <v>551014.65296364145</v>
      </c>
      <c r="L23" s="80">
        <f t="shared" si="20"/>
        <v>446235.60953378427</v>
      </c>
      <c r="M23" s="80">
        <f t="shared" si="20"/>
        <v>0</v>
      </c>
      <c r="N23" s="80">
        <f t="shared" si="20"/>
        <v>0</v>
      </c>
      <c r="P23" s="74" t="s">
        <v>299</v>
      </c>
      <c r="Q23" s="97">
        <f>IFERROR(G23/G$7,"")</f>
        <v>0.38534482190423908</v>
      </c>
      <c r="R23" s="97">
        <f t="shared" ref="R23:S27" si="21">IFERROR(H23/H$7,"")</f>
        <v>0.40929823866711168</v>
      </c>
      <c r="S23" s="97">
        <f t="shared" si="21"/>
        <v>0.40149580751421432</v>
      </c>
      <c r="T23" s="97">
        <f t="shared" ref="T23:X23" si="22">IFERROR(J23/J7,"")</f>
        <v>0.50512954856203973</v>
      </c>
      <c r="U23" s="97">
        <f t="shared" si="22"/>
        <v>0.40149580751421426</v>
      </c>
      <c r="V23" s="97">
        <f t="shared" si="22"/>
        <v>0.40149580751421432</v>
      </c>
      <c r="W23" s="97">
        <f t="shared" si="22"/>
        <v>0</v>
      </c>
      <c r="X23" s="97">
        <f t="shared" si="22"/>
        <v>0</v>
      </c>
    </row>
    <row r="24" spans="2:26">
      <c r="B24" s="83" t="s">
        <v>300</v>
      </c>
      <c r="C24" s="84">
        <f>SUM('Quar. as rep.'!E16:E18)</f>
        <v>92246</v>
      </c>
      <c r="D24" s="84">
        <f>SUM('Quar. as rep.'!F16:F18)</f>
        <v>90480</v>
      </c>
      <c r="E24" s="84">
        <f>SUM('Quar. as rep.'!G16:G18)</f>
        <v>93766</v>
      </c>
      <c r="F24" s="84">
        <f>SUM('Quar. as rep.'!H16:H18)</f>
        <v>94791</v>
      </c>
      <c r="G24" s="84">
        <f>SUM('Quar. as rep.'!I16:I18)</f>
        <v>56075</v>
      </c>
      <c r="H24" s="84">
        <f>SUM('Quar. as rep.'!J16:J18)</f>
        <v>57727</v>
      </c>
      <c r="I24" s="84">
        <f>SUM('Quar. as rep.'!K16:K18)</f>
        <v>84261</v>
      </c>
      <c r="J24" s="86">
        <f>J$7*(T24)</f>
        <v>77275.247999999992</v>
      </c>
      <c r="K24" s="86">
        <f t="shared" ref="K24:N27" si="23">K$7*(U24)</f>
        <v>102207.1871717094</v>
      </c>
      <c r="L24" s="86">
        <f t="shared" si="23"/>
        <v>82771.82144067371</v>
      </c>
      <c r="M24" s="86">
        <f t="shared" si="23"/>
        <v>0</v>
      </c>
      <c r="N24" s="86">
        <f t="shared" si="23"/>
        <v>0</v>
      </c>
      <c r="P24" s="98" t="str">
        <f t="shared" ref="P24:P28" si="24">B24</f>
        <v>Selling General &amp; Admin Exp.</v>
      </c>
      <c r="Q24" s="87">
        <f t="shared" ref="Q24:Q27" si="25">IFERROR(G24/G$7,"")</f>
        <v>5.2799279877142218E-2</v>
      </c>
      <c r="R24" s="87">
        <f t="shared" si="21"/>
        <v>5.4424827986732961E-2</v>
      </c>
      <c r="S24" s="87">
        <f t="shared" si="21"/>
        <v>7.4473077851106878E-2</v>
      </c>
      <c r="T24" s="88">
        <v>0.08</v>
      </c>
      <c r="U24" s="88">
        <f>S24</f>
        <v>7.4473077851106878E-2</v>
      </c>
      <c r="V24" s="88">
        <f>U24</f>
        <v>7.4473077851106878E-2</v>
      </c>
      <c r="W24" s="88"/>
      <c r="X24" s="88"/>
    </row>
    <row r="25" spans="2:26">
      <c r="B25" s="83" t="s">
        <v>85</v>
      </c>
      <c r="C25" s="84">
        <f>'Quar. as rep.'!E13</f>
        <v>352606</v>
      </c>
      <c r="D25" s="84">
        <f>'Quar. as rep.'!F13</f>
        <v>334944</v>
      </c>
      <c r="E25" s="84">
        <f>'Quar. as rep.'!G13</f>
        <v>324310</v>
      </c>
      <c r="F25" s="84">
        <f>'Quar. as rep.'!H13</f>
        <v>328262</v>
      </c>
      <c r="G25" s="84">
        <f>'Quar. as rep.'!I13</f>
        <v>324140</v>
      </c>
      <c r="H25" s="84">
        <f>'Quar. as rep.'!J13</f>
        <v>333755</v>
      </c>
      <c r="I25" s="84">
        <f>'Quar. as rep.'!K13</f>
        <v>331851</v>
      </c>
      <c r="J25" s="86">
        <f t="shared" ref="J25:J27" si="26">J$7*(T25)</f>
        <v>368306.68143187056</v>
      </c>
      <c r="K25" s="86">
        <f t="shared" si="23"/>
        <v>402529.72632794455</v>
      </c>
      <c r="L25" s="86">
        <f t="shared" si="23"/>
        <v>325986.06374133949</v>
      </c>
      <c r="M25" s="86">
        <f t="shared" si="23"/>
        <v>0</v>
      </c>
      <c r="N25" s="86">
        <f t="shared" si="23"/>
        <v>0</v>
      </c>
      <c r="P25" s="75" t="str">
        <f t="shared" si="24"/>
        <v>Depreciation &amp; Amort.</v>
      </c>
      <c r="Q25" s="87">
        <f t="shared" si="25"/>
        <v>0.3052047896455975</v>
      </c>
      <c r="R25" s="87">
        <f t="shared" si="21"/>
        <v>0.31466312929326068</v>
      </c>
      <c r="S25" s="87">
        <f t="shared" si="21"/>
        <v>0.29330254041570436</v>
      </c>
      <c r="T25" s="88">
        <f>S25*1.3</f>
        <v>0.38129330254041566</v>
      </c>
      <c r="U25" s="88">
        <f>S25</f>
        <v>0.29330254041570436</v>
      </c>
      <c r="V25" s="88">
        <f>U25</f>
        <v>0.29330254041570436</v>
      </c>
      <c r="W25" s="88"/>
      <c r="X25" s="88"/>
    </row>
    <row r="26" spans="2:26">
      <c r="B26" s="83" t="s">
        <v>303</v>
      </c>
      <c r="C26" s="84"/>
      <c r="D26" s="84"/>
      <c r="E26" s="85"/>
      <c r="F26" s="84"/>
      <c r="G26" s="84"/>
      <c r="H26" s="84"/>
      <c r="I26" s="84"/>
      <c r="J26" s="86">
        <f t="shared" si="26"/>
        <v>0</v>
      </c>
      <c r="K26" s="86">
        <f t="shared" si="23"/>
        <v>0</v>
      </c>
      <c r="L26" s="86">
        <f t="shared" si="23"/>
        <v>0</v>
      </c>
      <c r="M26" s="86">
        <f t="shared" si="23"/>
        <v>0</v>
      </c>
      <c r="N26" s="86">
        <f t="shared" si="23"/>
        <v>0</v>
      </c>
      <c r="P26" s="75" t="str">
        <f t="shared" si="24"/>
        <v>R&amp;D</v>
      </c>
      <c r="Q26" s="87">
        <f t="shared" si="25"/>
        <v>0</v>
      </c>
      <c r="R26" s="87">
        <f t="shared" si="21"/>
        <v>0</v>
      </c>
      <c r="S26" s="87">
        <f t="shared" si="21"/>
        <v>0</v>
      </c>
      <c r="T26" s="88">
        <f>S26</f>
        <v>0</v>
      </c>
      <c r="U26" s="88">
        <f t="shared" ref="U26:V26" si="27">T26</f>
        <v>0</v>
      </c>
      <c r="V26" s="88">
        <f t="shared" si="27"/>
        <v>0</v>
      </c>
      <c r="W26" s="88"/>
      <c r="X26" s="88"/>
    </row>
    <row r="27" spans="2:26">
      <c r="B27" s="83" t="s">
        <v>304</v>
      </c>
      <c r="C27" s="84">
        <f>'Quar. as rep.'!E19</f>
        <v>27820</v>
      </c>
      <c r="D27" s="84">
        <f>'Quar. as rep.'!F19</f>
        <v>22083</v>
      </c>
      <c r="E27" s="84">
        <f>'Quar. as rep.'!G19</f>
        <v>34579</v>
      </c>
      <c r="F27" s="84">
        <f>'Quar. as rep.'!H19</f>
        <v>27840</v>
      </c>
      <c r="G27" s="84">
        <f>'Quar. as rep.'!I19</f>
        <v>29037</v>
      </c>
      <c r="H27" s="84">
        <f>'Quar. as rep.'!J19</f>
        <v>42650</v>
      </c>
      <c r="I27" s="84">
        <f>'Quar. as rep.'!K19</f>
        <v>38152</v>
      </c>
      <c r="J27" s="86">
        <f t="shared" si="26"/>
        <v>42343.209783875078</v>
      </c>
      <c r="K27" s="86">
        <f t="shared" si="23"/>
        <v>46277.739463987571</v>
      </c>
      <c r="L27" s="86">
        <f t="shared" si="23"/>
        <v>37477.724351771081</v>
      </c>
      <c r="M27" s="86">
        <f t="shared" si="23"/>
        <v>0</v>
      </c>
      <c r="N27" s="86">
        <f t="shared" si="23"/>
        <v>0</v>
      </c>
      <c r="P27" s="75" t="str">
        <f t="shared" si="24"/>
        <v>Other</v>
      </c>
      <c r="Q27" s="102">
        <f t="shared" si="25"/>
        <v>2.7340752381499397E-2</v>
      </c>
      <c r="R27" s="102">
        <f t="shared" si="21"/>
        <v>4.0210281387118005E-2</v>
      </c>
      <c r="S27" s="102">
        <f t="shared" si="21"/>
        <v>3.3720189247403061E-2</v>
      </c>
      <c r="T27" s="88">
        <f>S27*1.3</f>
        <v>4.3836246021623983E-2</v>
      </c>
      <c r="U27" s="88">
        <f>S27</f>
        <v>3.3720189247403061E-2</v>
      </c>
      <c r="V27" s="88">
        <f>U27</f>
        <v>3.3720189247403061E-2</v>
      </c>
      <c r="W27" s="88"/>
      <c r="X27" s="88"/>
      <c r="Z27" s="61" t="s">
        <v>871</v>
      </c>
    </row>
    <row r="28" spans="2:26">
      <c r="B28" s="83" t="s">
        <v>306</v>
      </c>
      <c r="C28" s="84">
        <v>0</v>
      </c>
      <c r="D28" s="84">
        <v>0</v>
      </c>
      <c r="E28" s="84">
        <v>0</v>
      </c>
      <c r="F28" s="84">
        <v>0</v>
      </c>
      <c r="G28" s="84">
        <v>0</v>
      </c>
      <c r="H28" s="84">
        <v>0</v>
      </c>
      <c r="I28" s="84"/>
      <c r="J28" s="86">
        <f>T28</f>
        <v>0</v>
      </c>
      <c r="K28" s="86">
        <f t="shared" ref="K28:N28" si="28">U28</f>
        <v>0</v>
      </c>
      <c r="L28" s="86">
        <f t="shared" si="28"/>
        <v>0</v>
      </c>
      <c r="M28" s="86">
        <f t="shared" si="28"/>
        <v>0</v>
      </c>
      <c r="N28" s="86">
        <f t="shared" si="28"/>
        <v>0</v>
      </c>
      <c r="P28" s="75" t="str">
        <f t="shared" si="24"/>
        <v>Manual Adjustments</v>
      </c>
      <c r="Q28" s="87"/>
      <c r="R28" s="87"/>
      <c r="S28" s="92" t="s">
        <v>286</v>
      </c>
      <c r="T28" s="93">
        <v>0</v>
      </c>
      <c r="U28" s="93">
        <v>0</v>
      </c>
      <c r="V28" s="93">
        <v>0</v>
      </c>
      <c r="W28" s="93">
        <v>0</v>
      </c>
      <c r="X28" s="93">
        <v>0</v>
      </c>
    </row>
    <row r="29" spans="2:26">
      <c r="C29" s="86"/>
      <c r="D29" s="86"/>
      <c r="E29" s="86"/>
      <c r="F29" s="86"/>
      <c r="G29" s="61"/>
      <c r="H29" s="61"/>
      <c r="I29" s="61"/>
      <c r="J29" s="99"/>
      <c r="K29" s="99"/>
      <c r="L29" s="99"/>
      <c r="M29" s="99"/>
      <c r="N29" s="99"/>
      <c r="T29" s="101"/>
      <c r="U29" s="101"/>
      <c r="V29" s="101"/>
      <c r="W29" s="101"/>
      <c r="X29" s="101"/>
    </row>
    <row r="30" spans="2:26">
      <c r="B30" s="74" t="s">
        <v>307</v>
      </c>
      <c r="C30" s="80">
        <f t="shared" ref="C30:N30" si="29">C21-C23</f>
        <v>680631</v>
      </c>
      <c r="D30" s="80">
        <f t="shared" si="29"/>
        <v>705302</v>
      </c>
      <c r="E30" s="80">
        <f t="shared" si="29"/>
        <v>776876</v>
      </c>
      <c r="F30" s="80">
        <f t="shared" si="29"/>
        <v>654869</v>
      </c>
      <c r="G30" s="80">
        <f t="shared" si="29"/>
        <v>450868</v>
      </c>
      <c r="H30" s="80">
        <f t="shared" si="29"/>
        <v>404024</v>
      </c>
      <c r="I30" s="80">
        <f t="shared" si="29"/>
        <v>462047</v>
      </c>
      <c r="J30" s="80">
        <f t="shared" si="29"/>
        <v>266171.26623306278</v>
      </c>
      <c r="K30" s="80">
        <f t="shared" si="29"/>
        <v>560455.30211042857</v>
      </c>
      <c r="L30" s="80">
        <f t="shared" si="29"/>
        <v>453881.0574429328</v>
      </c>
      <c r="M30" s="80">
        <f t="shared" si="29"/>
        <v>1131429</v>
      </c>
      <c r="N30" s="80">
        <f t="shared" si="29"/>
        <v>965940.59999999986</v>
      </c>
      <c r="O30" s="103"/>
      <c r="P30" s="74" t="s">
        <v>308</v>
      </c>
      <c r="Q30" s="97">
        <f t="shared" ref="Q30:X30" si="30">IFERROR(G30/G7,"")</f>
        <v>0.42452974979308711</v>
      </c>
      <c r="R30" s="97">
        <f t="shared" si="30"/>
        <v>0.38091251411838134</v>
      </c>
      <c r="S30" s="97">
        <f t="shared" si="30"/>
        <v>0.40837471904998018</v>
      </c>
      <c r="T30" s="97">
        <f t="shared" si="30"/>
        <v>0.27555655723867784</v>
      </c>
      <c r="U30" s="97">
        <f t="shared" si="30"/>
        <v>0.40837471904998024</v>
      </c>
      <c r="V30" s="97">
        <f t="shared" si="30"/>
        <v>0.40837471904998013</v>
      </c>
      <c r="W30" s="97">
        <f t="shared" si="30"/>
        <v>1</v>
      </c>
      <c r="X30" s="97">
        <f t="shared" si="30"/>
        <v>1</v>
      </c>
    </row>
    <row r="31" spans="2:26">
      <c r="C31" s="99"/>
      <c r="D31" s="99"/>
      <c r="E31" s="99"/>
      <c r="F31" s="99"/>
      <c r="G31" s="99"/>
      <c r="H31" s="99"/>
      <c r="I31" s="99"/>
      <c r="J31" s="99"/>
      <c r="K31" s="99"/>
      <c r="L31" s="99"/>
      <c r="M31" s="99"/>
      <c r="N31" s="99"/>
    </row>
    <row r="32" spans="2:26">
      <c r="B32" s="61" t="s">
        <v>309</v>
      </c>
      <c r="C32" s="84">
        <f>SUM('Quar. as rep.'!E22:E23,'Quar. as rep.'!E25:E27)</f>
        <v>-101519</v>
      </c>
      <c r="D32" s="84">
        <f>SUM('Quar. as rep.'!F22:F23,'Quar. as rep.'!F25:F27)</f>
        <v>-70381</v>
      </c>
      <c r="E32" s="84">
        <f>SUM('Quar. as rep.'!G22:G23,'Quar. as rep.'!G25:G27)</f>
        <v>-179716</v>
      </c>
      <c r="F32" s="84">
        <f>SUM('Quar. as rep.'!H22:H23,'Quar. as rep.'!H25:H27)</f>
        <v>-155248</v>
      </c>
      <c r="G32" s="84">
        <f>SUM('Quar. as rep.'!I22:I23,'Quar. as rep.'!I25:I27)</f>
        <v>-160382</v>
      </c>
      <c r="H32" s="84">
        <f>SUM('Quar. as rep.'!J22:J23,'Quar. as rep.'!J25:J27)</f>
        <v>-232599</v>
      </c>
      <c r="I32" s="84">
        <f>SUM('Quar. as rep.'!K22:K23,'Quar. as rep.'!K25:K27)</f>
        <v>-150893</v>
      </c>
      <c r="J32" s="99">
        <f t="shared" ref="J32:N32" si="31">T32</f>
        <v>-650893</v>
      </c>
      <c r="K32" s="99">
        <f t="shared" si="31"/>
        <v>-500000</v>
      </c>
      <c r="L32" s="99">
        <f t="shared" si="31"/>
        <v>-500000</v>
      </c>
      <c r="M32" s="99">
        <f t="shared" si="31"/>
        <v>0</v>
      </c>
      <c r="N32" s="99">
        <f t="shared" si="31"/>
        <v>0</v>
      </c>
      <c r="P32" s="75" t="str">
        <f t="shared" ref="P32" si="32">B32</f>
        <v>Other income/(expense), net</v>
      </c>
      <c r="Q32" s="86"/>
      <c r="R32" s="86"/>
      <c r="S32" s="86"/>
      <c r="T32" s="93">
        <f>I32-500000</f>
        <v>-650893</v>
      </c>
      <c r="U32" s="93">
        <v>-500000</v>
      </c>
      <c r="V32" s="93">
        <v>-500000</v>
      </c>
      <c r="W32" s="93"/>
      <c r="X32" s="93"/>
      <c r="Z32" s="61" t="s">
        <v>872</v>
      </c>
    </row>
    <row r="33" spans="2:26">
      <c r="B33" s="75"/>
      <c r="C33" s="86"/>
      <c r="D33" s="86"/>
      <c r="E33" s="86"/>
      <c r="F33" s="86"/>
      <c r="G33" s="86"/>
      <c r="H33" s="86"/>
      <c r="I33" s="103"/>
      <c r="J33" s="103"/>
      <c r="K33" s="103"/>
      <c r="L33" s="103"/>
      <c r="M33" s="103"/>
      <c r="N33" s="103"/>
      <c r="P33" s="75"/>
      <c r="Q33" s="86"/>
      <c r="R33" s="86"/>
      <c r="S33" s="86"/>
      <c r="T33" s="86"/>
      <c r="U33" s="86"/>
      <c r="V33" s="86"/>
      <c r="W33" s="86"/>
      <c r="X33" s="86"/>
    </row>
    <row r="34" spans="2:26">
      <c r="B34" s="75" t="s">
        <v>311</v>
      </c>
      <c r="C34" s="103">
        <f t="shared" ref="C34:N34" si="33">C30+C32</f>
        <v>579112</v>
      </c>
      <c r="D34" s="103">
        <f t="shared" si="33"/>
        <v>634921</v>
      </c>
      <c r="E34" s="103">
        <f t="shared" si="33"/>
        <v>597160</v>
      </c>
      <c r="F34" s="103">
        <f t="shared" si="33"/>
        <v>499621</v>
      </c>
      <c r="G34" s="103">
        <f t="shared" si="33"/>
        <v>290486</v>
      </c>
      <c r="H34" s="103">
        <f t="shared" si="33"/>
        <v>171425</v>
      </c>
      <c r="I34" s="103">
        <f t="shared" si="33"/>
        <v>311154</v>
      </c>
      <c r="J34" s="103">
        <f t="shared" si="33"/>
        <v>-384721.73376693722</v>
      </c>
      <c r="K34" s="103">
        <f t="shared" si="33"/>
        <v>60455.302110428573</v>
      </c>
      <c r="L34" s="103">
        <f t="shared" si="33"/>
        <v>-46118.942557067203</v>
      </c>
      <c r="M34" s="103">
        <f t="shared" si="33"/>
        <v>1131429</v>
      </c>
      <c r="N34" s="103">
        <f t="shared" si="33"/>
        <v>965940.59999999986</v>
      </c>
      <c r="P34" s="75" t="s">
        <v>312</v>
      </c>
      <c r="Q34" s="87">
        <f t="shared" ref="Q34:X34" si="34">G34/G$7</f>
        <v>0.27351674747020127</v>
      </c>
      <c r="R34" s="87">
        <f t="shared" si="34"/>
        <v>0.16161893286721463</v>
      </c>
      <c r="S34" s="87">
        <f t="shared" si="34"/>
        <v>0.27500974431449077</v>
      </c>
      <c r="T34" s="87">
        <f t="shared" si="34"/>
        <v>-0.39828715530430886</v>
      </c>
      <c r="U34" s="87">
        <f t="shared" si="34"/>
        <v>4.4050644041482359E-2</v>
      </c>
      <c r="V34" s="87">
        <f t="shared" si="34"/>
        <v>-4.1495034658926032E-2</v>
      </c>
      <c r="W34" s="87">
        <f t="shared" si="34"/>
        <v>1</v>
      </c>
      <c r="X34" s="87">
        <f t="shared" si="34"/>
        <v>1</v>
      </c>
    </row>
    <row r="35" spans="2:26">
      <c r="B35" s="98" t="s">
        <v>313</v>
      </c>
      <c r="C35" s="84">
        <f>-'Quar. as rep.'!E24</f>
        <v>7010</v>
      </c>
      <c r="D35" s="84">
        <f>-'Quar. as rep.'!F24</f>
        <v>6197</v>
      </c>
      <c r="E35" s="84">
        <f>-'Quar. as rep.'!G24</f>
        <v>6744</v>
      </c>
      <c r="F35" s="84">
        <f>-'Quar. as rep.'!H24</f>
        <v>-5783</v>
      </c>
      <c r="G35" s="84">
        <f>-'Quar. as rep.'!I24</f>
        <v>-62</v>
      </c>
      <c r="H35" s="84">
        <f>-'Quar. as rep.'!J24</f>
        <v>2779</v>
      </c>
      <c r="I35" s="84">
        <f>-'Quar. as rep.'!K24</f>
        <v>-1572</v>
      </c>
      <c r="J35" s="86">
        <f>J34*T35</f>
        <v>1943.6760108551564</v>
      </c>
      <c r="K35" s="86">
        <f t="shared" ref="K35:N35" si="35">K34*U35</f>
        <v>-305.42989939899121</v>
      </c>
      <c r="L35" s="86">
        <f t="shared" si="35"/>
        <v>233.00030756380971</v>
      </c>
      <c r="M35" s="86">
        <f t="shared" si="35"/>
        <v>0</v>
      </c>
      <c r="N35" s="86">
        <f t="shared" si="35"/>
        <v>0</v>
      </c>
      <c r="P35" s="75" t="s">
        <v>314</v>
      </c>
      <c r="Q35" s="87">
        <f>IFERROR(G35/G34,"")</f>
        <v>-2.1343541513188242E-4</v>
      </c>
      <c r="R35" s="87">
        <f t="shared" ref="R35:S35" si="36">IFERROR(H35/H34,"")</f>
        <v>1.6211171066063877E-2</v>
      </c>
      <c r="S35" s="87">
        <f t="shared" si="36"/>
        <v>-5.0521606664224146E-3</v>
      </c>
      <c r="T35" s="88">
        <f>S35</f>
        <v>-5.0521606664224146E-3</v>
      </c>
      <c r="U35" s="88">
        <f t="shared" ref="U35:V35" si="37">T35</f>
        <v>-5.0521606664224146E-3</v>
      </c>
      <c r="V35" s="88">
        <f t="shared" si="37"/>
        <v>-5.0521606664224146E-3</v>
      </c>
      <c r="W35" s="88"/>
      <c r="X35" s="88"/>
    </row>
    <row r="36" spans="2:26">
      <c r="B36" s="75"/>
      <c r="C36" s="86"/>
      <c r="D36" s="86"/>
      <c r="E36" s="86"/>
      <c r="F36" s="86"/>
      <c r="G36" s="86"/>
      <c r="H36" s="86"/>
      <c r="I36" s="87"/>
      <c r="J36" s="86"/>
      <c r="K36" s="86"/>
      <c r="L36" s="86"/>
      <c r="M36" s="86"/>
      <c r="N36" s="86"/>
    </row>
    <row r="37" spans="2:26">
      <c r="B37" s="75" t="s">
        <v>891</v>
      </c>
      <c r="C37" s="84">
        <f>-SUM('Quar. as rep.'!E29:E30)</f>
        <v>-76778</v>
      </c>
      <c r="D37" s="84">
        <f>-SUM('Quar. as rep.'!F29:F30)</f>
        <v>-84470</v>
      </c>
      <c r="E37" s="84">
        <f>-SUM('Quar. as rep.'!G29:G30)</f>
        <v>-80222</v>
      </c>
      <c r="F37" s="84">
        <f>-SUM('Quar. as rep.'!H29:H30)</f>
        <v>-67799</v>
      </c>
      <c r="G37" s="84">
        <f>-SUM('Quar. as rep.'!I29:I30)</f>
        <v>-36335</v>
      </c>
      <c r="H37" s="84">
        <f>-SUM('Quar. as rep.'!J29:J30)</f>
        <v>-22720</v>
      </c>
      <c r="I37" s="84">
        <f>-SUM('Quar. as rep.'!K29:K30)</f>
        <v>-41243</v>
      </c>
      <c r="J37" s="86">
        <f t="shared" ref="J37:N37" si="38">T37</f>
        <v>-200000</v>
      </c>
      <c r="K37" s="86">
        <f t="shared" si="38"/>
        <v>-320000</v>
      </c>
      <c r="L37" s="86">
        <f t="shared" si="38"/>
        <v>-330000</v>
      </c>
      <c r="M37" s="86">
        <f t="shared" si="38"/>
        <v>0</v>
      </c>
      <c r="N37" s="86">
        <f t="shared" si="38"/>
        <v>0</v>
      </c>
      <c r="P37" s="75" t="str">
        <f>B37</f>
        <v>Minority interest+Prefered share dividend</v>
      </c>
      <c r="Q37" s="86"/>
      <c r="R37" s="86"/>
      <c r="S37" s="86"/>
      <c r="T37" s="93">
        <v>-200000</v>
      </c>
      <c r="U37" s="93">
        <v>-320000</v>
      </c>
      <c r="V37" s="93">
        <v>-330000</v>
      </c>
      <c r="W37" s="93">
        <v>0</v>
      </c>
      <c r="X37" s="93">
        <v>0</v>
      </c>
      <c r="Z37" s="61" t="s">
        <v>317</v>
      </c>
    </row>
    <row r="38" spans="2:26">
      <c r="B38" s="75"/>
      <c r="C38" s="86"/>
      <c r="D38" s="86"/>
      <c r="E38" s="86"/>
      <c r="F38" s="86"/>
      <c r="G38" s="86"/>
      <c r="H38" s="86"/>
      <c r="I38" s="86"/>
      <c r="J38" s="86"/>
      <c r="K38" s="86"/>
      <c r="L38" s="86"/>
      <c r="M38" s="86"/>
      <c r="N38" s="86"/>
    </row>
    <row r="39" spans="2:26" s="74" customFormat="1" ht="14.5" thickBot="1">
      <c r="B39" s="96" t="s">
        <v>318</v>
      </c>
      <c r="C39" s="104">
        <f>C34-C35+C37</f>
        <v>495324</v>
      </c>
      <c r="D39" s="104">
        <f t="shared" ref="D39:N39" si="39">D34-D35+D37</f>
        <v>544254</v>
      </c>
      <c r="E39" s="104">
        <f t="shared" si="39"/>
        <v>510194</v>
      </c>
      <c r="F39" s="104">
        <f t="shared" si="39"/>
        <v>437605</v>
      </c>
      <c r="G39" s="104">
        <f t="shared" si="39"/>
        <v>254213</v>
      </c>
      <c r="H39" s="104">
        <f t="shared" si="39"/>
        <v>145926</v>
      </c>
      <c r="I39" s="104">
        <f>I34-I35+I37</f>
        <v>271483</v>
      </c>
      <c r="J39" s="104">
        <f t="shared" si="39"/>
        <v>-586665.4097777924</v>
      </c>
      <c r="K39" s="104">
        <f t="shared" si="39"/>
        <v>-259239.26799017243</v>
      </c>
      <c r="L39" s="104">
        <f t="shared" si="39"/>
        <v>-376351.94286463101</v>
      </c>
      <c r="M39" s="104">
        <f t="shared" si="39"/>
        <v>1131429</v>
      </c>
      <c r="N39" s="104">
        <f t="shared" si="39"/>
        <v>965940.59999999986</v>
      </c>
      <c r="P39" s="75" t="s">
        <v>319</v>
      </c>
      <c r="Q39" s="87">
        <f t="shared" ref="Q39:X39" si="40">G39/G$7</f>
        <v>0.23936269880353017</v>
      </c>
      <c r="R39" s="87">
        <f t="shared" si="40"/>
        <v>0.13757855853919301</v>
      </c>
      <c r="S39" s="87">
        <f t="shared" si="40"/>
        <v>0.23994700507057889</v>
      </c>
      <c r="T39" s="87">
        <f t="shared" si="40"/>
        <v>-0.60735143525160085</v>
      </c>
      <c r="U39" s="87">
        <f t="shared" si="40"/>
        <v>-0.18889421303279932</v>
      </c>
      <c r="V39" s="87">
        <f t="shared" si="40"/>
        <v>-0.33861871168875979</v>
      </c>
      <c r="W39" s="87">
        <f t="shared" si="40"/>
        <v>1</v>
      </c>
      <c r="X39" s="87">
        <f t="shared" si="40"/>
        <v>1</v>
      </c>
    </row>
    <row r="40" spans="2:26">
      <c r="C40" s="86"/>
      <c r="D40" s="86"/>
      <c r="E40" s="86"/>
      <c r="F40" s="86"/>
      <c r="G40" s="86"/>
      <c r="H40" s="86"/>
      <c r="I40" s="86"/>
      <c r="J40" s="99"/>
      <c r="K40" s="99"/>
      <c r="L40" s="99"/>
      <c r="M40" s="99"/>
      <c r="N40" s="99"/>
    </row>
    <row r="41" spans="2:26" s="79" customFormat="1" ht="20">
      <c r="B41" s="76" t="s">
        <v>320</v>
      </c>
      <c r="C41" s="77"/>
      <c r="D41" s="77"/>
      <c r="E41" s="77"/>
      <c r="F41" s="77"/>
      <c r="G41" s="77"/>
      <c r="H41" s="77"/>
      <c r="I41" s="77"/>
      <c r="J41" s="77"/>
      <c r="K41" s="77"/>
      <c r="L41" s="77"/>
      <c r="M41" s="77"/>
      <c r="N41" s="77"/>
      <c r="P41" s="73" t="s">
        <v>276</v>
      </c>
    </row>
    <row r="42" spans="2:26">
      <c r="B42" s="75" t="s">
        <v>321</v>
      </c>
      <c r="C42" s="84">
        <f>'Quar. as rep.'!E53</f>
        <v>479776</v>
      </c>
      <c r="D42" s="84">
        <f>'Quar. as rep.'!F53</f>
        <v>3647230</v>
      </c>
      <c r="E42" s="84">
        <f>'Quar. as rep.'!G53</f>
        <v>669373</v>
      </c>
      <c r="F42" s="84">
        <f>'Quar. as rep.'!H53</f>
        <v>3724853</v>
      </c>
      <c r="G42" s="84">
        <f>'Quar. as rep.'!I53</f>
        <v>3306100</v>
      </c>
      <c r="H42" s="84">
        <f>'Quar. as rep.'!J53</f>
        <v>1082313</v>
      </c>
      <c r="I42" s="84">
        <f>'Quar. as rep.'!K53</f>
        <v>1011613</v>
      </c>
      <c r="J42" s="99">
        <f>J105</f>
        <v>964398.14672534727</v>
      </c>
      <c r="K42" s="99">
        <f>K105</f>
        <v>-4845437.822306158</v>
      </c>
      <c r="L42" s="99">
        <f>L105</f>
        <v>-9533845.2592034265</v>
      </c>
      <c r="M42" s="99">
        <f>M105</f>
        <v>-12021590.900620051</v>
      </c>
      <c r="N42" s="99" t="e">
        <f>N105</f>
        <v>#DIV/0!</v>
      </c>
      <c r="P42" s="106" t="s">
        <v>322</v>
      </c>
    </row>
    <row r="43" spans="2:26">
      <c r="B43" s="75" t="s">
        <v>323</v>
      </c>
      <c r="C43" s="84">
        <f>'Quar. as rep.'!E54</f>
        <v>736362</v>
      </c>
      <c r="D43" s="84">
        <f>'Quar. as rep.'!F54</f>
        <v>775617</v>
      </c>
      <c r="E43" s="84">
        <f>'Quar. as rep.'!G54</f>
        <v>832151</v>
      </c>
      <c r="F43" s="84">
        <f>'Quar. as rep.'!H54</f>
        <v>793490</v>
      </c>
      <c r="G43" s="84">
        <f>'Quar. as rep.'!I54</f>
        <v>1457695</v>
      </c>
      <c r="H43" s="84">
        <f>'Quar. as rep.'!J54</f>
        <v>1452295</v>
      </c>
      <c r="I43" s="84">
        <f>'Quar. as rep.'!K54</f>
        <v>1236734</v>
      </c>
      <c r="J43" s="99">
        <f>I43*(J7/I7)+1000000</f>
        <v>2055843.1700092538</v>
      </c>
      <c r="K43" s="99">
        <f>J43*(K7/J7)-1000000</f>
        <v>1920933.6659158599</v>
      </c>
      <c r="L43" s="99">
        <f>K43*(L7/K7)-500000</f>
        <v>1055655.5541191602</v>
      </c>
      <c r="M43" s="99">
        <f>L43*(M7/L7)</f>
        <v>1074648.2449874498</v>
      </c>
      <c r="N43" s="99">
        <f>M43*(N7/M7)</f>
        <v>917464.87897351419</v>
      </c>
      <c r="P43" s="106" t="s">
        <v>324</v>
      </c>
      <c r="Q43" s="136" t="s">
        <v>873</v>
      </c>
    </row>
    <row r="44" spans="2:26">
      <c r="B44" s="75" t="s">
        <v>326</v>
      </c>
      <c r="C44" s="84">
        <v>0</v>
      </c>
      <c r="D44" s="84">
        <v>0</v>
      </c>
      <c r="E44" s="84"/>
      <c r="F44" s="85">
        <v>0</v>
      </c>
      <c r="G44" s="105">
        <v>0</v>
      </c>
      <c r="H44" s="105">
        <v>0</v>
      </c>
      <c r="I44" s="105"/>
      <c r="J44" s="99">
        <f>I44*(J14/I14)</f>
        <v>0</v>
      </c>
      <c r="K44" s="99">
        <f>J44*(K14/J14)</f>
        <v>0</v>
      </c>
      <c r="L44" s="99">
        <f>K44*(L14/K14)</f>
        <v>0</v>
      </c>
      <c r="M44" s="99">
        <f>L44*(M14/L14)</f>
        <v>0</v>
      </c>
      <c r="N44" s="99" t="e">
        <f>M44*(N14/M14)</f>
        <v>#DIV/0!</v>
      </c>
      <c r="P44" s="106" t="s">
        <v>327</v>
      </c>
    </row>
    <row r="45" spans="2:26">
      <c r="B45" s="75" t="s">
        <v>328</v>
      </c>
      <c r="C45" s="84">
        <v>0</v>
      </c>
      <c r="D45" s="84">
        <v>0</v>
      </c>
      <c r="E45" s="84"/>
      <c r="F45" s="85">
        <v>0</v>
      </c>
      <c r="G45" s="105">
        <v>0</v>
      </c>
      <c r="H45" s="105">
        <v>0</v>
      </c>
      <c r="I45" s="105"/>
      <c r="J45" s="107">
        <f>I45*(J23/I23)</f>
        <v>0</v>
      </c>
      <c r="K45" s="107">
        <f>J45*(K23/J23)</f>
        <v>0</v>
      </c>
      <c r="L45" s="107">
        <f>K45*(L23/K23)</f>
        <v>0</v>
      </c>
      <c r="M45" s="107">
        <f>L45*(M23/L23)</f>
        <v>0</v>
      </c>
      <c r="N45" s="107" t="e">
        <f>M45*(N23/M23)</f>
        <v>#DIV/0!</v>
      </c>
      <c r="P45" s="106" t="s">
        <v>329</v>
      </c>
    </row>
    <row r="46" spans="2:26">
      <c r="B46" s="96" t="s">
        <v>330</v>
      </c>
      <c r="C46" s="108">
        <f t="shared" ref="C46:N46" si="41">SUM(C42:C45)</f>
        <v>1216138</v>
      </c>
      <c r="D46" s="108">
        <f t="shared" si="41"/>
        <v>4422847</v>
      </c>
      <c r="E46" s="108">
        <f t="shared" si="41"/>
        <v>1501524</v>
      </c>
      <c r="F46" s="108">
        <f t="shared" si="41"/>
        <v>4518343</v>
      </c>
      <c r="G46" s="108">
        <f t="shared" si="41"/>
        <v>4763795</v>
      </c>
      <c r="H46" s="108">
        <f t="shared" si="41"/>
        <v>2534608</v>
      </c>
      <c r="I46" s="108">
        <f t="shared" si="41"/>
        <v>2248347</v>
      </c>
      <c r="J46" s="108">
        <f t="shared" si="41"/>
        <v>3020241.3167346008</v>
      </c>
      <c r="K46" s="108">
        <f t="shared" si="41"/>
        <v>-2924504.1563902982</v>
      </c>
      <c r="L46" s="108">
        <f t="shared" si="41"/>
        <v>-8478189.7050842661</v>
      </c>
      <c r="M46" s="108">
        <f t="shared" si="41"/>
        <v>-10946942.6556326</v>
      </c>
      <c r="N46" s="108" t="e">
        <f t="shared" si="41"/>
        <v>#DIV/0!</v>
      </c>
    </row>
    <row r="47" spans="2:26">
      <c r="B47" s="75"/>
      <c r="C47" s="86"/>
      <c r="D47" s="86"/>
      <c r="E47" s="86"/>
      <c r="F47" s="86"/>
      <c r="G47" s="86"/>
      <c r="H47" s="99"/>
      <c r="I47" s="99"/>
      <c r="J47" s="99"/>
      <c r="K47" s="99"/>
      <c r="L47" s="99"/>
      <c r="M47" s="99"/>
      <c r="N47" s="99"/>
    </row>
    <row r="48" spans="2:26">
      <c r="B48" s="75" t="s">
        <v>331</v>
      </c>
      <c r="C48" s="84">
        <f>'Quar. as rep.'!E52</f>
        <v>24014634</v>
      </c>
      <c r="D48" s="84">
        <f>'Quar. as rep.'!F52</f>
        <v>23882229</v>
      </c>
      <c r="E48" s="84">
        <f>'Quar. as rep.'!G52</f>
        <v>23898719</v>
      </c>
      <c r="F48" s="84">
        <f>'Quar. as rep.'!H52</f>
        <v>23812658</v>
      </c>
      <c r="G48" s="84">
        <f>'Quar. as rep.'!I52</f>
        <v>23582284</v>
      </c>
      <c r="H48" s="84">
        <f>'Quar. as rep.'!J52</f>
        <v>23381907</v>
      </c>
      <c r="I48" s="84">
        <f>'Quar. as rep.'!K52</f>
        <v>23158259</v>
      </c>
      <c r="J48" s="99">
        <f>I48-J75-J90</f>
        <v>23303150.09</v>
      </c>
      <c r="K48" s="99">
        <f>J48-K75-K90</f>
        <v>23509010.765000001</v>
      </c>
      <c r="L48" s="99">
        <f>K48-L75-L90</f>
        <v>23675725.685000002</v>
      </c>
      <c r="M48" s="99">
        <f>L48-M75-M90</f>
        <v>23845440.035000004</v>
      </c>
      <c r="N48" s="99">
        <f>M48-N75-N90</f>
        <v>23990331.125000004</v>
      </c>
      <c r="P48" s="106" t="s">
        <v>332</v>
      </c>
    </row>
    <row r="49" spans="2:26">
      <c r="B49" s="75" t="s">
        <v>333</v>
      </c>
      <c r="C49" s="84">
        <v>0</v>
      </c>
      <c r="D49" s="84">
        <v>0</v>
      </c>
      <c r="E49" s="84"/>
      <c r="F49" s="85">
        <v>0</v>
      </c>
      <c r="G49" s="105">
        <v>0</v>
      </c>
      <c r="H49" s="105">
        <v>0</v>
      </c>
      <c r="I49" s="105"/>
      <c r="J49" s="99">
        <f>I49-J77-J91</f>
        <v>0</v>
      </c>
      <c r="K49" s="99">
        <f>J49-K77-K91</f>
        <v>0</v>
      </c>
      <c r="L49" s="99">
        <f>K49-L77-L91</f>
        <v>0</v>
      </c>
      <c r="M49" s="99">
        <f>L49-M77-M91</f>
        <v>0</v>
      </c>
      <c r="N49" s="99">
        <f>M49-N77-N91</f>
        <v>0</v>
      </c>
      <c r="P49" s="106" t="s">
        <v>334</v>
      </c>
    </row>
    <row r="50" spans="2:26">
      <c r="B50" s="75" t="s">
        <v>335</v>
      </c>
      <c r="C50" s="84">
        <v>0</v>
      </c>
      <c r="D50" s="84">
        <v>0</v>
      </c>
      <c r="E50" s="84"/>
      <c r="F50" s="85">
        <v>0</v>
      </c>
      <c r="G50" s="105">
        <v>0</v>
      </c>
      <c r="H50" s="105">
        <v>0</v>
      </c>
      <c r="I50" s="105"/>
      <c r="J50" s="99">
        <f>I50</f>
        <v>0</v>
      </c>
      <c r="K50" s="99">
        <f>J50</f>
        <v>0</v>
      </c>
      <c r="L50" s="99">
        <f>K50</f>
        <v>0</v>
      </c>
      <c r="M50" s="99">
        <f>L50</f>
        <v>0</v>
      </c>
      <c r="N50" s="99">
        <f>M50</f>
        <v>0</v>
      </c>
      <c r="P50" s="106" t="s">
        <v>336</v>
      </c>
    </row>
    <row r="51" spans="2:26">
      <c r="B51" s="75" t="s">
        <v>337</v>
      </c>
      <c r="C51" s="84">
        <v>0</v>
      </c>
      <c r="D51" s="84">
        <v>0</v>
      </c>
      <c r="E51" s="84"/>
      <c r="F51" s="85">
        <v>0</v>
      </c>
      <c r="G51" s="105">
        <v>0</v>
      </c>
      <c r="H51" s="105">
        <v>0</v>
      </c>
      <c r="I51" s="105"/>
      <c r="J51" s="99">
        <f>I51-J76</f>
        <v>0</v>
      </c>
      <c r="K51" s="99">
        <f>J51-K76</f>
        <v>0</v>
      </c>
      <c r="L51" s="99">
        <f>K51-L76</f>
        <v>0</v>
      </c>
      <c r="M51" s="99">
        <f>L51-M76</f>
        <v>0</v>
      </c>
      <c r="N51" s="99">
        <f>M51-N76</f>
        <v>0</v>
      </c>
      <c r="P51" s="106" t="s">
        <v>338</v>
      </c>
    </row>
    <row r="52" spans="2:26">
      <c r="B52" s="75" t="s">
        <v>339</v>
      </c>
      <c r="C52" s="84">
        <f>SUM('Quar. as rep.'!E58:E59)</f>
        <v>1641996</v>
      </c>
      <c r="D52" s="84">
        <f>SUM('Quar. as rep.'!F58:F59)</f>
        <v>1803483</v>
      </c>
      <c r="E52" s="84">
        <f>SUM('Quar. as rep.'!G58:G59)</f>
        <v>1728685</v>
      </c>
      <c r="F52" s="84">
        <f>SUM('Quar. as rep.'!H58:H59)</f>
        <v>1747128</v>
      </c>
      <c r="G52" s="84">
        <f>SUM('Quar. as rep.'!I58:I59)</f>
        <v>1650125</v>
      </c>
      <c r="H52" s="84">
        <f>SUM('Quar. as rep.'!J58:J59)</f>
        <v>1654045</v>
      </c>
      <c r="I52" s="84">
        <f>SUM('Quar. as rep.'!K58:K59)</f>
        <v>1595082</v>
      </c>
      <c r="J52" s="99">
        <f>I52*(J7/I7)</f>
        <v>1361777.4196429469</v>
      </c>
      <c r="K52" s="99">
        <f>J52*(K7/J7)</f>
        <v>1934807.853315586</v>
      </c>
      <c r="L52" s="99">
        <f>K52*(L7/K7)</f>
        <v>1566891.4739586844</v>
      </c>
      <c r="M52" s="99">
        <f>L52*(M7/L7)</f>
        <v>1595082.0000000002</v>
      </c>
      <c r="N52" s="99">
        <f>M52*(N7/M7)</f>
        <v>1361777.4196429471</v>
      </c>
      <c r="P52" s="106" t="s">
        <v>324</v>
      </c>
    </row>
    <row r="53" spans="2:26">
      <c r="B53" s="98" t="s">
        <v>340</v>
      </c>
      <c r="C53" s="84">
        <f>SUM('Quar. as rep.'!E55:E57)</f>
        <v>3860147</v>
      </c>
      <c r="D53" s="84">
        <f>SUM('Quar. as rep.'!F55:F57)</f>
        <v>3735667</v>
      </c>
      <c r="E53" s="84">
        <f>SUM('Quar. as rep.'!G55:G57)</f>
        <v>4102702</v>
      </c>
      <c r="F53" s="84">
        <f>SUM('Quar. as rep.'!H55:H57)</f>
        <v>4042985</v>
      </c>
      <c r="G53" s="84">
        <f>SUM('Quar. as rep.'!I55:I57)</f>
        <v>4029966</v>
      </c>
      <c r="H53" s="84">
        <f>SUM('Quar. as rep.'!J55:J57)</f>
        <v>4091015</v>
      </c>
      <c r="I53" s="84">
        <f>SUM('Quar. as rep.'!K55:K57)</f>
        <v>7785158</v>
      </c>
      <c r="J53" s="99">
        <f>I53-J92</f>
        <v>7885158</v>
      </c>
      <c r="K53" s="99">
        <f>J53-K92</f>
        <v>7985158</v>
      </c>
      <c r="L53" s="99">
        <f>K53-L92</f>
        <v>7985158</v>
      </c>
      <c r="M53" s="99">
        <f>L53-M92</f>
        <v>7985158</v>
      </c>
      <c r="N53" s="99">
        <f>M53-N92</f>
        <v>7985158</v>
      </c>
      <c r="P53" s="106" t="s">
        <v>336</v>
      </c>
    </row>
    <row r="54" spans="2:26">
      <c r="B54" s="109" t="s">
        <v>341</v>
      </c>
      <c r="C54" s="108">
        <f t="shared" ref="C54:N54" si="42">SUM(C53,C52,C51,C50,C49,C48,C46)</f>
        <v>30732915</v>
      </c>
      <c r="D54" s="108">
        <f t="shared" si="42"/>
        <v>33844226</v>
      </c>
      <c r="E54" s="108">
        <f t="shared" si="42"/>
        <v>31231630</v>
      </c>
      <c r="F54" s="108">
        <f t="shared" si="42"/>
        <v>34121114</v>
      </c>
      <c r="G54" s="108">
        <f t="shared" si="42"/>
        <v>34026170</v>
      </c>
      <c r="H54" s="108">
        <f t="shared" si="42"/>
        <v>31661575</v>
      </c>
      <c r="I54" s="108">
        <f t="shared" si="42"/>
        <v>34786846</v>
      </c>
      <c r="J54" s="108">
        <f t="shared" si="42"/>
        <v>35570326.826377548</v>
      </c>
      <c r="K54" s="108">
        <f t="shared" si="42"/>
        <v>30504472.461925287</v>
      </c>
      <c r="L54" s="108">
        <f t="shared" si="42"/>
        <v>24749585.453874424</v>
      </c>
      <c r="M54" s="108">
        <f t="shared" si="42"/>
        <v>22478737.379367404</v>
      </c>
      <c r="N54" s="108" t="e">
        <f t="shared" si="42"/>
        <v>#DIV/0!</v>
      </c>
      <c r="P54" s="110"/>
    </row>
    <row r="55" spans="2:26">
      <c r="B55" s="75"/>
      <c r="C55" s="86"/>
      <c r="D55" s="86"/>
      <c r="E55" s="86"/>
      <c r="F55" s="86"/>
      <c r="G55" s="86"/>
      <c r="H55" s="86"/>
      <c r="I55" s="86"/>
      <c r="J55" s="99"/>
      <c r="K55" s="99"/>
      <c r="L55" s="99"/>
      <c r="M55" s="99"/>
      <c r="N55" s="99"/>
    </row>
    <row r="56" spans="2:26">
      <c r="B56" s="75" t="s">
        <v>342</v>
      </c>
      <c r="C56" s="84">
        <f>'Quar. as rep.'!E63</f>
        <v>1227799</v>
      </c>
      <c r="D56" s="84">
        <f>'Quar. as rep.'!F63</f>
        <v>1324110</v>
      </c>
      <c r="E56" s="84">
        <f>'Quar. as rep.'!G63</f>
        <v>1390682</v>
      </c>
      <c r="F56" s="84">
        <f>'Quar. as rep.'!H63</f>
        <v>1253757</v>
      </c>
      <c r="G56" s="84">
        <f>'Quar. as rep.'!I63</f>
        <v>1216831</v>
      </c>
      <c r="H56" s="84">
        <f>'Quar. as rep.'!J63</f>
        <v>1299062</v>
      </c>
      <c r="I56" s="84">
        <f>'Quar. as rep.'!K63</f>
        <v>1311925</v>
      </c>
      <c r="J56" s="107">
        <f>I56*(J23/I23)</f>
        <v>1409139.1531479869</v>
      </c>
      <c r="K56" s="107">
        <f>J56*(K23/J23)</f>
        <v>1591343.1365666778</v>
      </c>
      <c r="L56" s="107">
        <f>K56*(L23/K23)</f>
        <v>1288738.8215610525</v>
      </c>
      <c r="M56" s="107">
        <f>L56*(M23/L23)</f>
        <v>0</v>
      </c>
      <c r="N56" s="107" t="e">
        <f>M56*(N23/M23)</f>
        <v>#DIV/0!</v>
      </c>
      <c r="P56" s="106" t="s">
        <v>329</v>
      </c>
    </row>
    <row r="57" spans="2:26">
      <c r="B57" s="75" t="s">
        <v>343</v>
      </c>
      <c r="C57" s="84">
        <v>1471934</v>
      </c>
      <c r="D57" s="84">
        <v>1364010</v>
      </c>
      <c r="E57" s="84">
        <v>2857060</v>
      </c>
      <c r="F57" s="85">
        <v>2507327</v>
      </c>
      <c r="G57" s="105">
        <v>2181216</v>
      </c>
      <c r="H57" s="105">
        <v>1032423</v>
      </c>
      <c r="I57" s="105">
        <f>3408470-1118689</f>
        <v>2289781</v>
      </c>
      <c r="J57" s="107">
        <f>I57*(J23/I23)</f>
        <v>2459454.6633644076</v>
      </c>
      <c r="K57" s="107">
        <f>J57*(K23/J23)</f>
        <v>2777466.1498109908</v>
      </c>
      <c r="L57" s="107">
        <f>K57*(L23/K23)</f>
        <v>2249312.7789872806</v>
      </c>
      <c r="M57" s="107">
        <f>L57*(M23/L23)</f>
        <v>0</v>
      </c>
      <c r="N57" s="107" t="e">
        <f>M57*(N23/M23)</f>
        <v>#DIV/0!</v>
      </c>
      <c r="P57" s="106" t="s">
        <v>329</v>
      </c>
    </row>
    <row r="58" spans="2:26">
      <c r="B58" s="75" t="s">
        <v>344</v>
      </c>
      <c r="C58" s="84">
        <v>0</v>
      </c>
      <c r="D58" s="84">
        <v>0</v>
      </c>
      <c r="E58" s="84"/>
      <c r="F58" s="85">
        <v>0</v>
      </c>
      <c r="G58" s="105">
        <v>0</v>
      </c>
      <c r="H58" s="105">
        <v>0</v>
      </c>
      <c r="I58" s="105"/>
      <c r="J58" s="107">
        <f>I58*(J23/I23)</f>
        <v>0</v>
      </c>
      <c r="K58" s="107">
        <f>J58*(K23/J23)</f>
        <v>0</v>
      </c>
      <c r="L58" s="107">
        <f>K58*(L23/K23)</f>
        <v>0</v>
      </c>
      <c r="M58" s="107">
        <f>L58*(M23/L23)</f>
        <v>0</v>
      </c>
      <c r="N58" s="107" t="e">
        <f>M58*(N23/M23)</f>
        <v>#DIV/0!</v>
      </c>
      <c r="P58" s="106" t="s">
        <v>329</v>
      </c>
    </row>
    <row r="59" spans="2:26">
      <c r="B59" s="96" t="s">
        <v>345</v>
      </c>
      <c r="C59" s="108">
        <f t="shared" ref="C59:N59" si="43">SUM(C56:C58)</f>
        <v>2699733</v>
      </c>
      <c r="D59" s="108">
        <f t="shared" si="43"/>
        <v>2688120</v>
      </c>
      <c r="E59" s="108">
        <f t="shared" si="43"/>
        <v>4247742</v>
      </c>
      <c r="F59" s="108">
        <f t="shared" si="43"/>
        <v>3761084</v>
      </c>
      <c r="G59" s="108">
        <f t="shared" si="43"/>
        <v>3398047</v>
      </c>
      <c r="H59" s="108">
        <f t="shared" si="43"/>
        <v>2331485</v>
      </c>
      <c r="I59" s="108">
        <f t="shared" si="43"/>
        <v>3601706</v>
      </c>
      <c r="J59" s="108">
        <f t="shared" si="43"/>
        <v>3868593.8165123947</v>
      </c>
      <c r="K59" s="108">
        <f t="shared" si="43"/>
        <v>4368809.2863776684</v>
      </c>
      <c r="L59" s="108">
        <f t="shared" si="43"/>
        <v>3538051.600548333</v>
      </c>
      <c r="M59" s="108">
        <f t="shared" si="43"/>
        <v>0</v>
      </c>
      <c r="N59" s="108" t="e">
        <f t="shared" si="43"/>
        <v>#DIV/0!</v>
      </c>
      <c r="P59" s="110"/>
    </row>
    <row r="60" spans="2:26">
      <c r="B60" s="75"/>
      <c r="C60" s="86"/>
      <c r="D60" s="86"/>
      <c r="E60" s="86"/>
      <c r="F60" s="86"/>
      <c r="G60" s="86"/>
      <c r="H60" s="99"/>
      <c r="I60" s="99"/>
      <c r="J60" s="99"/>
      <c r="K60" s="99"/>
      <c r="L60" s="99"/>
      <c r="M60" s="99"/>
      <c r="N60" s="99"/>
    </row>
    <row r="61" spans="2:26">
      <c r="B61" s="75" t="s">
        <v>346</v>
      </c>
      <c r="C61" s="84">
        <f>-'Model Quar. 20Q4'!C57+'Quar. as rep.'!E62</f>
        <v>21852745</v>
      </c>
      <c r="D61" s="84">
        <f>-'Model Quar. 20Q4'!D57+'Quar. as rep.'!F62</f>
        <v>25279869</v>
      </c>
      <c r="E61" s="84">
        <f>-'Model Quar. 20Q4'!E57+'Quar. as rep.'!G62</f>
        <v>21306170</v>
      </c>
      <c r="F61" s="84">
        <f>-'Model Quar. 20Q4'!F57+'Quar. as rep.'!H62</f>
        <v>25046086</v>
      </c>
      <c r="G61" s="84">
        <f>-'Model Quar. 20Q4'!G57+'Quar. as rep.'!I62</f>
        <v>25087667</v>
      </c>
      <c r="H61" s="84">
        <f>-'Model Quar. 20Q4'!H57+'Quar. as rep.'!J62</f>
        <v>24107259</v>
      </c>
      <c r="I61" s="84">
        <f>-'Model Quar. 20Q4'!I57+'Quar. as rep.'!K62</f>
        <v>24433580</v>
      </c>
      <c r="J61" s="99">
        <f>T61</f>
        <v>28000000</v>
      </c>
      <c r="K61" s="99">
        <f>U61</f>
        <v>25000000</v>
      </c>
      <c r="L61" s="99">
        <f>V61</f>
        <v>24000000</v>
      </c>
      <c r="M61" s="99">
        <f>W61</f>
        <v>24000000</v>
      </c>
      <c r="N61" s="99">
        <f>X61</f>
        <v>24000000</v>
      </c>
      <c r="P61" s="111" t="s">
        <v>346</v>
      </c>
      <c r="Q61" s="86"/>
      <c r="R61" s="99"/>
      <c r="S61" s="99"/>
      <c r="T61" s="93">
        <v>28000000</v>
      </c>
      <c r="U61" s="93">
        <v>25000000</v>
      </c>
      <c r="V61" s="93">
        <v>24000000</v>
      </c>
      <c r="W61" s="93">
        <f t="shared" ref="W61:X61" si="44">V61</f>
        <v>24000000</v>
      </c>
      <c r="X61" s="93">
        <f t="shared" si="44"/>
        <v>24000000</v>
      </c>
      <c r="Z61" s="61" t="s">
        <v>874</v>
      </c>
    </row>
    <row r="62" spans="2:26">
      <c r="B62" s="75" t="s">
        <v>348</v>
      </c>
      <c r="C62" s="84">
        <f>SUM('Quar. as rep.'!E64:E67)</f>
        <v>2585440</v>
      </c>
      <c r="D62" s="84">
        <f>SUM('Quar. as rep.'!F64:F67)</f>
        <v>2569198</v>
      </c>
      <c r="E62" s="84">
        <f>SUM('Quar. as rep.'!G64:G67)</f>
        <v>2547407</v>
      </c>
      <c r="F62" s="84">
        <f>SUM('Quar. as rep.'!H64:H67)</f>
        <v>2590797</v>
      </c>
      <c r="G62" s="84">
        <f>SUM('Quar. as rep.'!I64:I67)</f>
        <v>3017625</v>
      </c>
      <c r="H62" s="84">
        <f>SUM('Quar. as rep.'!J64:J67)</f>
        <v>3019422</v>
      </c>
      <c r="I62" s="84">
        <f>SUM('Quar. as rep.'!K64:K67)</f>
        <v>3093322</v>
      </c>
      <c r="J62" s="99">
        <f>I62+J52-I52</f>
        <v>2860017.4196429467</v>
      </c>
      <c r="K62" s="99">
        <f>J62+K52-J52</f>
        <v>3433047.8533155862</v>
      </c>
      <c r="L62" s="99">
        <f>K62+L52-K52</f>
        <v>3065131.4739586841</v>
      </c>
      <c r="M62" s="99">
        <f>L62+M52-L52</f>
        <v>3093322</v>
      </c>
      <c r="N62" s="99">
        <f>M62+N52-M52</f>
        <v>2860017.4196429476</v>
      </c>
      <c r="P62" s="106" t="s">
        <v>349</v>
      </c>
    </row>
    <row r="63" spans="2:26">
      <c r="B63" s="96" t="s">
        <v>350</v>
      </c>
      <c r="C63" s="108">
        <f t="shared" ref="C63:N63" si="45">SUM(C62,C61,C59)</f>
        <v>27137918</v>
      </c>
      <c r="D63" s="108">
        <f t="shared" si="45"/>
        <v>30537187</v>
      </c>
      <c r="E63" s="108">
        <f t="shared" si="45"/>
        <v>28101319</v>
      </c>
      <c r="F63" s="108">
        <f t="shared" si="45"/>
        <v>31397967</v>
      </c>
      <c r="G63" s="108">
        <f t="shared" si="45"/>
        <v>31503339</v>
      </c>
      <c r="H63" s="112">
        <f t="shared" si="45"/>
        <v>29458166</v>
      </c>
      <c r="I63" s="112">
        <f t="shared" si="45"/>
        <v>31128608</v>
      </c>
      <c r="J63" s="112">
        <f t="shared" si="45"/>
        <v>34728611.236155346</v>
      </c>
      <c r="K63" s="112">
        <f t="shared" si="45"/>
        <v>32801857.139693253</v>
      </c>
      <c r="L63" s="112">
        <f t="shared" si="45"/>
        <v>30603183.07450702</v>
      </c>
      <c r="M63" s="112">
        <f t="shared" si="45"/>
        <v>27093322</v>
      </c>
      <c r="N63" s="112" t="e">
        <f t="shared" si="45"/>
        <v>#DIV/0!</v>
      </c>
      <c r="P63" s="110"/>
    </row>
    <row r="64" spans="2:26">
      <c r="B64" s="75"/>
      <c r="C64" s="86"/>
      <c r="D64" s="86"/>
      <c r="E64" s="86"/>
      <c r="F64" s="86"/>
      <c r="G64" s="86"/>
      <c r="H64" s="86"/>
      <c r="I64" s="86"/>
      <c r="J64" s="99"/>
      <c r="K64" s="99"/>
      <c r="L64" s="99"/>
      <c r="M64" s="99"/>
      <c r="N64" s="99"/>
    </row>
    <row r="65" spans="2:25">
      <c r="B65" s="75" t="s">
        <v>351</v>
      </c>
      <c r="C65" s="84">
        <f>'Quar. as rep.'!E74+'Quar. as rep.'!E76</f>
        <v>9723410</v>
      </c>
      <c r="D65" s="84">
        <f>'Quar. as rep.'!F74+'Quar. as rep.'!F76</f>
        <v>9748287</v>
      </c>
      <c r="E65" s="84">
        <f>'Quar. as rep.'!G74+'Quar. as rep.'!G76</f>
        <v>9756105</v>
      </c>
      <c r="F65" s="84">
        <f>'Quar. as rep.'!H74+'Quar. as rep.'!H76</f>
        <v>9768207</v>
      </c>
      <c r="G65" s="84">
        <f>'Quar. as rep.'!I74+'Quar. as rep.'!I76</f>
        <v>9763091</v>
      </c>
      <c r="H65" s="84">
        <f>'Quar. as rep.'!J74+'Quar. as rep.'!J76</f>
        <v>9762010</v>
      </c>
      <c r="I65" s="84">
        <f>'Quar. as rep.'!K74+'Quar. as rep.'!K76</f>
        <v>11179722</v>
      </c>
      <c r="J65" s="99">
        <f>I65+SUM(J85:J86)</f>
        <v>11287306</v>
      </c>
      <c r="K65" s="99">
        <f t="shared" ref="K65:N65" si="46">J65+SUM(K85:K86)</f>
        <v>11394890</v>
      </c>
      <c r="L65" s="99">
        <f t="shared" si="46"/>
        <v>11502474</v>
      </c>
      <c r="M65" s="99">
        <f t="shared" si="46"/>
        <v>11610058</v>
      </c>
      <c r="N65" s="99">
        <f t="shared" si="46"/>
        <v>11717642</v>
      </c>
      <c r="P65" s="106" t="s">
        <v>352</v>
      </c>
    </row>
    <row r="66" spans="2:25" ht="14.5">
      <c r="B66" s="75" t="s">
        <v>353</v>
      </c>
      <c r="C66" s="84">
        <f>'Quar. as rep.'!E79</f>
        <v>-1595305</v>
      </c>
      <c r="D66" s="84">
        <f>'Quar. as rep.'!F79</f>
        <v>-1773571</v>
      </c>
      <c r="E66" s="84">
        <f>'Quar. as rep.'!G79</f>
        <v>-1773571</v>
      </c>
      <c r="F66" s="84">
        <f>'Quar. as rep.'!H79</f>
        <v>-1926160</v>
      </c>
      <c r="G66" s="84">
        <f>'Quar. as rep.'!I79</f>
        <v>-1917698</v>
      </c>
      <c r="H66" s="84">
        <f>'Quar. as rep.'!J79</f>
        <v>-1917698</v>
      </c>
      <c r="I66" s="84">
        <f>'Quar. as rep.'!K79</f>
        <v>-1891352</v>
      </c>
      <c r="J66" s="99">
        <f>I66+J99/2</f>
        <v>-2091352</v>
      </c>
      <c r="K66" s="99">
        <f t="shared" ref="K66:N66" si="47">J66+K99/2</f>
        <v>-2466352</v>
      </c>
      <c r="L66" s="99">
        <f t="shared" si="47"/>
        <v>-2891352</v>
      </c>
      <c r="M66" s="99">
        <f t="shared" si="47"/>
        <v>-2891352</v>
      </c>
      <c r="N66" s="99">
        <f t="shared" si="47"/>
        <v>-2891352</v>
      </c>
      <c r="P66" s="106" t="s">
        <v>354</v>
      </c>
    </row>
    <row r="67" spans="2:25" ht="14.5">
      <c r="B67" s="75" t="s">
        <v>355</v>
      </c>
      <c r="C67" s="84">
        <f>'Quar. as rep.'!E77</f>
        <v>-5122281</v>
      </c>
      <c r="D67" s="84">
        <f>'Quar. as rep.'!F77</f>
        <v>-5223093</v>
      </c>
      <c r="E67" s="84">
        <f>'Quar. as rep.'!G77</f>
        <v>-5379952</v>
      </c>
      <c r="F67" s="84">
        <f>'Quar. as rep.'!H77</f>
        <v>-5583485</v>
      </c>
      <c r="G67" s="84">
        <f>'Quar. as rep.'!I77</f>
        <v>-5703183</v>
      </c>
      <c r="H67" s="84">
        <f>'Quar. as rep.'!J77</f>
        <v>-5953166</v>
      </c>
      <c r="I67" s="84">
        <f>'Quar. as rep.'!K77</f>
        <v>-6102314</v>
      </c>
      <c r="J67" s="99">
        <f>I67+J74+J97</f>
        <v>-8688979.4097777922</v>
      </c>
      <c r="K67" s="99">
        <f t="shared" ref="K67:N67" si="48">J67+K74+K97</f>
        <v>-11248218.677767964</v>
      </c>
      <c r="L67" s="99">
        <f t="shared" si="48"/>
        <v>-14124570.620632594</v>
      </c>
      <c r="M67" s="99">
        <f t="shared" si="48"/>
        <v>-12993141.620632594</v>
      </c>
      <c r="N67" s="99">
        <f t="shared" si="48"/>
        <v>-12027201.020632595</v>
      </c>
      <c r="P67" s="106" t="s">
        <v>356</v>
      </c>
    </row>
    <row r="68" spans="2:25" ht="14.5">
      <c r="B68" s="75" t="s">
        <v>357</v>
      </c>
      <c r="C68" s="84">
        <f>SUM('Quar. as rep.'!E69,'Quar. as rep.'!E73,'Quar. as rep.'!E81)</f>
        <v>717916</v>
      </c>
      <c r="D68" s="84">
        <f>SUM('Quar. as rep.'!F69,'Quar. as rep.'!F73,'Quar. as rep.'!F81)</f>
        <v>677012</v>
      </c>
      <c r="E68" s="84">
        <f>SUM('Quar. as rep.'!G69,'Quar. as rep.'!G73,'Quar. as rep.'!G81)</f>
        <v>646333</v>
      </c>
      <c r="F68" s="84">
        <f>SUM('Quar. as rep.'!H69,'Quar. as rep.'!H73,'Quar. as rep.'!H81)</f>
        <v>583886</v>
      </c>
      <c r="G68" s="84">
        <f>SUM('Quar. as rep.'!I69,'Quar. as rep.'!I73,'Quar. as rep.'!I81)</f>
        <v>535747</v>
      </c>
      <c r="H68" s="84">
        <f>SUM('Quar. as rep.'!J69,'Quar. as rep.'!J73,'Quar. as rep.'!J81)</f>
        <v>492731</v>
      </c>
      <c r="I68" s="84">
        <f>SUM('Quar. as rep.'!K69,'Quar. as rep.'!K73,'Quar. as rep.'!K81)</f>
        <v>660857</v>
      </c>
      <c r="J68" s="99">
        <f>I68+J98</f>
        <v>723412</v>
      </c>
      <c r="K68" s="99">
        <f t="shared" ref="K68:N68" si="49">J68+K98</f>
        <v>785967</v>
      </c>
      <c r="L68" s="99">
        <f t="shared" si="49"/>
        <v>848522</v>
      </c>
      <c r="M68" s="99">
        <f t="shared" si="49"/>
        <v>848522</v>
      </c>
      <c r="N68" s="99">
        <f t="shared" si="49"/>
        <v>848522</v>
      </c>
      <c r="P68" s="106" t="s">
        <v>358</v>
      </c>
    </row>
    <row r="69" spans="2:25" ht="14.5">
      <c r="B69" s="75" t="s">
        <v>359</v>
      </c>
      <c r="C69" s="84">
        <f>'Quar. as rep.'!E78</f>
        <v>-128743</v>
      </c>
      <c r="D69" s="84">
        <f>'Quar. as rep.'!F78</f>
        <v>-121596</v>
      </c>
      <c r="E69" s="84">
        <f>'Quar. as rep.'!G78</f>
        <v>-118604</v>
      </c>
      <c r="F69" s="84">
        <f>'Quar. as rep.'!H78</f>
        <v>-119301</v>
      </c>
      <c r="G69" s="84">
        <f>'Quar. as rep.'!I78</f>
        <v>-155126</v>
      </c>
      <c r="H69" s="84">
        <f>'Quar. as rep.'!J78</f>
        <v>-180468</v>
      </c>
      <c r="I69" s="84">
        <f>'Quar. as rep.'!K78</f>
        <v>-188675</v>
      </c>
      <c r="J69" s="99">
        <f>I69+J99/2</f>
        <v>-388675</v>
      </c>
      <c r="K69" s="99">
        <f t="shared" ref="K69:N69" si="50">J69+K99/2</f>
        <v>-763675</v>
      </c>
      <c r="L69" s="99">
        <f t="shared" si="50"/>
        <v>-1188675</v>
      </c>
      <c r="M69" s="99">
        <f t="shared" si="50"/>
        <v>-1188675</v>
      </c>
      <c r="N69" s="99">
        <f t="shared" si="50"/>
        <v>-1188675</v>
      </c>
      <c r="P69" s="106" t="s">
        <v>360</v>
      </c>
    </row>
    <row r="70" spans="2:25">
      <c r="B70" s="96" t="s">
        <v>361</v>
      </c>
      <c r="C70" s="108">
        <f t="shared" ref="C70:N70" si="51">SUM(C65:C69)</f>
        <v>3594997</v>
      </c>
      <c r="D70" s="108">
        <f t="shared" si="51"/>
        <v>3307039</v>
      </c>
      <c r="E70" s="108">
        <f t="shared" si="51"/>
        <v>3130311</v>
      </c>
      <c r="F70" s="108">
        <f t="shared" si="51"/>
        <v>2723147</v>
      </c>
      <c r="G70" s="108">
        <f t="shared" si="51"/>
        <v>2522831</v>
      </c>
      <c r="H70" s="108">
        <f t="shared" si="51"/>
        <v>2203409</v>
      </c>
      <c r="I70" s="108">
        <f t="shared" si="51"/>
        <v>3658238</v>
      </c>
      <c r="J70" s="108">
        <f t="shared" si="51"/>
        <v>841711.59022220783</v>
      </c>
      <c r="K70" s="108">
        <f t="shared" si="51"/>
        <v>-2297388.6777679641</v>
      </c>
      <c r="L70" s="108">
        <f t="shared" si="51"/>
        <v>-5853601.6206325945</v>
      </c>
      <c r="M70" s="108">
        <f t="shared" si="51"/>
        <v>-4614588.6206325945</v>
      </c>
      <c r="N70" s="108">
        <f t="shared" si="51"/>
        <v>-3541064.0206325948</v>
      </c>
      <c r="P70" s="110"/>
    </row>
    <row r="71" spans="2:25">
      <c r="B71" s="96" t="s">
        <v>362</v>
      </c>
      <c r="C71" s="113">
        <f t="shared" ref="C71:N71" si="52">SUM(C70,C63)</f>
        <v>30732915</v>
      </c>
      <c r="D71" s="113">
        <f t="shared" si="52"/>
        <v>33844226</v>
      </c>
      <c r="E71" s="113">
        <f t="shared" si="52"/>
        <v>31231630</v>
      </c>
      <c r="F71" s="113">
        <f t="shared" si="52"/>
        <v>34121114</v>
      </c>
      <c r="G71" s="113">
        <f t="shared" si="52"/>
        <v>34026170</v>
      </c>
      <c r="H71" s="113">
        <f>SUM(H70,H63)</f>
        <v>31661575</v>
      </c>
      <c r="I71" s="113">
        <f t="shared" si="52"/>
        <v>34786846</v>
      </c>
      <c r="J71" s="113">
        <f t="shared" si="52"/>
        <v>35570322.826377556</v>
      </c>
      <c r="K71" s="113">
        <f t="shared" si="52"/>
        <v>30504468.461925291</v>
      </c>
      <c r="L71" s="113">
        <f t="shared" si="52"/>
        <v>24749581.453874424</v>
      </c>
      <c r="M71" s="113">
        <f t="shared" si="52"/>
        <v>22478733.379367404</v>
      </c>
      <c r="N71" s="113" t="e">
        <f t="shared" si="52"/>
        <v>#DIV/0!</v>
      </c>
      <c r="P71" s="110"/>
    </row>
    <row r="72" spans="2:25" ht="14.5" thickBot="1">
      <c r="C72" s="114">
        <f t="shared" ref="C72:M72" si="53">ROUND(C71-C54,1)</f>
        <v>0</v>
      </c>
      <c r="D72" s="114">
        <f t="shared" si="53"/>
        <v>0</v>
      </c>
      <c r="E72" s="114">
        <f t="shared" si="53"/>
        <v>0</v>
      </c>
      <c r="F72" s="114">
        <f t="shared" si="53"/>
        <v>0</v>
      </c>
      <c r="G72" s="114">
        <f t="shared" si="53"/>
        <v>0</v>
      </c>
      <c r="H72" s="114">
        <f t="shared" si="53"/>
        <v>0</v>
      </c>
      <c r="I72" s="114">
        <f t="shared" si="53"/>
        <v>0</v>
      </c>
      <c r="J72" s="114">
        <f t="shared" si="53"/>
        <v>-4</v>
      </c>
      <c r="K72" s="114">
        <f t="shared" si="53"/>
        <v>-4</v>
      </c>
      <c r="L72" s="114">
        <f t="shared" si="53"/>
        <v>-4</v>
      </c>
      <c r="M72" s="114">
        <f t="shared" si="53"/>
        <v>-4</v>
      </c>
      <c r="N72" s="114" t="e">
        <f>ROUND(N71-N54,1)</f>
        <v>#DIV/0!</v>
      </c>
    </row>
    <row r="73" spans="2:25" s="64" customFormat="1" ht="20">
      <c r="B73" s="76" t="s">
        <v>363</v>
      </c>
      <c r="C73" s="77"/>
      <c r="D73" s="77"/>
      <c r="E73" s="77"/>
      <c r="F73" s="77"/>
      <c r="G73" s="77"/>
      <c r="H73" s="77"/>
      <c r="I73" s="77"/>
      <c r="J73" s="77"/>
      <c r="K73" s="77"/>
      <c r="L73" s="77"/>
      <c r="M73" s="77"/>
      <c r="N73" s="77"/>
      <c r="O73" s="79"/>
      <c r="P73" s="73" t="s">
        <v>276</v>
      </c>
      <c r="Q73" s="79"/>
      <c r="R73" s="79"/>
      <c r="S73" s="79"/>
      <c r="T73" s="79"/>
      <c r="U73" s="79"/>
      <c r="V73" s="79"/>
      <c r="W73" s="79"/>
      <c r="X73" s="79"/>
      <c r="Y73" s="79"/>
    </row>
    <row r="74" spans="2:25" ht="15.5">
      <c r="B74" s="75" t="s">
        <v>364</v>
      </c>
      <c r="C74" s="145">
        <f t="shared" ref="C74:F74" si="54">C39-C37</f>
        <v>572102</v>
      </c>
      <c r="D74" s="145">
        <f t="shared" si="54"/>
        <v>628724</v>
      </c>
      <c r="E74" s="145">
        <f t="shared" si="54"/>
        <v>590416</v>
      </c>
      <c r="F74" s="145">
        <f t="shared" si="54"/>
        <v>505404</v>
      </c>
      <c r="G74" s="145">
        <f>G39-G37</f>
        <v>290548</v>
      </c>
      <c r="H74" s="145">
        <f t="shared" ref="H74:I74" si="55">H39-H37</f>
        <v>168646</v>
      </c>
      <c r="I74" s="145">
        <f t="shared" si="55"/>
        <v>312726</v>
      </c>
      <c r="J74" s="99">
        <f t="shared" ref="J74:N74" si="56">J39</f>
        <v>-586665.4097777924</v>
      </c>
      <c r="K74" s="99">
        <f t="shared" si="56"/>
        <v>-259239.26799017243</v>
      </c>
      <c r="L74" s="99">
        <f t="shared" si="56"/>
        <v>-376351.94286463101</v>
      </c>
      <c r="M74" s="99">
        <f t="shared" si="56"/>
        <v>1131429</v>
      </c>
      <c r="N74" s="99">
        <f t="shared" si="56"/>
        <v>965940.59999999986</v>
      </c>
      <c r="P74" s="110"/>
    </row>
    <row r="75" spans="2:25" outlineLevel="1">
      <c r="B75" s="83" t="s">
        <v>875</v>
      </c>
      <c r="C75" s="85">
        <v>0</v>
      </c>
      <c r="D75" s="85">
        <v>0</v>
      </c>
      <c r="E75" s="85">
        <v>0</v>
      </c>
      <c r="F75" s="85">
        <v>0</v>
      </c>
      <c r="G75" s="85">
        <v>0</v>
      </c>
      <c r="H75" s="85">
        <v>0</v>
      </c>
      <c r="I75" s="85">
        <v>0</v>
      </c>
      <c r="J75" s="99">
        <f>J7*T75</f>
        <v>0</v>
      </c>
      <c r="K75" s="99">
        <f>K7*U75</f>
        <v>0</v>
      </c>
      <c r="L75" s="99">
        <f>L7*V75</f>
        <v>0</v>
      </c>
      <c r="M75" s="99">
        <f>M7*W75</f>
        <v>0</v>
      </c>
      <c r="N75" s="99">
        <f>N7*X75</f>
        <v>0</v>
      </c>
      <c r="P75" s="61" t="s">
        <v>876</v>
      </c>
      <c r="Q75" s="115">
        <f>G75/G7</f>
        <v>0</v>
      </c>
      <c r="R75" s="115">
        <f>H75/H7</f>
        <v>0</v>
      </c>
      <c r="S75" s="115">
        <f>I75/I7</f>
        <v>0</v>
      </c>
      <c r="T75" s="88">
        <f>S75*1.3</f>
        <v>0</v>
      </c>
      <c r="U75" s="88">
        <f>S75</f>
        <v>0</v>
      </c>
      <c r="V75" s="88">
        <f>U75</f>
        <v>0</v>
      </c>
      <c r="W75" s="88">
        <f t="shared" ref="W75:X75" si="57">V75</f>
        <v>0</v>
      </c>
      <c r="X75" s="88">
        <f t="shared" si="57"/>
        <v>0</v>
      </c>
    </row>
    <row r="76" spans="2:25" outlineLevel="1">
      <c r="B76" s="83" t="s">
        <v>367</v>
      </c>
      <c r="C76" s="85">
        <v>0</v>
      </c>
      <c r="D76" s="85">
        <v>0</v>
      </c>
      <c r="E76" s="85">
        <v>0</v>
      </c>
      <c r="F76" s="85">
        <v>0</v>
      </c>
      <c r="G76" s="85">
        <v>0</v>
      </c>
      <c r="H76" s="85">
        <v>0</v>
      </c>
      <c r="I76" s="85">
        <v>0</v>
      </c>
      <c r="J76" s="99">
        <f>T76</f>
        <v>0</v>
      </c>
      <c r="K76" s="99">
        <f t="shared" ref="K76:N76" si="58">U76</f>
        <v>0</v>
      </c>
      <c r="L76" s="99">
        <f t="shared" si="58"/>
        <v>0</v>
      </c>
      <c r="M76" s="99">
        <f t="shared" si="58"/>
        <v>0</v>
      </c>
      <c r="N76" s="99">
        <f t="shared" si="58"/>
        <v>0</v>
      </c>
      <c r="P76" s="61" t="s">
        <v>367</v>
      </c>
      <c r="T76" s="93">
        <v>0</v>
      </c>
      <c r="U76" s="93">
        <v>0</v>
      </c>
      <c r="V76" s="93">
        <v>0</v>
      </c>
      <c r="W76" s="93">
        <v>0</v>
      </c>
      <c r="X76" s="93">
        <v>0</v>
      </c>
    </row>
    <row r="77" spans="2:25" outlineLevel="1">
      <c r="B77" s="83" t="s">
        <v>368</v>
      </c>
      <c r="C77" s="85">
        <v>0</v>
      </c>
      <c r="D77" s="85">
        <v>0</v>
      </c>
      <c r="E77" s="85">
        <v>0</v>
      </c>
      <c r="F77" s="85">
        <v>0</v>
      </c>
      <c r="G77" s="85">
        <v>0</v>
      </c>
      <c r="H77" s="85">
        <v>0</v>
      </c>
      <c r="I77" s="85">
        <v>0</v>
      </c>
      <c r="J77" s="99">
        <f>J7*T77</f>
        <v>0</v>
      </c>
      <c r="K77" s="99">
        <f>K7*U77</f>
        <v>0</v>
      </c>
      <c r="L77" s="99">
        <f>L7*V77</f>
        <v>0</v>
      </c>
      <c r="M77" s="99">
        <f>M7*W77</f>
        <v>0</v>
      </c>
      <c r="N77" s="99">
        <f>N7*X77</f>
        <v>0</v>
      </c>
      <c r="P77" s="61" t="s">
        <v>369</v>
      </c>
      <c r="T77" s="88">
        <v>0</v>
      </c>
      <c r="U77" s="88">
        <v>0</v>
      </c>
      <c r="V77" s="88">
        <v>0</v>
      </c>
      <c r="W77" s="88">
        <v>0</v>
      </c>
      <c r="X77" s="88">
        <v>0</v>
      </c>
    </row>
    <row r="78" spans="2:25">
      <c r="B78" s="98" t="s">
        <v>370</v>
      </c>
      <c r="C78" s="86">
        <f>'Quar. as rep.'!E92</f>
        <v>371830</v>
      </c>
      <c r="D78" s="86">
        <f>'Quar. as rep.'!F92</f>
        <v>343359</v>
      </c>
      <c r="E78" s="86">
        <f>'Quar. as rep.'!G92</f>
        <v>339065</v>
      </c>
      <c r="F78" s="86">
        <f>'Quar. as rep.'!H92</f>
        <v>340265</v>
      </c>
      <c r="G78" s="86">
        <f>'Quar. as rep.'!I92</f>
        <v>337411</v>
      </c>
      <c r="H78" s="86">
        <f>'Quar. as rep.'!J92</f>
        <v>339841</v>
      </c>
      <c r="I78" s="86">
        <f>'Quar. as rep.'!K92</f>
        <v>337474</v>
      </c>
      <c r="J78" s="86">
        <f>SUM(J75:J77)</f>
        <v>0</v>
      </c>
      <c r="K78" s="86">
        <f>SUM(K75:K77)</f>
        <v>0</v>
      </c>
      <c r="L78" s="86">
        <f>SUM(L75:L77)</f>
        <v>0</v>
      </c>
      <c r="M78" s="86">
        <f>SUM(M75:M77)</f>
        <v>0</v>
      </c>
      <c r="N78" s="86">
        <f>SUM(N75:N77)</f>
        <v>0</v>
      </c>
      <c r="P78" s="110"/>
    </row>
    <row r="79" spans="2:25">
      <c r="B79" s="75" t="s">
        <v>323</v>
      </c>
      <c r="C79" s="84">
        <f>'Quar. as rep.'!E101</f>
        <v>11125</v>
      </c>
      <c r="D79" s="84">
        <f>'Quar. as rep.'!F101</f>
        <v>-22247</v>
      </c>
      <c r="E79" s="84">
        <f>'Quar. as rep.'!G101</f>
        <v>-25877</v>
      </c>
      <c r="F79" s="84">
        <f>'Quar. as rep.'!H101</f>
        <v>44761</v>
      </c>
      <c r="G79" s="84">
        <f>'Quar. as rep.'!I101</f>
        <v>-668522</v>
      </c>
      <c r="H79" s="84">
        <f>'Quar. as rep.'!J101</f>
        <v>-1346</v>
      </c>
      <c r="I79" s="84">
        <f>'Quar. as rep.'!K101</f>
        <v>209196</v>
      </c>
      <c r="J79" s="99">
        <f t="shared" ref="J79:N81" si="59">-(J43-I43)</f>
        <v>-819109.17000925378</v>
      </c>
      <c r="K79" s="99">
        <f t="shared" si="59"/>
        <v>134909.50409339392</v>
      </c>
      <c r="L79" s="99">
        <f t="shared" si="59"/>
        <v>865278.1117966997</v>
      </c>
      <c r="M79" s="99">
        <f t="shared" si="59"/>
        <v>-18992.690868289676</v>
      </c>
      <c r="N79" s="99">
        <f t="shared" si="59"/>
        <v>157183.36601393565</v>
      </c>
      <c r="P79" s="106" t="s">
        <v>371</v>
      </c>
    </row>
    <row r="80" spans="2:25">
      <c r="B80" s="75" t="s">
        <v>326</v>
      </c>
      <c r="C80" s="84">
        <v>0</v>
      </c>
      <c r="D80" s="84">
        <v>0</v>
      </c>
      <c r="E80" s="84"/>
      <c r="F80" s="85">
        <v>0</v>
      </c>
      <c r="G80" s="105">
        <v>0</v>
      </c>
      <c r="H80" s="105">
        <v>0</v>
      </c>
      <c r="I80" s="105">
        <v>1</v>
      </c>
      <c r="J80" s="99">
        <f t="shared" si="59"/>
        <v>0</v>
      </c>
      <c r="K80" s="99">
        <f t="shared" si="59"/>
        <v>0</v>
      </c>
      <c r="L80" s="99">
        <f t="shared" si="59"/>
        <v>0</v>
      </c>
      <c r="M80" s="99">
        <f t="shared" si="59"/>
        <v>0</v>
      </c>
      <c r="N80" s="99" t="e">
        <f t="shared" si="59"/>
        <v>#DIV/0!</v>
      </c>
      <c r="P80" s="106" t="s">
        <v>371</v>
      </c>
    </row>
    <row r="81" spans="2:26">
      <c r="B81" s="75" t="s">
        <v>328</v>
      </c>
      <c r="C81" s="84">
        <f>'Quar. as rep.'!E102</f>
        <v>53818</v>
      </c>
      <c r="D81" s="84">
        <f>'Quar. as rep.'!F102</f>
        <v>-67145</v>
      </c>
      <c r="E81" s="84">
        <f>'Quar. as rep.'!G102</f>
        <v>-15998</v>
      </c>
      <c r="F81" s="84">
        <f>'Quar. as rep.'!H102</f>
        <v>-30488</v>
      </c>
      <c r="G81" s="84">
        <f>'Quar. as rep.'!I102</f>
        <v>31082</v>
      </c>
      <c r="H81" s="84">
        <f>'Quar. as rep.'!J102</f>
        <v>-87621</v>
      </c>
      <c r="I81" s="84">
        <f>'Quar. as rep.'!K102</f>
        <v>58836</v>
      </c>
      <c r="J81" s="99">
        <f t="shared" si="59"/>
        <v>0</v>
      </c>
      <c r="K81" s="99">
        <f t="shared" si="59"/>
        <v>0</v>
      </c>
      <c r="L81" s="99">
        <f t="shared" si="59"/>
        <v>0</v>
      </c>
      <c r="M81" s="99">
        <f t="shared" si="59"/>
        <v>0</v>
      </c>
      <c r="N81" s="99" t="e">
        <f t="shared" si="59"/>
        <v>#DIV/0!</v>
      </c>
      <c r="P81" s="106" t="s">
        <v>371</v>
      </c>
    </row>
    <row r="82" spans="2:26">
      <c r="B82" s="75" t="s">
        <v>342</v>
      </c>
      <c r="C82" s="84">
        <f>'Quar. as rep.'!E103</f>
        <v>18983</v>
      </c>
      <c r="D82" s="84">
        <f>'Quar. as rep.'!F103</f>
        <v>115199</v>
      </c>
      <c r="E82" s="84">
        <f>'Quar. as rep.'!G103</f>
        <v>5441</v>
      </c>
      <c r="F82" s="84">
        <f>'Quar. as rep.'!H103</f>
        <v>-146051</v>
      </c>
      <c r="G82" s="84">
        <f>'Quar. as rep.'!I103</f>
        <v>61842</v>
      </c>
      <c r="H82" s="84">
        <f>'Quar. as rep.'!J103</f>
        <v>124915</v>
      </c>
      <c r="I82" s="84">
        <f>'Quar. as rep.'!K103</f>
        <v>-21626</v>
      </c>
      <c r="J82" s="99">
        <f>J56-I56</f>
        <v>97214.153147986857</v>
      </c>
      <c r="K82" s="99">
        <f>K56-J56</f>
        <v>182203.98341869097</v>
      </c>
      <c r="L82" s="99">
        <f>L56-K56</f>
        <v>-302604.31500562537</v>
      </c>
      <c r="M82" s="99">
        <f>M56-L56</f>
        <v>-1288738.8215610525</v>
      </c>
      <c r="N82" s="99" t="e">
        <f>N56-M56</f>
        <v>#DIV/0!</v>
      </c>
      <c r="P82" s="106" t="s">
        <v>371</v>
      </c>
    </row>
    <row r="83" spans="2:26">
      <c r="B83" s="75" t="s">
        <v>372</v>
      </c>
      <c r="C83" s="84">
        <f>SUM('Quar. as rep.'!E96,'Quar. as rep.'!E98:E99)</f>
        <v>33105</v>
      </c>
      <c r="D83" s="84">
        <f>SUM('Quar. as rep.'!F96,'Quar. as rep.'!F98:F99)</f>
        <v>-7645</v>
      </c>
      <c r="E83" s="84">
        <f>SUM('Quar. as rep.'!G96,'Quar. as rep.'!G98:G99)</f>
        <v>-33514</v>
      </c>
      <c r="F83" s="84">
        <f>SUM('Quar. as rep.'!H96,'Quar. as rep.'!H98:H99)</f>
        <v>18036</v>
      </c>
      <c r="G83" s="84">
        <f>SUM('Quar. as rep.'!I96,'Quar. as rep.'!I98:I99)</f>
        <v>7820</v>
      </c>
      <c r="H83" s="84">
        <f>SUM('Quar. as rep.'!J96,'Quar. as rep.'!J98:J99)</f>
        <v>-29754</v>
      </c>
      <c r="I83" s="84">
        <f>SUM('Quar. as rep.'!K96,'Quar. as rep.'!K98:K99)</f>
        <v>-31239</v>
      </c>
      <c r="J83" s="99">
        <f>J58-I58</f>
        <v>0</v>
      </c>
      <c r="K83" s="99">
        <f t="shared" ref="K83:N83" si="60">K58-J58</f>
        <v>0</v>
      </c>
      <c r="L83" s="99">
        <f t="shared" si="60"/>
        <v>0</v>
      </c>
      <c r="M83" s="99">
        <f t="shared" si="60"/>
        <v>0</v>
      </c>
      <c r="N83" s="99" t="e">
        <f t="shared" si="60"/>
        <v>#DIV/0!</v>
      </c>
      <c r="P83" s="106" t="s">
        <v>371</v>
      </c>
    </row>
    <row r="84" spans="2:26">
      <c r="B84" s="75" t="s">
        <v>373</v>
      </c>
      <c r="C84" s="84">
        <f>'Quar. as rep.'!E97</f>
        <v>-20378</v>
      </c>
      <c r="D84" s="84">
        <f>'Quar. as rep.'!F97</f>
        <v>-17321</v>
      </c>
      <c r="E84" s="84">
        <f>'Quar. as rep.'!G97</f>
        <v>-17459</v>
      </c>
      <c r="F84" s="84">
        <f>'Quar. as rep.'!H97</f>
        <v>-8706</v>
      </c>
      <c r="G84" s="84">
        <f>'Quar. as rep.'!I97</f>
        <v>5181</v>
      </c>
      <c r="H84" s="84">
        <f>'Quar. as rep.'!J97</f>
        <v>10064</v>
      </c>
      <c r="I84" s="84">
        <f>'Quar. as rep.'!K97</f>
        <v>13411</v>
      </c>
      <c r="J84" s="99">
        <v>0</v>
      </c>
      <c r="K84" s="99">
        <v>0</v>
      </c>
      <c r="L84" s="99">
        <v>0</v>
      </c>
      <c r="M84" s="99">
        <v>0</v>
      </c>
      <c r="N84" s="99">
        <v>0</v>
      </c>
      <c r="P84" s="106" t="s">
        <v>374</v>
      </c>
    </row>
    <row r="85" spans="2:26">
      <c r="B85" s="61" t="s">
        <v>375</v>
      </c>
      <c r="C85" s="84">
        <v>0</v>
      </c>
      <c r="D85" s="84">
        <v>0</v>
      </c>
      <c r="E85" s="84"/>
      <c r="F85" s="84">
        <v>0</v>
      </c>
      <c r="G85" s="85">
        <v>0</v>
      </c>
      <c r="H85" s="85">
        <v>0</v>
      </c>
      <c r="I85" s="85">
        <v>1</v>
      </c>
      <c r="J85" s="99">
        <f>T85</f>
        <v>0</v>
      </c>
      <c r="K85" s="99">
        <f t="shared" ref="K85:N85" si="61">U85</f>
        <v>0</v>
      </c>
      <c r="L85" s="99">
        <f t="shared" si="61"/>
        <v>0</v>
      </c>
      <c r="M85" s="99">
        <f t="shared" si="61"/>
        <v>0</v>
      </c>
      <c r="N85" s="99">
        <f t="shared" si="61"/>
        <v>0</v>
      </c>
      <c r="P85" s="75" t="s">
        <v>376</v>
      </c>
      <c r="T85" s="93">
        <v>0</v>
      </c>
      <c r="U85" s="93">
        <v>0</v>
      </c>
      <c r="V85" s="93">
        <v>0</v>
      </c>
      <c r="W85" s="93">
        <v>0</v>
      </c>
      <c r="X85" s="93">
        <v>0</v>
      </c>
    </row>
    <row r="86" spans="2:26">
      <c r="B86" s="75" t="s">
        <v>377</v>
      </c>
      <c r="C86" s="84">
        <f>SUM('Quar. as rep.'!E94:E95)</f>
        <v>9636</v>
      </c>
      <c r="D86" s="84">
        <f>SUM('Quar. as rep.'!F94:F95)</f>
        <v>-12295</v>
      </c>
      <c r="E86" s="84">
        <f>SUM('Quar. as rep.'!G94:G95)</f>
        <v>1305</v>
      </c>
      <c r="F86" s="84">
        <f>SUM('Quar. as rep.'!H94:H95)</f>
        <v>18086</v>
      </c>
      <c r="G86" s="84">
        <f>SUM('Quar. as rep.'!I94:I95)</f>
        <v>7643</v>
      </c>
      <c r="H86" s="84">
        <f>SUM('Quar. as rep.'!J94:J95)</f>
        <v>1279</v>
      </c>
      <c r="I86" s="84">
        <f>SUM('Quar. as rep.'!K94:K95)</f>
        <v>107584</v>
      </c>
      <c r="J86" s="99">
        <f>I86</f>
        <v>107584</v>
      </c>
      <c r="K86" s="99">
        <f t="shared" ref="K86:N86" si="62">J86</f>
        <v>107584</v>
      </c>
      <c r="L86" s="99">
        <f t="shared" si="62"/>
        <v>107584</v>
      </c>
      <c r="M86" s="99">
        <f t="shared" si="62"/>
        <v>107584</v>
      </c>
      <c r="N86" s="99">
        <f t="shared" si="62"/>
        <v>107584</v>
      </c>
      <c r="P86" s="106" t="s">
        <v>336</v>
      </c>
    </row>
    <row r="87" spans="2:26">
      <c r="B87" s="75" t="s">
        <v>378</v>
      </c>
      <c r="C87" s="84">
        <f>'Quar. as rep.'!E93</f>
        <v>0</v>
      </c>
      <c r="D87" s="84">
        <f>'Quar. as rep.'!F93</f>
        <v>0</v>
      </c>
      <c r="E87" s="84">
        <f>'Quar. as rep.'!G93</f>
        <v>116256</v>
      </c>
      <c r="F87" s="84">
        <f>'Quar. as rep.'!H93</f>
        <v>0</v>
      </c>
      <c r="G87" s="84">
        <f>'Quar. as rep.'!I93</f>
        <v>0</v>
      </c>
      <c r="H87" s="84">
        <f>'Quar. as rep.'!J93</f>
        <v>91285</v>
      </c>
      <c r="I87" s="84">
        <f>'Quar. as rep.'!K93</f>
        <v>-91285</v>
      </c>
      <c r="J87" s="99">
        <v>0</v>
      </c>
      <c r="K87" s="99">
        <f t="shared" ref="K87:N87" si="63">U87</f>
        <v>0</v>
      </c>
      <c r="L87" s="99">
        <f t="shared" si="63"/>
        <v>0</v>
      </c>
      <c r="M87" s="99">
        <f t="shared" si="63"/>
        <v>0</v>
      </c>
      <c r="N87" s="99">
        <f t="shared" si="63"/>
        <v>0</v>
      </c>
      <c r="P87" s="75" t="s">
        <v>379</v>
      </c>
      <c r="T87" s="93">
        <v>0</v>
      </c>
      <c r="U87" s="93">
        <v>0</v>
      </c>
      <c r="V87" s="93">
        <v>0</v>
      </c>
      <c r="W87" s="93">
        <v>0</v>
      </c>
      <c r="X87" s="93">
        <v>0</v>
      </c>
    </row>
    <row r="88" spans="2:26">
      <c r="B88" s="96" t="s">
        <v>380</v>
      </c>
      <c r="C88" s="108">
        <f t="shared" ref="C88:I88" si="64">SUM(C78:C87,C74)</f>
        <v>1050221</v>
      </c>
      <c r="D88" s="108">
        <f t="shared" si="64"/>
        <v>960629</v>
      </c>
      <c r="E88" s="108">
        <f t="shared" si="64"/>
        <v>959635</v>
      </c>
      <c r="F88" s="108">
        <f t="shared" si="64"/>
        <v>741307</v>
      </c>
      <c r="G88" s="108">
        <f t="shared" si="64"/>
        <v>73005</v>
      </c>
      <c r="H88" s="108">
        <f t="shared" si="64"/>
        <v>617309</v>
      </c>
      <c r="I88" s="108">
        <f t="shared" si="64"/>
        <v>895079</v>
      </c>
      <c r="J88" s="108">
        <f>SUM(J78:J87,J74)</f>
        <v>-1200976.4266390593</v>
      </c>
      <c r="K88" s="108">
        <f>SUM(K78:K87,K74)</f>
        <v>165458.21952191246</v>
      </c>
      <c r="L88" s="108">
        <f>SUM(L78:L87,L74)</f>
        <v>293905.85392644332</v>
      </c>
      <c r="M88" s="108">
        <f>SUM(M78:M87,M74)</f>
        <v>-68718.51242934214</v>
      </c>
      <c r="N88" s="108" t="e">
        <f>SUM(N78:N87,N74)</f>
        <v>#DIV/0!</v>
      </c>
      <c r="P88" s="110"/>
    </row>
    <row r="89" spans="2:26">
      <c r="B89" s="75"/>
      <c r="C89" s="86"/>
      <c r="D89" s="86"/>
      <c r="E89" s="86"/>
      <c r="F89" s="86"/>
      <c r="G89" s="86"/>
      <c r="H89" s="86"/>
      <c r="I89" s="99"/>
      <c r="J89" s="99"/>
      <c r="K89" s="99"/>
      <c r="L89" s="99"/>
      <c r="M89" s="99"/>
      <c r="N89" s="99"/>
    </row>
    <row r="90" spans="2:26">
      <c r="B90" s="75" t="s">
        <v>381</v>
      </c>
      <c r="C90" s="84">
        <f>'Quar. as rep.'!E109</f>
        <v>-186565</v>
      </c>
      <c r="D90" s="84">
        <f>'Quar. as rep.'!F109</f>
        <v>-219341</v>
      </c>
      <c r="E90" s="84">
        <f>'Quar. as rep.'!G109</f>
        <v>-253324</v>
      </c>
      <c r="F90" s="84">
        <f>'Quar. as rep.'!H109</f>
        <v>-213214</v>
      </c>
      <c r="G90" s="84">
        <f>'Quar. as rep.'!I109</f>
        <v>-124253</v>
      </c>
      <c r="H90" s="84">
        <f>'Quar. as rep.'!J109</f>
        <v>-58537</v>
      </c>
      <c r="I90" s="84">
        <f>'Quar. as rep.'!K109</f>
        <v>-88115</v>
      </c>
      <c r="J90" s="107">
        <f>-T90*J7</f>
        <v>-144891.08999999997</v>
      </c>
      <c r="K90" s="107">
        <f>-U90*K7</f>
        <v>-205860.67499999999</v>
      </c>
      <c r="L90" s="107">
        <f>-V90*L7</f>
        <v>-166714.92000000001</v>
      </c>
      <c r="M90" s="107">
        <f>-W90*M7</f>
        <v>-169714.35</v>
      </c>
      <c r="N90" s="107">
        <f>-X90*N7</f>
        <v>-144891.08999999997</v>
      </c>
      <c r="P90" s="75" t="s">
        <v>382</v>
      </c>
      <c r="Q90" s="115">
        <f>-G90/G7</f>
        <v>0.11699454164198934</v>
      </c>
      <c r="R90" s="115">
        <f>-H90/H7</f>
        <v>5.5188493354225709E-2</v>
      </c>
      <c r="S90" s="115">
        <f>-I90/I7</f>
        <v>7.7879389692150372E-2</v>
      </c>
      <c r="T90" s="88">
        <v>0.15</v>
      </c>
      <c r="U90" s="88">
        <v>0.15</v>
      </c>
      <c r="V90" s="88">
        <v>0.15</v>
      </c>
      <c r="W90" s="88">
        <v>0.15</v>
      </c>
      <c r="X90" s="88">
        <v>0.15</v>
      </c>
      <c r="Z90" s="61" t="s">
        <v>383</v>
      </c>
    </row>
    <row r="91" spans="2:26">
      <c r="B91" s="75" t="s">
        <v>384</v>
      </c>
      <c r="C91" s="84">
        <v>0</v>
      </c>
      <c r="D91" s="84">
        <v>0</v>
      </c>
      <c r="E91" s="84"/>
      <c r="F91" s="85">
        <v>0</v>
      </c>
      <c r="G91" s="105">
        <v>0</v>
      </c>
      <c r="H91" s="105">
        <v>0</v>
      </c>
      <c r="I91" s="105">
        <v>1</v>
      </c>
      <c r="J91" s="107">
        <f>-T91*J7</f>
        <v>0</v>
      </c>
      <c r="K91" s="107">
        <f>-U91*K7</f>
        <v>0</v>
      </c>
      <c r="L91" s="107">
        <f>-V91*L7</f>
        <v>0</v>
      </c>
      <c r="M91" s="107">
        <f>-W91*M7</f>
        <v>0</v>
      </c>
      <c r="N91" s="107">
        <f>-X91*N7</f>
        <v>0</v>
      </c>
      <c r="P91" s="75" t="s">
        <v>385</v>
      </c>
      <c r="Q91" s="115">
        <f>-G91/G7</f>
        <v>0</v>
      </c>
      <c r="R91" s="115">
        <f>-H91/H7</f>
        <v>0</v>
      </c>
      <c r="S91" s="115">
        <f>-I91/I7</f>
        <v>-8.8383804905124409E-7</v>
      </c>
      <c r="T91" s="88">
        <v>0</v>
      </c>
      <c r="U91" s="88">
        <v>0</v>
      </c>
      <c r="V91" s="88">
        <v>0</v>
      </c>
      <c r="W91" s="88">
        <v>0</v>
      </c>
      <c r="X91" s="88">
        <v>0</v>
      </c>
    </row>
    <row r="92" spans="2:26">
      <c r="B92" s="75" t="s">
        <v>386</v>
      </c>
      <c r="C92" s="84">
        <f>SUM('Quar. as rep.'!E106,'Quar. as rep.'!E110:E112,'Quar. as rep.'!E117)</f>
        <v>11166</v>
      </c>
      <c r="D92" s="84">
        <f>SUM('Quar. as rep.'!F106,'Quar. as rep.'!F110:F112,'Quar. as rep.'!F117)</f>
        <v>47676</v>
      </c>
      <c r="E92" s="84">
        <f>SUM('Quar. as rep.'!G106,'Quar. as rep.'!G110:G112,'Quar. as rep.'!G117)</f>
        <v>-6977</v>
      </c>
      <c r="F92" s="84">
        <f>SUM('Quar. as rep.'!H106,'Quar. as rep.'!H110:H112,'Quar. as rep.'!H117)</f>
        <v>23181</v>
      </c>
      <c r="G92" s="84">
        <f>SUM('Quar. as rep.'!I106,'Quar. as rep.'!I110:I112,'Quar. as rep.'!I117)</f>
        <v>-34014</v>
      </c>
      <c r="H92" s="84">
        <f>SUM('Quar. as rep.'!J106,'Quar. as rep.'!J110:J112,'Quar. as rep.'!J117)</f>
        <v>-55173</v>
      </c>
      <c r="I92" s="84">
        <f>SUM('Quar. as rep.'!K106,'Quar. as rep.'!K110:K112,'Quar. as rep.'!K117)</f>
        <v>-3448280</v>
      </c>
      <c r="J92" s="99">
        <f t="shared" ref="J92:N93" si="65">T92</f>
        <v>-100000</v>
      </c>
      <c r="K92" s="99">
        <f t="shared" si="65"/>
        <v>-100000</v>
      </c>
      <c r="L92" s="99">
        <f t="shared" si="65"/>
        <v>0</v>
      </c>
      <c r="M92" s="99">
        <f t="shared" si="65"/>
        <v>0</v>
      </c>
      <c r="N92" s="99">
        <f>X92</f>
        <v>0</v>
      </c>
      <c r="P92" s="75" t="s">
        <v>386</v>
      </c>
      <c r="T92" s="93">
        <v>-100000</v>
      </c>
      <c r="U92" s="93">
        <v>-100000</v>
      </c>
      <c r="V92" s="93">
        <v>0</v>
      </c>
      <c r="W92" s="93">
        <v>0</v>
      </c>
      <c r="X92" s="93">
        <v>0</v>
      </c>
      <c r="Z92" s="61" t="s">
        <v>387</v>
      </c>
    </row>
    <row r="93" spans="2:26">
      <c r="B93" s="75" t="s">
        <v>379</v>
      </c>
      <c r="C93" s="84">
        <f>SUM('Quar. as rep.'!E107:E108,'Quar. as rep.'!E113:E116)</f>
        <v>-12764</v>
      </c>
      <c r="D93" s="84">
        <f>SUM('Quar. as rep.'!F107:F108,'Quar. as rep.'!F113:F116)</f>
        <v>-112673</v>
      </c>
      <c r="E93" s="84">
        <f>SUM('Quar. as rep.'!G107:G108,'Quar. as rep.'!G113:G116)</f>
        <v>-230343</v>
      </c>
      <c r="F93" s="84">
        <f>SUM('Quar. as rep.'!H107:H108,'Quar. as rep.'!H113:H116)</f>
        <v>-23647</v>
      </c>
      <c r="G93" s="84">
        <f>SUM('Quar. as rep.'!I107:I108,'Quar. as rep.'!I113:I116)</f>
        <v>23389</v>
      </c>
      <c r="H93" s="84">
        <f>SUM('Quar. as rep.'!J107:J108,'Quar. as rep.'!J113:J116)</f>
        <v>2184</v>
      </c>
      <c r="I93" s="84">
        <f>SUM('Quar. as rep.'!K107:K108,'Quar. as rep.'!K113:K116)</f>
        <v>18081</v>
      </c>
      <c r="J93" s="99">
        <f>T93</f>
        <v>0</v>
      </c>
      <c r="K93" s="99">
        <f t="shared" si="65"/>
        <v>0</v>
      </c>
      <c r="L93" s="99">
        <f t="shared" si="65"/>
        <v>0</v>
      </c>
      <c r="M93" s="99">
        <f t="shared" si="65"/>
        <v>0</v>
      </c>
      <c r="N93" s="99">
        <f t="shared" si="65"/>
        <v>0</v>
      </c>
      <c r="P93" s="75" t="s">
        <v>379</v>
      </c>
      <c r="T93" s="93">
        <v>0</v>
      </c>
      <c r="U93" s="93">
        <v>0</v>
      </c>
      <c r="V93" s="93">
        <v>0</v>
      </c>
      <c r="W93" s="93">
        <v>0</v>
      </c>
      <c r="X93" s="93">
        <v>0</v>
      </c>
    </row>
    <row r="94" spans="2:26">
      <c r="B94" s="96" t="s">
        <v>388</v>
      </c>
      <c r="C94" s="108">
        <f t="shared" ref="C94:N94" si="66">SUM(C90:C93)</f>
        <v>-188163</v>
      </c>
      <c r="D94" s="108">
        <f t="shared" si="66"/>
        <v>-284338</v>
      </c>
      <c r="E94" s="108">
        <f t="shared" si="66"/>
        <v>-490644</v>
      </c>
      <c r="F94" s="108">
        <f t="shared" si="66"/>
        <v>-213680</v>
      </c>
      <c r="G94" s="108">
        <f t="shared" si="66"/>
        <v>-134878</v>
      </c>
      <c r="H94" s="112">
        <f t="shared" si="66"/>
        <v>-111526</v>
      </c>
      <c r="I94" s="112">
        <f t="shared" si="66"/>
        <v>-3518313</v>
      </c>
      <c r="J94" s="112">
        <f t="shared" si="66"/>
        <v>-244891.08999999997</v>
      </c>
      <c r="K94" s="112">
        <f t="shared" si="66"/>
        <v>-305860.67499999999</v>
      </c>
      <c r="L94" s="112">
        <f t="shared" si="66"/>
        <v>-166714.92000000001</v>
      </c>
      <c r="M94" s="112">
        <f t="shared" si="66"/>
        <v>-169714.35</v>
      </c>
      <c r="N94" s="112">
        <f t="shared" si="66"/>
        <v>-144891.08999999997</v>
      </c>
      <c r="P94" s="110"/>
    </row>
    <row r="95" spans="2:26">
      <c r="B95" s="75"/>
      <c r="C95" s="86"/>
      <c r="D95" s="86"/>
      <c r="E95" s="86"/>
      <c r="F95" s="86"/>
      <c r="G95" s="86"/>
      <c r="H95" s="86"/>
      <c r="I95" s="99"/>
      <c r="J95" s="99"/>
      <c r="K95" s="99"/>
      <c r="L95" s="99"/>
      <c r="M95" s="99"/>
      <c r="N95" s="99"/>
    </row>
    <row r="96" spans="2:26" ht="14.5">
      <c r="B96" s="75" t="s">
        <v>389</v>
      </c>
      <c r="C96" s="84">
        <f>SUM('Quar. as rep.'!E129:E131)</f>
        <v>89442</v>
      </c>
      <c r="D96" s="84">
        <f>SUM('Quar. as rep.'!F129:F131)</f>
        <v>3420742</v>
      </c>
      <c r="E96" s="84">
        <f>SUM('Quar. as rep.'!G129:G131)</f>
        <v>-2664847</v>
      </c>
      <c r="F96" s="84">
        <f>SUM('Quar. as rep.'!H129:H131)</f>
        <v>3444948</v>
      </c>
      <c r="G96" s="84">
        <f>SUM('Quar. as rep.'!I129:I131)</f>
        <v>-355047</v>
      </c>
      <c r="H96" s="84">
        <f>SUM('Quar. as rep.'!J129:J131)</f>
        <v>-2268306</v>
      </c>
      <c r="I96" s="84">
        <f>SUM('Quar. as rep.'!K129:K131)</f>
        <v>1457990</v>
      </c>
      <c r="J96" s="99">
        <f>J57-I57+J61-I61</f>
        <v>3736093.6633644067</v>
      </c>
      <c r="K96" s="99">
        <f t="shared" ref="K96:N96" si="67">K57-J57+K61-J61</f>
        <v>-2681988.5135534182</v>
      </c>
      <c r="L96" s="99">
        <f t="shared" si="67"/>
        <v>-1528153.3708237112</v>
      </c>
      <c r="M96" s="99">
        <f t="shared" si="67"/>
        <v>-2249312.778987281</v>
      </c>
      <c r="N96" s="99" t="e">
        <f t="shared" si="67"/>
        <v>#DIV/0!</v>
      </c>
      <c r="P96" s="106" t="s">
        <v>390</v>
      </c>
    </row>
    <row r="97" spans="2:26" ht="15.5">
      <c r="B97" s="130" t="s">
        <v>391</v>
      </c>
      <c r="C97" s="84">
        <f>SUM('Quar. as rep.'!E127)</f>
        <v>-633686</v>
      </c>
      <c r="D97" s="84">
        <f>SUM('Quar. as rep.'!F127)</f>
        <v>-645758</v>
      </c>
      <c r="E97" s="84">
        <f>SUM('Quar. as rep.'!G127)</f>
        <v>-645278</v>
      </c>
      <c r="F97" s="84">
        <f>SUM('Quar. as rep.'!H127)</f>
        <v>-645259</v>
      </c>
      <c r="G97" s="84">
        <f>SUM('Quar. as rep.'!I127)</f>
        <v>-835</v>
      </c>
      <c r="H97" s="84">
        <f>SUM('Quar. as rep.'!J127)</f>
        <v>-398497</v>
      </c>
      <c r="I97" s="84">
        <f>SUM('Quar. as rep.'!K127)</f>
        <v>-398592</v>
      </c>
      <c r="J97" s="99">
        <f t="shared" ref="J97:N99" si="68">T97</f>
        <v>-2000000</v>
      </c>
      <c r="K97" s="99">
        <f t="shared" si="68"/>
        <v>-2300000</v>
      </c>
      <c r="L97" s="99">
        <f t="shared" si="68"/>
        <v>-2500000</v>
      </c>
      <c r="M97" s="99">
        <f t="shared" si="68"/>
        <v>0</v>
      </c>
      <c r="N97" s="99">
        <f t="shared" si="68"/>
        <v>0</v>
      </c>
      <c r="P97" s="130" t="s">
        <v>391</v>
      </c>
      <c r="T97" s="93">
        <v>-2000000</v>
      </c>
      <c r="U97" s="93">
        <v>-2300000</v>
      </c>
      <c r="V97" s="93">
        <v>-2500000</v>
      </c>
      <c r="W97" s="93">
        <v>0</v>
      </c>
      <c r="X97" s="93">
        <v>0</v>
      </c>
      <c r="Z97" s="61" t="s">
        <v>877</v>
      </c>
    </row>
    <row r="98" spans="2:26" ht="15.5">
      <c r="B98" s="130" t="s">
        <v>393</v>
      </c>
      <c r="C98" s="84"/>
      <c r="D98" s="84"/>
      <c r="E98" s="84"/>
      <c r="F98" s="84"/>
      <c r="G98" s="85"/>
      <c r="H98" s="85"/>
      <c r="I98" s="85"/>
      <c r="J98" s="99">
        <f>T98</f>
        <v>62555</v>
      </c>
      <c r="K98" s="99">
        <f t="shared" si="68"/>
        <v>62555</v>
      </c>
      <c r="L98" s="99">
        <f t="shared" si="68"/>
        <v>62555</v>
      </c>
      <c r="M98" s="99"/>
      <c r="N98" s="99"/>
      <c r="P98" s="130" t="s">
        <v>394</v>
      </c>
      <c r="T98" s="93">
        <f>(I68-G68)/2</f>
        <v>62555</v>
      </c>
      <c r="U98" s="93">
        <f>T98</f>
        <v>62555</v>
      </c>
      <c r="V98" s="93">
        <f>U98</f>
        <v>62555</v>
      </c>
      <c r="W98" s="93"/>
      <c r="X98" s="93"/>
    </row>
    <row r="99" spans="2:26">
      <c r="B99" s="75" t="s">
        <v>395</v>
      </c>
      <c r="C99" s="84">
        <f>SUM('Quar. as rep.'!E120:E126,'Quar. as rep.'!E128)</f>
        <v>-274839</v>
      </c>
      <c r="D99" s="84">
        <f>SUM('Quar. as rep.'!F120:F126,'Quar. as rep.'!F128)</f>
        <v>-283821</v>
      </c>
      <c r="E99" s="84">
        <f>SUM('Quar. as rep.'!G120:G126,'Quar. as rep.'!G128)</f>
        <v>-136723</v>
      </c>
      <c r="F99" s="84">
        <f>SUM('Quar. as rep.'!H120:H126,'Quar. as rep.'!H128)</f>
        <v>-271836</v>
      </c>
      <c r="G99" s="84">
        <f>SUM('Quar. as rep.'!I120:I126,'Quar. as rep.'!I128)</f>
        <v>-998</v>
      </c>
      <c r="H99" s="84">
        <f>SUM('Quar. as rep.'!J120:J126,'Quar. as rep.'!J128)</f>
        <v>-62767</v>
      </c>
      <c r="I99" s="84">
        <f>SUM('Quar. as rep.'!K120:K126,'Quar. as rep.'!K128)</f>
        <v>1493139</v>
      </c>
      <c r="J99" s="99">
        <f t="shared" si="68"/>
        <v>-400000</v>
      </c>
      <c r="K99" s="99">
        <f t="shared" si="68"/>
        <v>-750000</v>
      </c>
      <c r="L99" s="99">
        <f t="shared" si="68"/>
        <v>-850000</v>
      </c>
      <c r="M99" s="99">
        <f t="shared" si="68"/>
        <v>0</v>
      </c>
      <c r="N99" s="99">
        <f t="shared" si="68"/>
        <v>0</v>
      </c>
      <c r="P99" s="75" t="s">
        <v>379</v>
      </c>
      <c r="T99" s="93">
        <v>-400000</v>
      </c>
      <c r="U99" s="93">
        <v>-750000</v>
      </c>
      <c r="V99" s="93">
        <v>-850000</v>
      </c>
      <c r="W99" s="93">
        <v>0</v>
      </c>
      <c r="X99" s="93">
        <v>0</v>
      </c>
      <c r="Z99" s="61" t="s">
        <v>396</v>
      </c>
    </row>
    <row r="100" spans="2:26">
      <c r="B100" s="96" t="s">
        <v>397</v>
      </c>
      <c r="C100" s="108">
        <f t="shared" ref="C100:N100" si="69">SUM(C96:C99)</f>
        <v>-819083</v>
      </c>
      <c r="D100" s="108">
        <f t="shared" si="69"/>
        <v>2491163</v>
      </c>
      <c r="E100" s="108">
        <f t="shared" si="69"/>
        <v>-3446848</v>
      </c>
      <c r="F100" s="108">
        <f t="shared" si="69"/>
        <v>2527853</v>
      </c>
      <c r="G100" s="108">
        <f t="shared" si="69"/>
        <v>-356880</v>
      </c>
      <c r="H100" s="112">
        <f t="shared" si="69"/>
        <v>-2729570</v>
      </c>
      <c r="I100" s="112">
        <f t="shared" si="69"/>
        <v>2552537</v>
      </c>
      <c r="J100" s="112">
        <f t="shared" si="69"/>
        <v>1398648.6633644067</v>
      </c>
      <c r="K100" s="112">
        <f t="shared" si="69"/>
        <v>-5669433.5135534182</v>
      </c>
      <c r="L100" s="112">
        <f t="shared" si="69"/>
        <v>-4815598.3708237112</v>
      </c>
      <c r="M100" s="112">
        <f t="shared" si="69"/>
        <v>-2249312.778987281</v>
      </c>
      <c r="N100" s="112" t="e">
        <f t="shared" si="69"/>
        <v>#DIV/0!</v>
      </c>
      <c r="P100" s="110"/>
    </row>
    <row r="101" spans="2:26">
      <c r="B101" s="75" t="s">
        <v>398</v>
      </c>
      <c r="C101" s="84">
        <v>0</v>
      </c>
      <c r="D101" s="84">
        <v>0</v>
      </c>
      <c r="E101" s="84">
        <v>0</v>
      </c>
      <c r="F101" s="84">
        <v>0</v>
      </c>
      <c r="G101" s="85">
        <v>0</v>
      </c>
      <c r="H101" s="105">
        <v>0</v>
      </c>
      <c r="I101" s="105">
        <v>0</v>
      </c>
      <c r="J101" s="99">
        <f t="shared" ref="J101:N101" si="70">T101</f>
        <v>0</v>
      </c>
      <c r="K101" s="99">
        <f t="shared" si="70"/>
        <v>0</v>
      </c>
      <c r="L101" s="99">
        <f t="shared" si="70"/>
        <v>0</v>
      </c>
      <c r="M101" s="99">
        <f t="shared" si="70"/>
        <v>0</v>
      </c>
      <c r="N101" s="99">
        <f t="shared" si="70"/>
        <v>0</v>
      </c>
      <c r="P101" s="75" t="s">
        <v>398</v>
      </c>
      <c r="T101" s="93">
        <v>0</v>
      </c>
      <c r="U101" s="93">
        <v>0</v>
      </c>
      <c r="V101" s="93">
        <v>0</v>
      </c>
      <c r="W101" s="93">
        <v>0</v>
      </c>
      <c r="X101" s="93">
        <v>0</v>
      </c>
    </row>
    <row r="102" spans="2:26">
      <c r="B102" s="96" t="s">
        <v>399</v>
      </c>
      <c r="C102" s="108">
        <f t="shared" ref="C102:N102" si="71">C88+C94+C100+C101</f>
        <v>42975</v>
      </c>
      <c r="D102" s="108">
        <f t="shared" si="71"/>
        <v>3167454</v>
      </c>
      <c r="E102" s="108">
        <f t="shared" si="71"/>
        <v>-2977857</v>
      </c>
      <c r="F102" s="108">
        <f t="shared" si="71"/>
        <v>3055480</v>
      </c>
      <c r="G102" s="108">
        <f>G88+G94+G100+G101</f>
        <v>-418753</v>
      </c>
      <c r="H102" s="108">
        <f t="shared" si="71"/>
        <v>-2223787</v>
      </c>
      <c r="I102" s="108">
        <f t="shared" si="71"/>
        <v>-70697</v>
      </c>
      <c r="J102" s="108">
        <f t="shared" si="71"/>
        <v>-47218.853274652734</v>
      </c>
      <c r="K102" s="108">
        <f t="shared" si="71"/>
        <v>-5809835.9690315053</v>
      </c>
      <c r="L102" s="108">
        <f t="shared" si="71"/>
        <v>-4688407.4368972676</v>
      </c>
      <c r="M102" s="108">
        <f t="shared" si="71"/>
        <v>-2487745.6414166233</v>
      </c>
      <c r="N102" s="108" t="e">
        <f t="shared" si="71"/>
        <v>#DIV/0!</v>
      </c>
      <c r="P102" s="110"/>
    </row>
    <row r="103" spans="2:26">
      <c r="B103" s="75"/>
      <c r="C103" s="86"/>
      <c r="D103" s="86"/>
      <c r="E103" s="86"/>
      <c r="F103" s="86"/>
      <c r="G103" s="86"/>
      <c r="H103" s="99"/>
      <c r="I103" s="99"/>
      <c r="J103" s="99"/>
      <c r="K103" s="99"/>
      <c r="L103" s="99"/>
      <c r="M103" s="99"/>
      <c r="N103" s="99"/>
    </row>
    <row r="104" spans="2:26">
      <c r="B104" s="75" t="s">
        <v>400</v>
      </c>
      <c r="C104" s="85">
        <f>'Quar. as rep.'!E134</f>
        <v>436802</v>
      </c>
      <c r="D104" s="86">
        <f t="shared" ref="D104:I104" si="72">C105</f>
        <v>479777</v>
      </c>
      <c r="E104" s="86">
        <f t="shared" si="72"/>
        <v>3647231</v>
      </c>
      <c r="F104" s="86">
        <f t="shared" si="72"/>
        <v>669374</v>
      </c>
      <c r="G104" s="86">
        <f t="shared" si="72"/>
        <v>3724854</v>
      </c>
      <c r="H104" s="99">
        <f t="shared" si="72"/>
        <v>3306101</v>
      </c>
      <c r="I104" s="99">
        <f t="shared" si="72"/>
        <v>1082314</v>
      </c>
      <c r="J104" s="99">
        <f>I105</f>
        <v>1011617</v>
      </c>
      <c r="K104" s="99">
        <f>J105</f>
        <v>964398.14672534727</v>
      </c>
      <c r="L104" s="99">
        <f>K105</f>
        <v>-4845437.822306158</v>
      </c>
      <c r="M104" s="99">
        <f>L105</f>
        <v>-9533845.2592034265</v>
      </c>
      <c r="N104" s="99">
        <f>M105</f>
        <v>-12021590.900620051</v>
      </c>
      <c r="P104" s="110"/>
    </row>
    <row r="105" spans="2:26">
      <c r="B105" s="75" t="s">
        <v>401</v>
      </c>
      <c r="C105" s="85">
        <f t="shared" ref="C105:I105" si="73">SUM(C104,C102)</f>
        <v>479777</v>
      </c>
      <c r="D105" s="86">
        <f t="shared" si="73"/>
        <v>3647231</v>
      </c>
      <c r="E105" s="86">
        <f t="shared" si="73"/>
        <v>669374</v>
      </c>
      <c r="F105" s="86">
        <f t="shared" si="73"/>
        <v>3724854</v>
      </c>
      <c r="G105" s="86">
        <f t="shared" si="73"/>
        <v>3306101</v>
      </c>
      <c r="H105" s="99">
        <f t="shared" si="73"/>
        <v>1082314</v>
      </c>
      <c r="I105" s="99">
        <f t="shared" si="73"/>
        <v>1011617</v>
      </c>
      <c r="J105" s="99">
        <f>SUM(J104,J102)</f>
        <v>964398.14672534727</v>
      </c>
      <c r="K105" s="99">
        <f>SUM(K104,K102)</f>
        <v>-4845437.822306158</v>
      </c>
      <c r="L105" s="99">
        <f>SUM(L104,L102)</f>
        <v>-9533845.2592034265</v>
      </c>
      <c r="M105" s="99">
        <f>SUM(M104,M102)</f>
        <v>-12021590.900620051</v>
      </c>
      <c r="N105" s="99" t="e">
        <f>SUM(N104,N102)</f>
        <v>#DIV/0!</v>
      </c>
      <c r="P105" s="110"/>
    </row>
    <row r="106" spans="2:26" ht="14.5" thickBot="1">
      <c r="C106" s="86"/>
      <c r="D106" s="86"/>
      <c r="E106" s="86"/>
      <c r="F106" s="86"/>
      <c r="G106" s="86"/>
      <c r="H106" s="99"/>
      <c r="I106" s="99"/>
      <c r="J106" s="99"/>
      <c r="K106" s="99"/>
      <c r="L106" s="99"/>
      <c r="M106" s="99"/>
      <c r="N106" s="99"/>
    </row>
    <row r="107" spans="2:26" s="118" customFormat="1" ht="20">
      <c r="B107" s="76" t="s">
        <v>402</v>
      </c>
      <c r="C107" s="117"/>
      <c r="D107" s="117"/>
      <c r="E107" s="117"/>
      <c r="F107" s="117"/>
      <c r="G107" s="117"/>
      <c r="H107" s="117"/>
      <c r="I107" s="117"/>
      <c r="J107" s="117"/>
      <c r="K107" s="117"/>
      <c r="L107" s="117"/>
      <c r="M107" s="117"/>
      <c r="N107" s="117"/>
    </row>
    <row r="108" spans="2:26" s="121" customFormat="1">
      <c r="B108" s="119"/>
      <c r="C108" s="120"/>
      <c r="D108" s="120"/>
      <c r="E108" s="120"/>
      <c r="F108" s="120"/>
      <c r="G108" s="120"/>
      <c r="H108" s="120"/>
      <c r="I108" s="120"/>
      <c r="J108" s="120"/>
      <c r="K108" s="120"/>
      <c r="L108" s="120"/>
      <c r="M108" s="120"/>
      <c r="N108" s="120"/>
    </row>
    <row r="109" spans="2:26" s="121" customFormat="1">
      <c r="B109" s="96" t="s">
        <v>277</v>
      </c>
      <c r="C109" s="122">
        <f t="shared" ref="C109:N109" si="74">IFERROR(C7/C7,"")</f>
        <v>1</v>
      </c>
      <c r="D109" s="122">
        <f t="shared" si="74"/>
        <v>1</v>
      </c>
      <c r="E109" s="122">
        <f t="shared" si="74"/>
        <v>1</v>
      </c>
      <c r="F109" s="122">
        <f t="shared" si="74"/>
        <v>1</v>
      </c>
      <c r="G109" s="122">
        <f t="shared" si="74"/>
        <v>1</v>
      </c>
      <c r="H109" s="122">
        <f t="shared" si="74"/>
        <v>1</v>
      </c>
      <c r="I109" s="122">
        <f t="shared" si="74"/>
        <v>1</v>
      </c>
      <c r="J109" s="122">
        <f t="shared" si="74"/>
        <v>1</v>
      </c>
      <c r="K109" s="122">
        <f t="shared" si="74"/>
        <v>1</v>
      </c>
      <c r="L109" s="122">
        <f t="shared" si="74"/>
        <v>1</v>
      </c>
      <c r="M109" s="122">
        <f t="shared" si="74"/>
        <v>1</v>
      </c>
      <c r="N109" s="122">
        <f t="shared" si="74"/>
        <v>1</v>
      </c>
    </row>
    <row r="110" spans="2:26" s="121" customFormat="1">
      <c r="C110" s="123"/>
      <c r="D110" s="123"/>
      <c r="E110" s="123"/>
      <c r="F110" s="123"/>
      <c r="G110" s="123"/>
      <c r="H110" s="123"/>
      <c r="I110" s="123"/>
      <c r="J110" s="123"/>
      <c r="K110" s="123"/>
      <c r="L110" s="123"/>
      <c r="M110" s="123"/>
      <c r="N110" s="123"/>
    </row>
    <row r="111" spans="2:26" s="121" customFormat="1">
      <c r="B111" s="96" t="s">
        <v>288</v>
      </c>
      <c r="C111" s="124">
        <f t="shared" ref="C111:N111" si="75">IFERROR(C14/C7,"")</f>
        <v>0.17455299437583829</v>
      </c>
      <c r="D111" s="124">
        <f t="shared" si="75"/>
        <v>0.18618774857859283</v>
      </c>
      <c r="E111" s="124">
        <f t="shared" si="75"/>
        <v>0.1740436580311229</v>
      </c>
      <c r="F111" s="124">
        <f t="shared" si="75"/>
        <v>0.18295058225453686</v>
      </c>
      <c r="G111" s="124">
        <f t="shared" si="75"/>
        <v>0.19012542830267382</v>
      </c>
      <c r="H111" s="124">
        <f t="shared" si="75"/>
        <v>0.20978924721450701</v>
      </c>
      <c r="I111" s="124">
        <f t="shared" si="75"/>
        <v>0.19012947343580552</v>
      </c>
      <c r="J111" s="124">
        <f t="shared" si="75"/>
        <v>0.21931389419928249</v>
      </c>
      <c r="K111" s="124">
        <f t="shared" si="75"/>
        <v>0.19012947343580552</v>
      </c>
      <c r="L111" s="124">
        <f t="shared" si="75"/>
        <v>0.1901294734358055</v>
      </c>
      <c r="M111" s="124">
        <f t="shared" si="75"/>
        <v>0</v>
      </c>
      <c r="N111" s="124">
        <f t="shared" si="75"/>
        <v>0</v>
      </c>
    </row>
    <row r="112" spans="2:26" s="121" customFormat="1">
      <c r="C112" s="86"/>
      <c r="D112" s="86"/>
      <c r="E112" s="86"/>
      <c r="F112" s="86"/>
      <c r="G112" s="86"/>
      <c r="H112" s="86"/>
      <c r="I112" s="86"/>
      <c r="J112" s="87"/>
      <c r="K112" s="87"/>
      <c r="L112" s="87"/>
      <c r="M112" s="87"/>
      <c r="N112" s="87"/>
    </row>
    <row r="113" spans="2:14" s="121" customFormat="1">
      <c r="B113" s="96" t="s">
        <v>878</v>
      </c>
      <c r="C113" s="124">
        <f t="shared" ref="C113:N113" si="76">IFERROR(C21/C7,"")</f>
        <v>0.82544700562416173</v>
      </c>
      <c r="D113" s="124">
        <f t="shared" si="76"/>
        <v>0.81381225142140712</v>
      </c>
      <c r="E113" s="124">
        <f t="shared" si="76"/>
        <v>0.82595634196887713</v>
      </c>
      <c r="F113" s="124">
        <f t="shared" si="76"/>
        <v>0.81704941774546314</v>
      </c>
      <c r="G113" s="124">
        <f t="shared" si="76"/>
        <v>0.80987457169732624</v>
      </c>
      <c r="H113" s="124">
        <f t="shared" si="76"/>
        <v>0.79021075278549302</v>
      </c>
      <c r="I113" s="124">
        <f t="shared" si="76"/>
        <v>0.80987052656419445</v>
      </c>
      <c r="J113" s="124">
        <f t="shared" si="76"/>
        <v>0.78068610580071751</v>
      </c>
      <c r="K113" s="124">
        <f t="shared" si="76"/>
        <v>0.80987052656419445</v>
      </c>
      <c r="L113" s="124">
        <f t="shared" si="76"/>
        <v>0.80987052656419445</v>
      </c>
      <c r="M113" s="124">
        <f t="shared" si="76"/>
        <v>1</v>
      </c>
      <c r="N113" s="124">
        <f t="shared" si="76"/>
        <v>1</v>
      </c>
    </row>
    <row r="114" spans="2:14" s="121" customFormat="1">
      <c r="C114" s="123"/>
      <c r="D114" s="123"/>
      <c r="E114" s="123"/>
      <c r="F114" s="123"/>
      <c r="G114" s="123"/>
      <c r="H114" s="123"/>
      <c r="I114" s="123"/>
      <c r="J114" s="123"/>
      <c r="K114" s="123"/>
      <c r="L114" s="123"/>
      <c r="M114" s="123"/>
      <c r="N114" s="123"/>
    </row>
    <row r="115" spans="2:14" s="121" customFormat="1">
      <c r="B115" s="96" t="s">
        <v>404</v>
      </c>
      <c r="C115" s="124">
        <f t="shared" ref="C115:N115" si="77">IFERROR(C23/C7,"")</f>
        <v>0.33830284586304188</v>
      </c>
      <c r="D115" s="124">
        <f t="shared" si="77"/>
        <v>0.31591241844645529</v>
      </c>
      <c r="E115" s="124">
        <f t="shared" si="77"/>
        <v>0.30407795165304663</v>
      </c>
      <c r="F115" s="124">
        <f t="shared" si="77"/>
        <v>0.3331656026482237</v>
      </c>
      <c r="G115" s="124">
        <f t="shared" si="77"/>
        <v>0.38534482190423908</v>
      </c>
      <c r="H115" s="124">
        <f t="shared" si="77"/>
        <v>0.40929823866711168</v>
      </c>
      <c r="I115" s="124">
        <f t="shared" si="77"/>
        <v>0.40149580751421432</v>
      </c>
      <c r="J115" s="124">
        <f t="shared" si="77"/>
        <v>0.50512954856203973</v>
      </c>
      <c r="K115" s="124">
        <f t="shared" si="77"/>
        <v>0.40149580751421426</v>
      </c>
      <c r="L115" s="124">
        <f t="shared" si="77"/>
        <v>0.40149580751421432</v>
      </c>
      <c r="M115" s="124">
        <f t="shared" si="77"/>
        <v>0</v>
      </c>
      <c r="N115" s="124">
        <f t="shared" si="77"/>
        <v>0</v>
      </c>
    </row>
    <row r="116" spans="2:14" s="121" customFormat="1">
      <c r="B116" s="75"/>
      <c r="C116" s="87"/>
      <c r="D116" s="87"/>
      <c r="E116" s="87"/>
      <c r="F116" s="87"/>
      <c r="G116" s="87"/>
      <c r="H116" s="87"/>
      <c r="I116" s="87"/>
      <c r="J116" s="87"/>
      <c r="K116" s="87"/>
      <c r="L116" s="87"/>
      <c r="M116" s="87"/>
      <c r="N116" s="87"/>
    </row>
    <row r="117" spans="2:14" s="121" customFormat="1">
      <c r="B117" s="96" t="s">
        <v>405</v>
      </c>
      <c r="C117" s="124">
        <f t="shared" ref="C117:N117" si="78">IFERROR(C30/C7,"")</f>
        <v>0.48714415976111985</v>
      </c>
      <c r="D117" s="124">
        <f t="shared" si="78"/>
        <v>0.49789983297495188</v>
      </c>
      <c r="E117" s="124">
        <f t="shared" si="78"/>
        <v>0.5218783903158305</v>
      </c>
      <c r="F117" s="124">
        <f t="shared" si="78"/>
        <v>0.48388381509723949</v>
      </c>
      <c r="G117" s="124">
        <f t="shared" si="78"/>
        <v>0.42452974979308711</v>
      </c>
      <c r="H117" s="124">
        <f t="shared" si="78"/>
        <v>0.38091251411838134</v>
      </c>
      <c r="I117" s="124">
        <f t="shared" si="78"/>
        <v>0.40837471904998018</v>
      </c>
      <c r="J117" s="124">
        <f t="shared" si="78"/>
        <v>0.27555655723867784</v>
      </c>
      <c r="K117" s="124">
        <f t="shared" si="78"/>
        <v>0.40837471904998024</v>
      </c>
      <c r="L117" s="124">
        <f t="shared" si="78"/>
        <v>0.40837471904998013</v>
      </c>
      <c r="M117" s="124">
        <f t="shared" si="78"/>
        <v>1</v>
      </c>
      <c r="N117" s="124">
        <f t="shared" si="78"/>
        <v>1</v>
      </c>
    </row>
    <row r="118" spans="2:14" s="121" customFormat="1">
      <c r="B118" s="75"/>
      <c r="C118" s="87"/>
      <c r="D118" s="87"/>
      <c r="E118" s="87"/>
      <c r="F118" s="87"/>
      <c r="G118" s="87"/>
      <c r="H118" s="87"/>
      <c r="I118" s="87"/>
      <c r="J118" s="87"/>
      <c r="K118" s="87"/>
      <c r="L118" s="87"/>
      <c r="M118" s="87"/>
      <c r="N118" s="87"/>
    </row>
    <row r="119" spans="2:14" s="121" customFormat="1">
      <c r="B119" s="75" t="s">
        <v>406</v>
      </c>
      <c r="C119" s="87">
        <f t="shared" ref="C119:M119" si="79">IFERROR(C35/C34,"")</f>
        <v>1.210473967039191E-2</v>
      </c>
      <c r="D119" s="87">
        <f t="shared" si="79"/>
        <v>9.7602693878451018E-3</v>
      </c>
      <c r="E119" s="87">
        <f t="shared" si="79"/>
        <v>1.1293455690267264E-2</v>
      </c>
      <c r="F119" s="87">
        <f t="shared" si="79"/>
        <v>-1.1574773678448265E-2</v>
      </c>
      <c r="G119" s="87">
        <f t="shared" si="79"/>
        <v>-2.1343541513188242E-4</v>
      </c>
      <c r="H119" s="87">
        <f t="shared" si="79"/>
        <v>1.6211171066063877E-2</v>
      </c>
      <c r="I119" s="87">
        <f t="shared" si="79"/>
        <v>-5.0521606664224146E-3</v>
      </c>
      <c r="J119" s="87">
        <f t="shared" si="79"/>
        <v>-5.0521606664224146E-3</v>
      </c>
      <c r="K119" s="87">
        <f t="shared" si="79"/>
        <v>-5.0521606664224146E-3</v>
      </c>
      <c r="L119" s="87">
        <f t="shared" si="79"/>
        <v>-5.0521606664224146E-3</v>
      </c>
      <c r="M119" s="87">
        <f t="shared" si="79"/>
        <v>0</v>
      </c>
      <c r="N119" s="87">
        <f>IFERROR(N35/N34,"")</f>
        <v>0</v>
      </c>
    </row>
    <row r="120" spans="2:14" s="121" customFormat="1">
      <c r="C120" s="123"/>
      <c r="D120" s="123"/>
      <c r="E120" s="123"/>
      <c r="F120" s="123"/>
      <c r="G120" s="123"/>
      <c r="H120" s="123"/>
      <c r="I120" s="123"/>
      <c r="J120" s="123"/>
      <c r="K120" s="123"/>
      <c r="L120" s="123"/>
      <c r="M120" s="123"/>
      <c r="N120" s="123"/>
    </row>
    <row r="121" spans="2:14" s="121" customFormat="1">
      <c r="B121" s="96" t="s">
        <v>407</v>
      </c>
      <c r="C121" s="97">
        <f t="shared" ref="C121:N121" si="80">C39/C7</f>
        <v>0.3545154331635158</v>
      </c>
      <c r="D121" s="97">
        <f t="shared" si="80"/>
        <v>0.38420985010101982</v>
      </c>
      <c r="E121" s="97">
        <f t="shared" si="80"/>
        <v>0.34273065903541211</v>
      </c>
      <c r="F121" s="97">
        <f t="shared" si="80"/>
        <v>0.32334707690488856</v>
      </c>
      <c r="G121" s="97">
        <f t="shared" si="80"/>
        <v>0.23936269880353017</v>
      </c>
      <c r="H121" s="97">
        <f t="shared" si="80"/>
        <v>0.13757855853919301</v>
      </c>
      <c r="I121" s="97">
        <f t="shared" si="80"/>
        <v>0.23994700507057889</v>
      </c>
      <c r="J121" s="97">
        <f t="shared" si="80"/>
        <v>-0.60735143525160085</v>
      </c>
      <c r="K121" s="97">
        <f t="shared" si="80"/>
        <v>-0.18889421303279932</v>
      </c>
      <c r="L121" s="97">
        <f t="shared" si="80"/>
        <v>-0.33861871168875979</v>
      </c>
      <c r="M121" s="97">
        <f t="shared" si="80"/>
        <v>1</v>
      </c>
      <c r="N121" s="97">
        <f t="shared" si="80"/>
        <v>1</v>
      </c>
    </row>
    <row r="122" spans="2:14" s="121" customFormat="1" ht="14.5" thickBot="1">
      <c r="C122" s="123"/>
      <c r="D122" s="123"/>
      <c r="E122" s="123"/>
      <c r="F122" s="123"/>
      <c r="G122" s="123"/>
      <c r="H122" s="123"/>
      <c r="I122" s="123"/>
      <c r="J122" s="123"/>
      <c r="K122" s="123"/>
      <c r="L122" s="123"/>
      <c r="M122" s="123"/>
      <c r="N122" s="123"/>
    </row>
    <row r="123" spans="2:14" s="118" customFormat="1" ht="20">
      <c r="B123" s="76" t="s">
        <v>408</v>
      </c>
      <c r="C123" s="125"/>
      <c r="D123" s="125"/>
      <c r="E123" s="125"/>
      <c r="F123" s="125"/>
      <c r="G123" s="125"/>
      <c r="H123" s="125"/>
      <c r="I123" s="125"/>
      <c r="J123" s="125"/>
      <c r="K123" s="125"/>
      <c r="L123" s="125"/>
      <c r="M123" s="125"/>
      <c r="N123" s="125"/>
    </row>
    <row r="124" spans="2:14" s="121" customFormat="1">
      <c r="B124" s="75"/>
      <c r="C124" s="86"/>
      <c r="D124" s="86"/>
      <c r="E124" s="86"/>
      <c r="F124" s="86"/>
      <c r="G124" s="86"/>
      <c r="H124" s="86"/>
      <c r="I124" s="86"/>
      <c r="J124" s="86"/>
      <c r="K124" s="86"/>
      <c r="L124" s="86"/>
      <c r="M124" s="86"/>
      <c r="N124" s="86"/>
    </row>
    <row r="125" spans="2:14" s="121" customFormat="1">
      <c r="B125" s="96" t="s">
        <v>277</v>
      </c>
      <c r="C125" s="124"/>
      <c r="D125" s="124"/>
      <c r="E125" s="124"/>
      <c r="F125" s="124"/>
      <c r="G125" s="124">
        <f t="shared" ref="G125:I125" si="81">IFERROR(G7/C7-1,"")</f>
        <v>-0.23987142728312483</v>
      </c>
      <c r="H125" s="124">
        <f t="shared" si="81"/>
        <v>-0.2512293918904609</v>
      </c>
      <c r="I125" s="124">
        <f t="shared" si="81"/>
        <v>-0.23994518394615127</v>
      </c>
      <c r="J125" s="124">
        <f>J7/I7-1</f>
        <v>-0.14626494459661199</v>
      </c>
      <c r="K125" s="124">
        <f t="shared" ref="K125:N125" si="82">K7/J7-1</f>
        <v>0.42079595784668355</v>
      </c>
      <c r="L125" s="124">
        <f t="shared" si="82"/>
        <v>-0.19015654641179036</v>
      </c>
      <c r="M125" s="124">
        <f t="shared" si="82"/>
        <v>1.7991371138228018E-2</v>
      </c>
      <c r="N125" s="124">
        <f t="shared" si="82"/>
        <v>-0.14626494459661199</v>
      </c>
    </row>
    <row r="126" spans="2:14" s="121" customFormat="1">
      <c r="C126" s="126"/>
      <c r="D126" s="126"/>
      <c r="E126" s="126"/>
      <c r="F126" s="126"/>
      <c r="G126" s="126"/>
      <c r="H126" s="126"/>
      <c r="I126" s="126"/>
      <c r="J126" s="126"/>
      <c r="K126" s="126"/>
      <c r="L126" s="126"/>
      <c r="M126" s="126"/>
      <c r="N126" s="126"/>
    </row>
    <row r="127" spans="2:14" s="121" customFormat="1">
      <c r="B127" s="96" t="s">
        <v>287</v>
      </c>
      <c r="C127" s="124"/>
      <c r="D127" s="124"/>
      <c r="E127" s="124"/>
      <c r="F127" s="124"/>
      <c r="G127" s="124">
        <f t="shared" ref="G127:N127" si="83">IFERROR(G14/C14-1,"")</f>
        <v>-0.17205791301566731</v>
      </c>
      <c r="H127" s="124">
        <f t="shared" si="83"/>
        <v>-0.15631386376992928</v>
      </c>
      <c r="I127" s="124">
        <f t="shared" si="83"/>
        <v>-0.16969785860956288</v>
      </c>
      <c r="J127" s="124">
        <f t="shared" si="83"/>
        <v>-0.14440264238325262</v>
      </c>
      <c r="K127" s="124">
        <f t="shared" si="83"/>
        <v>0.29226056193229</v>
      </c>
      <c r="L127" s="124">
        <f t="shared" si="83"/>
        <v>-5.0341396995825405E-2</v>
      </c>
      <c r="M127" s="124">
        <f t="shared" si="83"/>
        <v>-1</v>
      </c>
      <c r="N127" s="124">
        <f t="shared" si="83"/>
        <v>-1</v>
      </c>
    </row>
    <row r="128" spans="2:14" s="121" customFormat="1">
      <c r="C128" s="123"/>
      <c r="D128" s="123"/>
      <c r="E128" s="123"/>
      <c r="F128" s="123"/>
      <c r="G128" s="123"/>
      <c r="H128" s="123"/>
      <c r="I128" s="123"/>
      <c r="J128" s="123"/>
      <c r="K128" s="123"/>
      <c r="L128" s="123"/>
      <c r="M128" s="123"/>
      <c r="N128" s="123"/>
    </row>
    <row r="129" spans="2:14" s="121" customFormat="1">
      <c r="B129" s="96" t="s">
        <v>296</v>
      </c>
      <c r="C129" s="97"/>
      <c r="D129" s="97"/>
      <c r="E129" s="97"/>
      <c r="F129" s="97"/>
      <c r="G129" s="124">
        <f t="shared" ref="G129:I129" si="84">IFERROR(G21/C21-1,"")</f>
        <v>-0.25421159920679992</v>
      </c>
      <c r="H129" s="124">
        <f t="shared" si="84"/>
        <v>-0.27294460747617344</v>
      </c>
      <c r="I129" s="124">
        <f t="shared" si="84"/>
        <v>-0.25474754194892202</v>
      </c>
      <c r="J129" s="124">
        <f>J21/I21-1</f>
        <v>-0.17703006353868012</v>
      </c>
      <c r="K129" s="124">
        <f t="shared" ref="K129:N129" si="85">K21/J21-1</f>
        <v>0.47390963150469734</v>
      </c>
      <c r="L129" s="124">
        <f t="shared" si="85"/>
        <v>-0.19015654641179036</v>
      </c>
      <c r="M129" s="124">
        <f t="shared" si="85"/>
        <v>0.25698039099776637</v>
      </c>
      <c r="N129" s="124">
        <f t="shared" si="85"/>
        <v>-0.14626494459661199</v>
      </c>
    </row>
    <row r="130" spans="2:14" s="121" customFormat="1">
      <c r="C130" s="123"/>
      <c r="D130" s="123"/>
      <c r="E130" s="123"/>
      <c r="F130" s="123"/>
      <c r="G130" s="123"/>
      <c r="H130" s="123"/>
      <c r="I130" s="123"/>
      <c r="J130" s="123"/>
      <c r="K130" s="123"/>
      <c r="L130" s="123"/>
      <c r="M130" s="123"/>
      <c r="N130" s="123"/>
    </row>
    <row r="131" spans="2:14" s="121" customFormat="1">
      <c r="B131" s="96" t="s">
        <v>298</v>
      </c>
      <c r="C131" s="97"/>
      <c r="D131" s="97"/>
      <c r="E131" s="97"/>
      <c r="F131" s="97"/>
      <c r="G131" s="124">
        <f t="shared" ref="G131:N131" si="86">IFERROR(G23/C23-1,"")</f>
        <v>-0.13417338027215486</v>
      </c>
      <c r="H131" s="124">
        <f t="shared" si="86"/>
        <v>-2.9887800637755424E-2</v>
      </c>
      <c r="I131" s="124">
        <f t="shared" si="86"/>
        <v>3.5545835128298897E-3</v>
      </c>
      <c r="J131" s="124">
        <f t="shared" si="86"/>
        <v>8.2130658971742099E-2</v>
      </c>
      <c r="K131" s="124">
        <f t="shared" si="86"/>
        <v>0.34639452699960271</v>
      </c>
      <c r="L131" s="124">
        <f t="shared" si="86"/>
        <v>2.7880021592014081E-2</v>
      </c>
      <c r="M131" s="124">
        <f t="shared" si="86"/>
        <v>-1</v>
      </c>
      <c r="N131" s="124">
        <f t="shared" si="86"/>
        <v>-1</v>
      </c>
    </row>
    <row r="132" spans="2:14" s="121" customFormat="1">
      <c r="C132" s="123"/>
      <c r="D132" s="123"/>
      <c r="E132" s="123"/>
      <c r="F132" s="123"/>
      <c r="G132" s="123"/>
      <c r="H132" s="123"/>
      <c r="I132" s="123"/>
      <c r="J132" s="123"/>
      <c r="K132" s="123"/>
      <c r="L132" s="123"/>
      <c r="M132" s="123"/>
      <c r="N132" s="123"/>
    </row>
    <row r="133" spans="2:14" s="121" customFormat="1">
      <c r="B133" s="96" t="s">
        <v>307</v>
      </c>
      <c r="C133" s="97"/>
      <c r="D133" s="97"/>
      <c r="E133" s="97"/>
      <c r="F133" s="97"/>
      <c r="G133" s="124">
        <f t="shared" ref="G133:N133" si="87">IFERROR(G30/C30-1,"")</f>
        <v>-0.33757351633998456</v>
      </c>
      <c r="H133" s="124">
        <f t="shared" si="87"/>
        <v>-0.42716169810946236</v>
      </c>
      <c r="I133" s="124">
        <f t="shared" si="87"/>
        <v>-0.40525000128720667</v>
      </c>
      <c r="J133" s="124">
        <f t="shared" si="87"/>
        <v>-0.59355036467894684</v>
      </c>
      <c r="K133" s="124">
        <f t="shared" si="87"/>
        <v>0.24305850517319616</v>
      </c>
      <c r="L133" s="124">
        <f t="shared" si="87"/>
        <v>0.12340122726108538</v>
      </c>
      <c r="M133" s="124">
        <f t="shared" si="87"/>
        <v>1.4487314061123651</v>
      </c>
      <c r="N133" s="124">
        <f t="shared" si="87"/>
        <v>2.6290190660708306</v>
      </c>
    </row>
    <row r="134" spans="2:14" s="121" customFormat="1">
      <c r="B134" s="83"/>
      <c r="C134" s="123"/>
      <c r="D134" s="123"/>
      <c r="E134" s="123"/>
      <c r="F134" s="123"/>
      <c r="G134" s="123"/>
      <c r="H134" s="123"/>
      <c r="I134" s="123"/>
      <c r="J134" s="123"/>
      <c r="K134" s="123"/>
      <c r="L134" s="123"/>
      <c r="M134" s="123"/>
      <c r="N134" s="123"/>
    </row>
    <row r="135" spans="2:14" s="121" customFormat="1">
      <c r="B135" s="61" t="s">
        <v>309</v>
      </c>
      <c r="C135" s="87"/>
      <c r="D135" s="87"/>
      <c r="E135" s="87"/>
      <c r="F135" s="87"/>
      <c r="G135" s="127">
        <f t="shared" ref="G135:N135" si="88">IFERROR(G32/C32-1,"")</f>
        <v>0.57982249628148419</v>
      </c>
      <c r="H135" s="127">
        <f t="shared" si="88"/>
        <v>2.3048550034810531</v>
      </c>
      <c r="I135" s="127">
        <f t="shared" si="88"/>
        <v>-0.16038082307640944</v>
      </c>
      <c r="J135" s="127">
        <f t="shared" si="88"/>
        <v>3.1926015149953626</v>
      </c>
      <c r="K135" s="127">
        <f t="shared" si="88"/>
        <v>2.1175568330610668</v>
      </c>
      <c r="L135" s="127">
        <f t="shared" si="88"/>
        <v>1.1496223113598942</v>
      </c>
      <c r="M135" s="127">
        <f t="shared" si="88"/>
        <v>-1</v>
      </c>
      <c r="N135" s="127">
        <f t="shared" si="88"/>
        <v>-1</v>
      </c>
    </row>
    <row r="136" spans="2:14" s="121" customFormat="1">
      <c r="B136" s="75"/>
      <c r="C136" s="87"/>
      <c r="D136" s="87"/>
      <c r="E136" s="87"/>
      <c r="F136" s="87"/>
      <c r="G136" s="87"/>
      <c r="H136" s="87"/>
      <c r="I136" s="87"/>
      <c r="J136" s="87"/>
      <c r="K136" s="87"/>
      <c r="L136" s="87"/>
      <c r="M136" s="87"/>
      <c r="N136" s="87"/>
    </row>
    <row r="137" spans="2:14" s="121" customFormat="1">
      <c r="B137" s="75" t="s">
        <v>311</v>
      </c>
      <c r="C137" s="123"/>
      <c r="D137" s="123"/>
      <c r="E137" s="123"/>
      <c r="F137" s="123"/>
      <c r="G137" s="127">
        <f t="shared" ref="G137:N138" si="89">IFERROR(G34/C34-1,"")</f>
        <v>-0.49839409302518334</v>
      </c>
      <c r="H137" s="127">
        <f t="shared" si="89"/>
        <v>-0.73000578024667639</v>
      </c>
      <c r="I137" s="127">
        <f t="shared" si="89"/>
        <v>-0.47894366668899457</v>
      </c>
      <c r="J137" s="127">
        <f t="shared" si="89"/>
        <v>-1.7700271481121435</v>
      </c>
      <c r="K137" s="127">
        <f t="shared" si="89"/>
        <v>-0.79188221769576306</v>
      </c>
      <c r="L137" s="127">
        <f t="shared" si="89"/>
        <v>-1.2690327697655954</v>
      </c>
      <c r="M137" s="127">
        <f t="shared" si="89"/>
        <v>2.6362347904895969</v>
      </c>
      <c r="N137" s="127">
        <f t="shared" si="89"/>
        <v>-3.5107513176917697</v>
      </c>
    </row>
    <row r="138" spans="2:14" s="75" customFormat="1">
      <c r="B138" s="98" t="s">
        <v>313</v>
      </c>
      <c r="C138" s="86"/>
      <c r="D138" s="86"/>
      <c r="E138" s="86"/>
      <c r="F138" s="86"/>
      <c r="G138" s="127">
        <f t="shared" si="89"/>
        <v>-1.0088445078459345</v>
      </c>
      <c r="H138" s="127">
        <f t="shared" si="89"/>
        <v>-0.55155720509924155</v>
      </c>
      <c r="I138" s="127">
        <f t="shared" si="89"/>
        <v>-1.2330960854092528</v>
      </c>
      <c r="J138" s="127">
        <f t="shared" si="89"/>
        <v>-1.336101679207186</v>
      </c>
      <c r="K138" s="127">
        <f t="shared" si="89"/>
        <v>3.9262886999837292</v>
      </c>
      <c r="L138" s="127">
        <f t="shared" si="89"/>
        <v>-0.91615678029369929</v>
      </c>
      <c r="M138" s="127">
        <f t="shared" si="89"/>
        <v>-1</v>
      </c>
      <c r="N138" s="127">
        <f t="shared" si="89"/>
        <v>-1</v>
      </c>
    </row>
    <row r="139" spans="2:14" s="75" customFormat="1">
      <c r="C139" s="86"/>
      <c r="D139" s="86"/>
      <c r="E139" s="86"/>
      <c r="F139" s="86"/>
      <c r="G139" s="86"/>
      <c r="H139" s="86"/>
      <c r="I139" s="87"/>
      <c r="J139" s="87"/>
      <c r="K139" s="87"/>
      <c r="L139" s="87"/>
      <c r="M139" s="87"/>
      <c r="N139" s="87"/>
    </row>
    <row r="140" spans="2:14" s="75" customFormat="1">
      <c r="B140" s="75" t="s">
        <v>409</v>
      </c>
      <c r="C140" s="87"/>
      <c r="D140" s="87"/>
      <c r="E140" s="87"/>
      <c r="F140" s="87"/>
      <c r="G140" s="127">
        <f t="shared" ref="G140:N140" si="90">IFERROR(G37/C37-1,"")</f>
        <v>-0.52675245513037594</v>
      </c>
      <c r="H140" s="127">
        <f t="shared" si="90"/>
        <v>-0.73102876760980229</v>
      </c>
      <c r="I140" s="127">
        <f t="shared" si="90"/>
        <v>-0.48588915758769413</v>
      </c>
      <c r="J140" s="127">
        <f t="shared" si="90"/>
        <v>1.9498960161654302</v>
      </c>
      <c r="K140" s="127">
        <f t="shared" si="90"/>
        <v>7.8069354616760691</v>
      </c>
      <c r="L140" s="127">
        <f t="shared" si="90"/>
        <v>13.524647887323944</v>
      </c>
      <c r="M140" s="127">
        <f t="shared" si="90"/>
        <v>-1</v>
      </c>
      <c r="N140" s="127">
        <f t="shared" si="90"/>
        <v>-1</v>
      </c>
    </row>
    <row r="141" spans="2:14" s="96" customFormat="1">
      <c r="B141" s="75"/>
      <c r="C141" s="97"/>
      <c r="D141" s="97"/>
      <c r="E141" s="97"/>
      <c r="F141" s="97"/>
      <c r="G141" s="87"/>
      <c r="H141" s="87"/>
      <c r="I141" s="87"/>
      <c r="J141" s="87"/>
      <c r="K141" s="87"/>
      <c r="L141" s="87"/>
      <c r="M141" s="87"/>
      <c r="N141" s="87"/>
    </row>
    <row r="142" spans="2:14" s="75" customFormat="1">
      <c r="B142" s="96" t="s">
        <v>364</v>
      </c>
      <c r="C142" s="87"/>
      <c r="D142" s="87"/>
      <c r="E142" s="87"/>
      <c r="F142" s="87"/>
      <c r="G142" s="97">
        <f t="shared" ref="G142:I142" si="91">IFERROR(G39/C39-1,"")</f>
        <v>-0.48677431337871779</v>
      </c>
      <c r="H142" s="97">
        <f t="shared" si="91"/>
        <v>-0.7318788653827073</v>
      </c>
      <c r="I142" s="97">
        <f t="shared" si="91"/>
        <v>-0.46788280536423399</v>
      </c>
      <c r="J142" s="97">
        <f>J39/I39-1</f>
        <v>-3.1609655476688867</v>
      </c>
      <c r="K142" s="97">
        <f t="shared" ref="K142:N142" si="92">K39/J39-1</f>
        <v>-0.55811393740025872</v>
      </c>
      <c r="L142" s="97">
        <f t="shared" si="92"/>
        <v>0.45175515184257597</v>
      </c>
      <c r="M142" s="97">
        <f t="shared" si="92"/>
        <v>-4.0063057238074649</v>
      </c>
      <c r="N142" s="97">
        <f t="shared" si="92"/>
        <v>-0.14626494459661199</v>
      </c>
    </row>
    <row r="146" spans="2:12">
      <c r="B146" s="61" t="s">
        <v>78</v>
      </c>
      <c r="E146" s="86">
        <f t="shared" ref="E146:F146" si="93">E39+E25+E86+E83+E37</f>
        <v>722073</v>
      </c>
      <c r="F146" s="86">
        <f t="shared" si="93"/>
        <v>734190</v>
      </c>
      <c r="G146" s="86">
        <f>G39+G25+G86+G83+G37</f>
        <v>557481</v>
      </c>
      <c r="H146" s="86">
        <f t="shared" ref="H146:L146" si="94">H39+H25+H86+H83+H37</f>
        <v>428486</v>
      </c>
      <c r="I146" s="86">
        <f t="shared" si="94"/>
        <v>638436</v>
      </c>
      <c r="J146" s="86">
        <f t="shared" si="94"/>
        <v>-310774.72834592185</v>
      </c>
      <c r="K146" s="86">
        <f t="shared" si="94"/>
        <v>-69125.541662227886</v>
      </c>
      <c r="L146" s="86">
        <f t="shared" si="94"/>
        <v>-272781.87912329152</v>
      </c>
    </row>
    <row r="147" spans="2:12">
      <c r="G147" s="63"/>
    </row>
    <row r="148" spans="2:12">
      <c r="B148" s="61" t="s">
        <v>411</v>
      </c>
      <c r="E148" s="86">
        <f t="shared" ref="E148:F148" si="95">E7</f>
        <v>1488615</v>
      </c>
      <c r="F148" s="86">
        <f t="shared" si="95"/>
        <v>1353360</v>
      </c>
      <c r="G148" s="86">
        <f>G7</f>
        <v>1062041</v>
      </c>
      <c r="H148" s="86">
        <f t="shared" ref="H148:L148" si="96">H7</f>
        <v>1060674</v>
      </c>
      <c r="I148" s="86">
        <f t="shared" si="96"/>
        <v>1131429</v>
      </c>
      <c r="J148" s="86">
        <f t="shared" si="96"/>
        <v>965940.59999999986</v>
      </c>
      <c r="K148" s="86">
        <f t="shared" si="96"/>
        <v>1372404.5</v>
      </c>
      <c r="L148" s="86">
        <f t="shared" si="96"/>
        <v>1111432.8</v>
      </c>
    </row>
    <row r="149" spans="2:12">
      <c r="B149" s="61" t="s">
        <v>412</v>
      </c>
      <c r="E149" s="86">
        <f t="shared" ref="E149:F149" si="97">E146</f>
        <v>722073</v>
      </c>
      <c r="F149" s="86">
        <f t="shared" si="97"/>
        <v>734190</v>
      </c>
      <c r="G149" s="86">
        <f>G146</f>
        <v>557481</v>
      </c>
      <c r="H149" s="86">
        <f t="shared" ref="H149:L149" si="98">H146</f>
        <v>428486</v>
      </c>
      <c r="I149" s="86">
        <f t="shared" si="98"/>
        <v>638436</v>
      </c>
      <c r="J149" s="86">
        <f t="shared" si="98"/>
        <v>-310774.72834592185</v>
      </c>
      <c r="K149" s="86">
        <f t="shared" si="98"/>
        <v>-69125.541662227886</v>
      </c>
      <c r="L149" s="86">
        <f t="shared" si="98"/>
        <v>-272781.87912329152</v>
      </c>
    </row>
    <row r="150" spans="2:12">
      <c r="B150" s="61" t="s">
        <v>413</v>
      </c>
      <c r="E150" s="138">
        <f>1000*E146/Everything!X135</f>
        <v>2.3336296043072688</v>
      </c>
      <c r="F150" s="138">
        <f>1000*F146/Everything!Y135</f>
        <v>2.3450962197907517</v>
      </c>
      <c r="G150" s="138">
        <f>1000*G146/Everything!Z135</f>
        <v>1.7915822101026222</v>
      </c>
      <c r="H150" s="138">
        <f>1000*H146/Everything!AA135</f>
        <v>1.386607698177114</v>
      </c>
      <c r="I150" s="138">
        <f>1000*I146/Everything!AB135</f>
        <v>2.0804841258627134</v>
      </c>
      <c r="J150" s="138">
        <f>1000*J146/Everything!AD135</f>
        <v>-0.94569741032941013</v>
      </c>
      <c r="K150" s="138">
        <f>1000*K146/Everything!AD135</f>
        <v>-0.21035122799567399</v>
      </c>
      <c r="L150" s="138">
        <f>1000*L146/Everything!AD135</f>
        <v>-0.83008395838590454</v>
      </c>
    </row>
    <row r="151" spans="2:12">
      <c r="B151" s="61" t="s">
        <v>414</v>
      </c>
      <c r="E151" s="139">
        <f t="shared" ref="E151:F151" si="99">E39/(E70-E68)</f>
        <v>0.20539392860967368</v>
      </c>
      <c r="F151" s="139">
        <f t="shared" si="99"/>
        <v>0.20455895750915853</v>
      </c>
      <c r="G151" s="139">
        <f>G39/(G70-G68)</f>
        <v>0.12793268930754814</v>
      </c>
      <c r="H151" s="139">
        <f t="shared" ref="H151:L151" si="100">H39/(H70-H68)</f>
        <v>8.530302020602358E-2</v>
      </c>
      <c r="I151" s="139">
        <f t="shared" si="100"/>
        <v>9.0573403914951084E-2</v>
      </c>
      <c r="J151" s="139">
        <f t="shared" si="100"/>
        <v>-4.9591499740263716</v>
      </c>
      <c r="K151" s="139">
        <f t="shared" si="100"/>
        <v>8.4076991136434603E-2</v>
      </c>
      <c r="L151" s="139">
        <f t="shared" si="100"/>
        <v>5.6154133252037539E-2</v>
      </c>
    </row>
    <row r="152" spans="2:12">
      <c r="B152" s="61" t="s">
        <v>415</v>
      </c>
      <c r="E152" s="138" t="e">
        <f>Everything!X136/'Model An 21A'!E132</f>
        <v>#DIV/0!</v>
      </c>
      <c r="F152" s="138" t="e">
        <f>Everything!Y136/'Model An 21A'!F132</f>
        <v>#DIV/0!</v>
      </c>
      <c r="G152" s="138">
        <f>Everything!Z136/'Model An 21A'!G132</f>
        <v>18.056133549872687</v>
      </c>
      <c r="H152" s="138">
        <f>Everything!AA136/'Model An 21A'!H132</f>
        <v>16.674737006519042</v>
      </c>
      <c r="I152" s="138">
        <f>Everything!AB136/'Model An 21A'!I132</f>
        <v>20.746932992406915</v>
      </c>
      <c r="J152" s="138">
        <f>68.76/'Model An 21A'!J132</f>
        <v>9.1700568381395335</v>
      </c>
      <c r="K152" s="138">
        <f>68.76/'Model An 21A'!K132</f>
        <v>7.1247398917858229</v>
      </c>
      <c r="L152" s="138">
        <f>68.76/'Model An 21A'!L132</f>
        <v>6.6737864925099313</v>
      </c>
    </row>
  </sheetData>
  <phoneticPr fontId="6" type="noConversion"/>
  <conditionalFormatting sqref="C72:N72">
    <cfRule type="cellIs" dxfId="0" priority="1" operator="notEqual">
      <formula>0</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05DB-B87E-F141-9980-8463221207F1}">
  <dimension ref="A1:O135"/>
  <sheetViews>
    <sheetView zoomScale="110" zoomScaleNormal="110" workbookViewId="0">
      <pane ySplit="1" topLeftCell="A2" activePane="bottomLeft" state="frozen"/>
      <selection pane="bottomLeft" activeCell="O7" sqref="O7"/>
    </sheetView>
  </sheetViews>
  <sheetFormatPr defaultColWidth="10.58203125" defaultRowHeight="14"/>
  <cols>
    <col min="1" max="1" width="25.08203125" style="31" customWidth="1"/>
    <col min="2" max="2" width="21.08203125" style="154" customWidth="1"/>
    <col min="3" max="3" width="13.33203125" style="31" hidden="1" customWidth="1"/>
    <col min="4" max="4" width="10.58203125" style="31" customWidth="1"/>
    <col min="5" max="9" width="13.33203125" style="31" customWidth="1"/>
    <col min="10" max="10" width="10.58203125" style="31"/>
    <col min="11" max="11" width="18.08203125" style="31" bestFit="1" customWidth="1"/>
    <col min="12" max="12" width="17.08203125" style="31" bestFit="1" customWidth="1"/>
    <col min="13" max="13" width="20.58203125" style="31" customWidth="1"/>
    <col min="14" max="14" width="15.5" style="31" customWidth="1"/>
    <col min="15" max="16384" width="10.58203125" style="31"/>
  </cols>
  <sheetData>
    <row r="1" spans="1:15" ht="14.5">
      <c r="A1" s="379" t="s">
        <v>892</v>
      </c>
      <c r="B1" s="146" t="s">
        <v>509</v>
      </c>
      <c r="C1" s="131" t="s">
        <v>893</v>
      </c>
      <c r="D1" s="131" t="s">
        <v>894</v>
      </c>
      <c r="E1" s="131" t="s">
        <v>895</v>
      </c>
      <c r="F1" s="131" t="s">
        <v>896</v>
      </c>
      <c r="G1" s="131" t="s">
        <v>897</v>
      </c>
      <c r="H1" s="131" t="s">
        <v>898</v>
      </c>
      <c r="I1" s="131" t="s">
        <v>899</v>
      </c>
      <c r="J1" s="131" t="s">
        <v>900</v>
      </c>
      <c r="K1" s="131" t="s">
        <v>901</v>
      </c>
      <c r="L1" s="131" t="s">
        <v>902</v>
      </c>
      <c r="M1" s="131" t="s">
        <v>903</v>
      </c>
    </row>
    <row r="2" spans="1:15">
      <c r="A2" s="148" t="s">
        <v>510</v>
      </c>
      <c r="B2" s="148"/>
      <c r="C2" s="134" t="s">
        <v>523</v>
      </c>
      <c r="D2" s="134" t="s">
        <v>904</v>
      </c>
      <c r="E2" s="134" t="s">
        <v>905</v>
      </c>
      <c r="F2" s="134" t="s">
        <v>906</v>
      </c>
      <c r="G2" s="134" t="s">
        <v>524</v>
      </c>
      <c r="H2" s="134" t="s">
        <v>907</v>
      </c>
      <c r="I2" s="134" t="s">
        <v>908</v>
      </c>
      <c r="J2" s="134" t="s">
        <v>909</v>
      </c>
      <c r="K2" s="134" t="s">
        <v>525</v>
      </c>
      <c r="L2" s="363">
        <v>44286</v>
      </c>
      <c r="M2" s="363">
        <v>44377</v>
      </c>
    </row>
    <row r="3" spans="1:15" ht="33.75" customHeight="1">
      <c r="A3" s="148" t="s">
        <v>910</v>
      </c>
      <c r="B3" s="148"/>
      <c r="C3" s="134" t="s">
        <v>911</v>
      </c>
      <c r="D3" s="134" t="s">
        <v>912</v>
      </c>
      <c r="E3" s="134" t="s">
        <v>541</v>
      </c>
      <c r="F3" s="134" t="s">
        <v>913</v>
      </c>
      <c r="G3" s="134" t="s">
        <v>911</v>
      </c>
      <c r="H3" s="134" t="s">
        <v>912</v>
      </c>
      <c r="I3" s="134" t="s">
        <v>541</v>
      </c>
      <c r="J3" s="134" t="s">
        <v>914</v>
      </c>
      <c r="K3" s="134" t="s">
        <v>542</v>
      </c>
      <c r="L3" s="363">
        <v>44326</v>
      </c>
      <c r="M3" s="363">
        <v>44412</v>
      </c>
    </row>
    <row r="4" spans="1:15">
      <c r="A4" s="148" t="s">
        <v>544</v>
      </c>
      <c r="B4" s="148"/>
      <c r="C4" s="134" t="s">
        <v>41</v>
      </c>
      <c r="D4" s="134" t="s">
        <v>41</v>
      </c>
      <c r="E4" s="134" t="s">
        <v>41</v>
      </c>
      <c r="F4" s="134" t="s">
        <v>41</v>
      </c>
      <c r="G4" s="134" t="s">
        <v>41</v>
      </c>
      <c r="H4" s="134" t="s">
        <v>41</v>
      </c>
      <c r="I4" s="134" t="s">
        <v>41</v>
      </c>
      <c r="J4" s="134" t="s">
        <v>41</v>
      </c>
      <c r="K4" s="134" t="s">
        <v>41</v>
      </c>
      <c r="L4" s="134" t="s">
        <v>41</v>
      </c>
      <c r="M4" s="134" t="s">
        <v>41</v>
      </c>
    </row>
    <row r="5" spans="1:15">
      <c r="A5" s="148" t="s">
        <v>508</v>
      </c>
      <c r="B5" s="148"/>
      <c r="C5" s="134"/>
      <c r="D5" s="134"/>
      <c r="E5" s="134"/>
      <c r="F5" s="134"/>
      <c r="G5" s="134"/>
      <c r="H5" s="134"/>
      <c r="I5" s="134"/>
      <c r="L5" s="331"/>
      <c r="M5" s="331"/>
    </row>
    <row r="6" spans="1:15">
      <c r="A6" s="147" t="s">
        <v>586</v>
      </c>
      <c r="B6" s="147"/>
      <c r="C6" s="132"/>
      <c r="D6" s="132"/>
      <c r="E6" s="132"/>
      <c r="F6" s="132"/>
      <c r="G6" s="132"/>
      <c r="H6" s="132"/>
      <c r="I6" s="132"/>
    </row>
    <row r="7" spans="1:15">
      <c r="A7" s="148" t="s">
        <v>587</v>
      </c>
      <c r="B7" s="149" t="s">
        <v>279</v>
      </c>
      <c r="C7" s="134">
        <v>1347155</v>
      </c>
      <c r="D7" s="134">
        <v>1280058</v>
      </c>
      <c r="E7" s="134">
        <v>1298567</v>
      </c>
      <c r="F7" s="134">
        <v>1308908</v>
      </c>
      <c r="G7" s="134">
        <v>1356238</v>
      </c>
      <c r="H7" s="134">
        <v>1262232</v>
      </c>
      <c r="I7" s="134">
        <v>1013510</v>
      </c>
      <c r="J7" s="134">
        <v>993831</v>
      </c>
      <c r="K7" s="134">
        <v>1032795</v>
      </c>
      <c r="L7" s="134">
        <v>1145058</v>
      </c>
      <c r="M7" s="134">
        <v>1158825</v>
      </c>
      <c r="O7" s="383"/>
    </row>
    <row r="8" spans="1:15" ht="28">
      <c r="A8" s="148" t="s">
        <v>591</v>
      </c>
      <c r="B8" s="149" t="s">
        <v>281</v>
      </c>
      <c r="C8" s="134">
        <v>30780</v>
      </c>
      <c r="D8" s="134">
        <v>27544</v>
      </c>
      <c r="E8" s="134">
        <v>28248</v>
      </c>
      <c r="F8" s="134">
        <v>27976</v>
      </c>
      <c r="G8" s="134">
        <v>29174</v>
      </c>
      <c r="H8" s="134">
        <v>29166</v>
      </c>
      <c r="I8" s="134">
        <v>21035</v>
      </c>
      <c r="J8" s="134">
        <v>21345</v>
      </c>
      <c r="K8" s="134">
        <v>25336</v>
      </c>
      <c r="L8" s="134">
        <v>25296</v>
      </c>
      <c r="M8" s="134">
        <v>26061</v>
      </c>
    </row>
    <row r="9" spans="1:15">
      <c r="A9" s="148" t="s">
        <v>592</v>
      </c>
      <c r="B9" s="149" t="s">
        <v>284</v>
      </c>
      <c r="C9" s="134">
        <v>84092</v>
      </c>
      <c r="D9" s="134">
        <v>145232</v>
      </c>
      <c r="E9" s="134">
        <v>70371</v>
      </c>
      <c r="F9" s="134">
        <v>79670</v>
      </c>
      <c r="G9" s="134">
        <v>103203</v>
      </c>
      <c r="H9" s="134">
        <v>61962</v>
      </c>
      <c r="I9" s="134">
        <v>27496</v>
      </c>
      <c r="J9" s="134">
        <v>45498</v>
      </c>
      <c r="K9" s="134">
        <v>73298</v>
      </c>
      <c r="L9" s="134">
        <v>69597</v>
      </c>
      <c r="M9" s="134">
        <v>54319</v>
      </c>
    </row>
    <row r="10" spans="1:15">
      <c r="A10" s="148" t="s">
        <v>593</v>
      </c>
      <c r="B10" s="148"/>
      <c r="C10" s="134">
        <v>1462027</v>
      </c>
      <c r="D10" s="134">
        <v>1452834</v>
      </c>
      <c r="E10" s="134">
        <v>1397186</v>
      </c>
      <c r="F10" s="134">
        <v>1416554</v>
      </c>
      <c r="G10" s="134">
        <v>1488615</v>
      </c>
      <c r="H10" s="134">
        <v>1353360</v>
      </c>
      <c r="I10" s="134">
        <v>1062041</v>
      </c>
      <c r="J10" s="134">
        <v>1060674</v>
      </c>
      <c r="K10" s="134">
        <v>1131429</v>
      </c>
      <c r="L10" s="134">
        <v>1239951</v>
      </c>
      <c r="M10" s="134">
        <v>1254146</v>
      </c>
    </row>
    <row r="11" spans="1:15">
      <c r="A11" s="147" t="s">
        <v>594</v>
      </c>
      <c r="B11" s="147"/>
      <c r="C11" s="132"/>
      <c r="D11" s="132"/>
      <c r="E11" s="132"/>
      <c r="F11" s="132"/>
      <c r="G11" s="132"/>
      <c r="H11" s="132"/>
      <c r="I11" s="132"/>
      <c r="J11" s="134"/>
      <c r="K11" s="134"/>
    </row>
    <row r="12" spans="1:15">
      <c r="A12" s="148" t="s">
        <v>595</v>
      </c>
      <c r="B12" s="149" t="s">
        <v>289</v>
      </c>
      <c r="C12" s="134">
        <v>115216</v>
      </c>
      <c r="D12" s="134">
        <v>111549</v>
      </c>
      <c r="E12" s="134">
        <v>106119</v>
      </c>
      <c r="F12" s="134">
        <v>121735</v>
      </c>
      <c r="G12" s="134">
        <v>113741</v>
      </c>
      <c r="H12" s="134">
        <v>105624</v>
      </c>
      <c r="I12" s="134">
        <v>70620</v>
      </c>
      <c r="J12" s="134">
        <v>91236</v>
      </c>
      <c r="K12" s="134">
        <v>81675</v>
      </c>
      <c r="L12" s="31">
        <v>86619</v>
      </c>
      <c r="M12" s="31">
        <v>96073</v>
      </c>
    </row>
    <row r="13" spans="1:15" ht="28">
      <c r="A13" s="148" t="s">
        <v>596</v>
      </c>
      <c r="B13" s="149" t="s">
        <v>85</v>
      </c>
      <c r="C13" s="134">
        <v>329145</v>
      </c>
      <c r="D13" s="134">
        <v>328643</v>
      </c>
      <c r="E13" s="134">
        <v>352606</v>
      </c>
      <c r="F13" s="134">
        <v>334944</v>
      </c>
      <c r="G13" s="134">
        <v>324310</v>
      </c>
      <c r="H13" s="134">
        <v>328262</v>
      </c>
      <c r="I13" s="134">
        <v>324140</v>
      </c>
      <c r="J13" s="134">
        <v>333755</v>
      </c>
      <c r="K13" s="134">
        <v>331851</v>
      </c>
      <c r="L13" s="31">
        <v>315738</v>
      </c>
      <c r="M13" s="31">
        <v>315732</v>
      </c>
    </row>
    <row r="14" spans="1:15">
      <c r="A14" s="148" t="s">
        <v>597</v>
      </c>
      <c r="B14" s="149" t="s">
        <v>291</v>
      </c>
      <c r="C14" s="134">
        <v>112790</v>
      </c>
      <c r="D14" s="134">
        <v>115459</v>
      </c>
      <c r="E14" s="134">
        <v>115914</v>
      </c>
      <c r="F14" s="134">
        <v>118031</v>
      </c>
      <c r="G14" s="134">
        <v>118600</v>
      </c>
      <c r="H14" s="134">
        <v>117543</v>
      </c>
      <c r="I14" s="134">
        <v>117221</v>
      </c>
      <c r="J14" s="134">
        <v>112311</v>
      </c>
      <c r="K14" s="134">
        <v>110067</v>
      </c>
      <c r="L14" s="31">
        <v>116012</v>
      </c>
      <c r="M14" s="31">
        <v>114695</v>
      </c>
    </row>
    <row r="15" spans="1:15">
      <c r="A15" s="148" t="s">
        <v>598</v>
      </c>
      <c r="B15" s="149" t="s">
        <v>293</v>
      </c>
      <c r="C15" s="134">
        <v>26081</v>
      </c>
      <c r="D15" s="134">
        <v>27922</v>
      </c>
      <c r="E15" s="134">
        <v>21850</v>
      </c>
      <c r="F15" s="134">
        <v>23979</v>
      </c>
      <c r="G15" s="134">
        <v>26743</v>
      </c>
      <c r="H15" s="134">
        <v>24431</v>
      </c>
      <c r="I15" s="134">
        <v>14080</v>
      </c>
      <c r="J15" s="134">
        <v>18971</v>
      </c>
      <c r="K15" s="134">
        <v>23376</v>
      </c>
      <c r="L15" s="31">
        <v>21355</v>
      </c>
      <c r="M15" s="31">
        <v>19036</v>
      </c>
    </row>
    <row r="16" spans="1:15" ht="28">
      <c r="A16" s="148" t="s">
        <v>599</v>
      </c>
      <c r="B16" s="149" t="s">
        <v>300</v>
      </c>
      <c r="C16" s="134">
        <v>43262</v>
      </c>
      <c r="D16" s="134">
        <v>37125</v>
      </c>
      <c r="E16" s="134">
        <v>35420</v>
      </c>
      <c r="F16" s="134">
        <v>36583</v>
      </c>
      <c r="G16" s="134">
        <v>41216</v>
      </c>
      <c r="H16" s="134">
        <v>33527</v>
      </c>
      <c r="I16" s="134">
        <v>12689</v>
      </c>
      <c r="J16" s="134">
        <v>14751</v>
      </c>
      <c r="K16" s="134">
        <v>37646</v>
      </c>
      <c r="L16" s="31">
        <v>29486</v>
      </c>
      <c r="M16" s="31">
        <v>19565</v>
      </c>
    </row>
    <row r="17" spans="1:13" ht="28">
      <c r="A17" s="148" t="s">
        <v>601</v>
      </c>
      <c r="B17" s="149" t="s">
        <v>300</v>
      </c>
      <c r="C17" s="134">
        <v>30584</v>
      </c>
      <c r="D17" s="134">
        <v>52560</v>
      </c>
      <c r="E17" s="134">
        <v>46467</v>
      </c>
      <c r="F17" s="134">
        <v>45865</v>
      </c>
      <c r="G17" s="134">
        <v>45217</v>
      </c>
      <c r="H17" s="134">
        <v>54370</v>
      </c>
      <c r="I17" s="134">
        <v>36090</v>
      </c>
      <c r="J17" s="134">
        <v>39960</v>
      </c>
      <c r="K17" s="134">
        <v>41249</v>
      </c>
      <c r="L17" s="31">
        <v>35999</v>
      </c>
      <c r="M17" s="31">
        <v>47699</v>
      </c>
    </row>
    <row r="18" spans="1:13" ht="28">
      <c r="A18" s="148" t="s">
        <v>602</v>
      </c>
      <c r="B18" s="149" t="s">
        <v>300</v>
      </c>
      <c r="C18" s="134">
        <v>10830</v>
      </c>
      <c r="D18" s="134">
        <v>9136</v>
      </c>
      <c r="E18" s="134">
        <v>10359</v>
      </c>
      <c r="F18" s="134">
        <v>8032</v>
      </c>
      <c r="G18" s="134">
        <v>7333</v>
      </c>
      <c r="H18" s="134">
        <v>6894</v>
      </c>
      <c r="I18" s="134">
        <v>7296</v>
      </c>
      <c r="J18" s="134">
        <v>3016</v>
      </c>
      <c r="K18" s="134">
        <v>5366</v>
      </c>
      <c r="L18" s="31">
        <v>6576</v>
      </c>
      <c r="M18" s="31">
        <v>7254</v>
      </c>
    </row>
    <row r="19" spans="1:13">
      <c r="A19" s="148" t="s">
        <v>606</v>
      </c>
      <c r="B19" s="149" t="s">
        <v>304</v>
      </c>
      <c r="C19" s="134">
        <v>23607</v>
      </c>
      <c r="D19" s="134">
        <v>25419</v>
      </c>
      <c r="E19" s="134">
        <v>27820</v>
      </c>
      <c r="F19" s="134">
        <v>22083</v>
      </c>
      <c r="G19" s="134">
        <v>34579</v>
      </c>
      <c r="H19" s="134">
        <v>27840</v>
      </c>
      <c r="I19" s="134">
        <v>29037</v>
      </c>
      <c r="J19" s="134">
        <v>42650</v>
      </c>
      <c r="K19" s="134">
        <v>38152</v>
      </c>
      <c r="L19" s="31">
        <v>23554</v>
      </c>
      <c r="M19" s="31">
        <v>29369</v>
      </c>
    </row>
    <row r="20" spans="1:13">
      <c r="A20" s="148" t="s">
        <v>607</v>
      </c>
      <c r="B20" s="148"/>
      <c r="C20" s="134">
        <v>691515</v>
      </c>
      <c r="D20" s="134">
        <v>707813</v>
      </c>
      <c r="E20" s="134">
        <v>716555</v>
      </c>
      <c r="F20" s="134">
        <v>711252</v>
      </c>
      <c r="G20" s="134">
        <v>711739</v>
      </c>
      <c r="H20" s="134">
        <v>698491</v>
      </c>
      <c r="I20" s="134">
        <v>611173</v>
      </c>
      <c r="J20" s="134">
        <v>656650</v>
      </c>
      <c r="K20" s="134">
        <v>669382</v>
      </c>
      <c r="L20" s="31">
        <v>635339</v>
      </c>
      <c r="M20" s="31">
        <v>649423</v>
      </c>
    </row>
    <row r="21" spans="1:13">
      <c r="A21" s="180" t="s">
        <v>608</v>
      </c>
      <c r="B21" s="148"/>
      <c r="C21" s="134">
        <v>770512</v>
      </c>
      <c r="D21" s="134">
        <v>745021</v>
      </c>
      <c r="E21" s="134">
        <v>680631</v>
      </c>
      <c r="F21" s="134">
        <v>705302</v>
      </c>
      <c r="G21" s="134">
        <v>776876</v>
      </c>
      <c r="H21" s="134">
        <v>654869</v>
      </c>
      <c r="I21" s="134">
        <v>450868</v>
      </c>
      <c r="J21" s="134">
        <v>404024</v>
      </c>
      <c r="K21" s="134">
        <v>462047</v>
      </c>
      <c r="L21" s="31">
        <v>604612</v>
      </c>
      <c r="M21" s="31">
        <v>604723</v>
      </c>
    </row>
    <row r="22" spans="1:13">
      <c r="A22" s="148" t="s">
        <v>609</v>
      </c>
      <c r="B22" s="150" t="s">
        <v>309</v>
      </c>
      <c r="C22" s="134">
        <v>-204341</v>
      </c>
      <c r="D22" s="134">
        <v>-198733</v>
      </c>
      <c r="E22" s="134">
        <v>-198425</v>
      </c>
      <c r="F22" s="134">
        <v>-202382</v>
      </c>
      <c r="G22" s="134">
        <v>-189813</v>
      </c>
      <c r="H22" s="134">
        <v>-187627</v>
      </c>
      <c r="I22" s="134">
        <v>-197061</v>
      </c>
      <c r="J22" s="134">
        <v>-201858</v>
      </c>
      <c r="K22" s="134">
        <v>-197855</v>
      </c>
      <c r="L22" s="134">
        <v>-202016</v>
      </c>
      <c r="M22" s="134">
        <v>-200419</v>
      </c>
    </row>
    <row r="23" spans="1:13" ht="28">
      <c r="A23" s="148" t="s">
        <v>610</v>
      </c>
      <c r="B23" s="150" t="s">
        <v>309</v>
      </c>
      <c r="C23" s="134">
        <v>0</v>
      </c>
      <c r="D23" s="134" t="s">
        <v>37</v>
      </c>
      <c r="E23" s="134" t="s">
        <v>37</v>
      </c>
      <c r="F23" s="134" t="s">
        <v>37</v>
      </c>
      <c r="G23" s="134">
        <v>-116256</v>
      </c>
      <c r="H23" s="134" t="s">
        <v>37</v>
      </c>
      <c r="I23" s="134" t="s">
        <v>37</v>
      </c>
      <c r="J23" s="134"/>
      <c r="K23" s="134">
        <v>0</v>
      </c>
      <c r="L23" s="31">
        <v>-2959</v>
      </c>
      <c r="M23" s="31">
        <v>0</v>
      </c>
    </row>
    <row r="24" spans="1:13" ht="28">
      <c r="A24" s="148" t="s">
        <v>612</v>
      </c>
      <c r="B24" s="151" t="s">
        <v>313</v>
      </c>
      <c r="C24" s="134">
        <v>-10422</v>
      </c>
      <c r="D24" s="134">
        <v>-10102</v>
      </c>
      <c r="E24" s="134">
        <v>-7010</v>
      </c>
      <c r="F24" s="134">
        <v>-6197</v>
      </c>
      <c r="G24" s="134">
        <v>-6744</v>
      </c>
      <c r="H24" s="134">
        <v>5783</v>
      </c>
      <c r="I24" s="134">
        <v>62</v>
      </c>
      <c r="J24" s="134">
        <v>-2779</v>
      </c>
      <c r="K24" s="134">
        <v>1572</v>
      </c>
      <c r="L24" s="134" t="s">
        <v>37</v>
      </c>
      <c r="M24" s="134" t="s">
        <v>37</v>
      </c>
    </row>
    <row r="25" spans="1:13" ht="28">
      <c r="A25" s="148" t="s">
        <v>613</v>
      </c>
      <c r="B25" s="150" t="s">
        <v>309</v>
      </c>
      <c r="C25" s="134">
        <v>149987</v>
      </c>
      <c r="D25" s="134">
        <v>90444</v>
      </c>
      <c r="E25" s="134">
        <v>106542</v>
      </c>
      <c r="F25" s="134">
        <v>119706</v>
      </c>
      <c r="G25" s="134">
        <v>127657</v>
      </c>
      <c r="H25" s="134">
        <v>50465</v>
      </c>
      <c r="I25" s="134">
        <v>44322</v>
      </c>
      <c r="J25" s="134">
        <v>61823</v>
      </c>
      <c r="K25" s="134">
        <v>63260</v>
      </c>
      <c r="L25" s="134">
        <v>15069</v>
      </c>
      <c r="M25" s="134">
        <v>348545</v>
      </c>
    </row>
    <row r="26" spans="1:13" ht="28">
      <c r="A26" s="148" t="s">
        <v>615</v>
      </c>
      <c r="B26" s="150" t="s">
        <v>309</v>
      </c>
      <c r="C26" s="134">
        <v>-16423</v>
      </c>
      <c r="D26" s="134">
        <v>5317</v>
      </c>
      <c r="E26" s="134">
        <v>-12317</v>
      </c>
      <c r="F26" s="134">
        <v>2154</v>
      </c>
      <c r="G26" s="134">
        <v>-3365</v>
      </c>
      <c r="H26" s="134">
        <v>-19048</v>
      </c>
      <c r="I26" s="134">
        <v>202</v>
      </c>
      <c r="J26" s="134">
        <v>-1279</v>
      </c>
      <c r="K26" s="134">
        <v>494</v>
      </c>
      <c r="L26" s="134">
        <v>-3201</v>
      </c>
      <c r="M26" s="134">
        <v>23</v>
      </c>
    </row>
    <row r="27" spans="1:13" ht="56">
      <c r="A27" s="148" t="s">
        <v>616</v>
      </c>
      <c r="B27" s="150" t="s">
        <v>309</v>
      </c>
      <c r="C27" s="134">
        <v>143879</v>
      </c>
      <c r="D27" s="134">
        <v>0</v>
      </c>
      <c r="E27" s="134">
        <v>2681</v>
      </c>
      <c r="F27" s="134">
        <v>10141</v>
      </c>
      <c r="G27" s="134">
        <v>2061</v>
      </c>
      <c r="H27" s="134">
        <v>962</v>
      </c>
      <c r="I27" s="134">
        <v>-7845</v>
      </c>
      <c r="J27" s="134">
        <v>-91285</v>
      </c>
      <c r="K27" s="134">
        <v>-16792</v>
      </c>
      <c r="L27" s="134" t="s">
        <v>37</v>
      </c>
      <c r="M27" s="134" t="s">
        <v>37</v>
      </c>
    </row>
    <row r="28" spans="1:13">
      <c r="A28" s="180" t="s">
        <v>623</v>
      </c>
      <c r="B28" s="148"/>
      <c r="C28" s="134">
        <v>833192</v>
      </c>
      <c r="D28" s="134">
        <v>631947</v>
      </c>
      <c r="E28" s="134">
        <v>572102</v>
      </c>
      <c r="F28" s="134">
        <v>628724</v>
      </c>
      <c r="G28" s="134">
        <v>590416</v>
      </c>
      <c r="H28" s="134">
        <v>505404</v>
      </c>
      <c r="I28" s="134">
        <v>290548</v>
      </c>
      <c r="J28" s="134">
        <v>168646</v>
      </c>
      <c r="K28" s="134">
        <v>312726</v>
      </c>
      <c r="L28" s="31">
        <v>510460</v>
      </c>
      <c r="M28" s="31">
        <v>705869</v>
      </c>
    </row>
    <row r="29" spans="1:13" ht="28">
      <c r="A29" s="148" t="s">
        <v>624</v>
      </c>
      <c r="B29" s="152" t="s">
        <v>316</v>
      </c>
      <c r="C29" s="134">
        <v>119562</v>
      </c>
      <c r="D29" s="134">
        <v>82638</v>
      </c>
      <c r="E29" s="134">
        <v>75944</v>
      </c>
      <c r="F29" s="134">
        <v>83636</v>
      </c>
      <c r="G29" s="134">
        <v>79388</v>
      </c>
      <c r="H29" s="134">
        <v>66965</v>
      </c>
      <c r="I29" s="134">
        <v>35501</v>
      </c>
      <c r="J29" s="134">
        <v>21886</v>
      </c>
      <c r="K29" s="134">
        <v>40409</v>
      </c>
      <c r="L29" s="31">
        <v>63766</v>
      </c>
      <c r="M29" s="31">
        <v>87778</v>
      </c>
    </row>
    <row r="30" spans="1:13">
      <c r="A30" s="148" t="s">
        <v>625</v>
      </c>
      <c r="B30" s="152" t="s">
        <v>316</v>
      </c>
      <c r="C30" s="134">
        <v>834</v>
      </c>
      <c r="D30" s="134">
        <v>834</v>
      </c>
      <c r="E30" s="134">
        <v>834</v>
      </c>
      <c r="F30" s="134">
        <v>834</v>
      </c>
      <c r="G30" s="134">
        <v>834</v>
      </c>
      <c r="H30" s="134">
        <v>834</v>
      </c>
      <c r="I30" s="134">
        <v>834</v>
      </c>
      <c r="J30" s="134">
        <v>834</v>
      </c>
      <c r="K30" s="134">
        <v>834</v>
      </c>
      <c r="L30" s="31">
        <v>834</v>
      </c>
      <c r="M30" s="31">
        <v>834</v>
      </c>
    </row>
    <row r="31" spans="1:13" ht="42">
      <c r="A31" s="148" t="s">
        <v>626</v>
      </c>
      <c r="B31" s="148"/>
      <c r="C31" s="134">
        <v>712796</v>
      </c>
      <c r="D31" s="134">
        <v>548475</v>
      </c>
      <c r="E31" s="134">
        <v>495324</v>
      </c>
      <c r="F31" s="134">
        <v>544254</v>
      </c>
      <c r="G31" s="134">
        <v>510194</v>
      </c>
      <c r="H31" s="134">
        <v>437605</v>
      </c>
      <c r="I31" s="134">
        <v>254213</v>
      </c>
      <c r="J31" s="134">
        <v>145926</v>
      </c>
      <c r="K31" s="134">
        <v>271483</v>
      </c>
      <c r="L31" s="134">
        <v>445860</v>
      </c>
      <c r="M31" s="134">
        <v>617257</v>
      </c>
    </row>
    <row r="32" spans="1:13">
      <c r="A32" s="147" t="s">
        <v>635</v>
      </c>
      <c r="B32" s="148"/>
      <c r="C32" s="132"/>
      <c r="D32" s="132"/>
      <c r="E32" s="132"/>
      <c r="F32" s="132"/>
      <c r="G32" s="132"/>
      <c r="H32" s="132"/>
      <c r="I32" s="132"/>
      <c r="J32" s="134"/>
      <c r="K32" s="134"/>
    </row>
    <row r="33" spans="1:13" s="144" customFormat="1" ht="42">
      <c r="A33" s="153" t="s">
        <v>630</v>
      </c>
      <c r="B33" s="148"/>
      <c r="C33" s="143">
        <v>2.2999999999999998</v>
      </c>
      <c r="D33" s="143">
        <v>1.78</v>
      </c>
      <c r="E33" s="143">
        <v>1.6</v>
      </c>
      <c r="F33" s="143">
        <v>1.77</v>
      </c>
      <c r="G33" s="143">
        <v>1.66</v>
      </c>
      <c r="H33" s="143">
        <v>1.43</v>
      </c>
      <c r="I33" s="143">
        <v>0.83</v>
      </c>
      <c r="J33" s="143">
        <v>0.48</v>
      </c>
      <c r="K33" s="143">
        <v>0.86</v>
      </c>
      <c r="L33" s="143">
        <v>1.36</v>
      </c>
      <c r="M33" s="143">
        <v>1.88</v>
      </c>
    </row>
    <row r="34" spans="1:13">
      <c r="A34" s="147" t="s">
        <v>639</v>
      </c>
      <c r="B34" s="148"/>
      <c r="C34" s="132"/>
      <c r="D34" s="132"/>
      <c r="E34" s="132"/>
      <c r="F34" s="132"/>
      <c r="G34" s="132"/>
      <c r="H34" s="132"/>
      <c r="I34" s="132"/>
      <c r="K34" s="134"/>
    </row>
    <row r="35" spans="1:13" ht="28">
      <c r="A35" s="148" t="s">
        <v>640</v>
      </c>
      <c r="C35" s="134" t="s">
        <v>37</v>
      </c>
      <c r="D35" s="134">
        <v>631947</v>
      </c>
      <c r="E35" s="134">
        <v>572102</v>
      </c>
      <c r="F35" s="134">
        <v>628724</v>
      </c>
      <c r="G35" s="134" t="s">
        <v>37</v>
      </c>
      <c r="H35" s="134">
        <v>505404</v>
      </c>
      <c r="I35" s="134">
        <v>290548</v>
      </c>
      <c r="J35" s="134">
        <v>168646</v>
      </c>
      <c r="K35" s="134">
        <v>312726</v>
      </c>
      <c r="L35" s="134">
        <v>510460</v>
      </c>
      <c r="M35" s="134">
        <v>705869</v>
      </c>
    </row>
    <row r="36" spans="1:13" ht="28">
      <c r="A36" s="148" t="s">
        <v>641</v>
      </c>
      <c r="C36" s="134" t="s">
        <v>37</v>
      </c>
      <c r="D36" s="134">
        <v>9342</v>
      </c>
      <c r="E36" s="134">
        <v>-7022</v>
      </c>
      <c r="F36" s="134">
        <v>12907</v>
      </c>
      <c r="G36" s="134" t="s">
        <v>37</v>
      </c>
      <c r="H36" s="134">
        <v>22473</v>
      </c>
      <c r="I36" s="134">
        <v>-24332</v>
      </c>
      <c r="J36" s="134">
        <v>-49175</v>
      </c>
      <c r="K36" s="134" t="s">
        <v>37</v>
      </c>
      <c r="L36" s="134">
        <v>35847</v>
      </c>
      <c r="M36" s="134">
        <v>1239</v>
      </c>
    </row>
    <row r="37" spans="1:13" ht="56">
      <c r="A37" s="148" t="s">
        <v>642</v>
      </c>
      <c r="B37" s="148"/>
      <c r="C37" s="134" t="s">
        <v>37</v>
      </c>
      <c r="D37" s="134">
        <v>1088</v>
      </c>
      <c r="E37" s="134">
        <v>1086</v>
      </c>
      <c r="F37" s="134">
        <v>1087</v>
      </c>
      <c r="G37" s="134" t="s">
        <v>37</v>
      </c>
      <c r="H37" s="134">
        <v>-480</v>
      </c>
      <c r="I37" s="134">
        <v>-478</v>
      </c>
      <c r="J37" s="134">
        <v>-477</v>
      </c>
      <c r="K37" s="134" t="s">
        <v>37</v>
      </c>
      <c r="L37" s="134">
        <v>-6143</v>
      </c>
      <c r="M37" s="134">
        <v>-475</v>
      </c>
    </row>
    <row r="38" spans="1:13" ht="28">
      <c r="A38" s="148" t="s">
        <v>643</v>
      </c>
      <c r="B38" s="148"/>
      <c r="C38" s="134" t="s">
        <v>37</v>
      </c>
      <c r="D38" s="134">
        <v>-4744</v>
      </c>
      <c r="E38" s="134">
        <v>-3623</v>
      </c>
      <c r="F38" s="134">
        <v>-6288</v>
      </c>
      <c r="G38" s="134" t="s">
        <v>37</v>
      </c>
      <c r="H38" s="134">
        <v>-23604</v>
      </c>
      <c r="I38" s="134">
        <v>-15904</v>
      </c>
      <c r="J38" s="134">
        <v>20525</v>
      </c>
      <c r="K38" s="134" t="s">
        <v>37</v>
      </c>
      <c r="L38" s="134">
        <v>-23883</v>
      </c>
      <c r="M38" s="134">
        <v>-5886</v>
      </c>
    </row>
    <row r="39" spans="1:13" ht="28">
      <c r="A39" s="148" t="s">
        <v>644</v>
      </c>
      <c r="B39" s="148"/>
      <c r="C39" s="134" t="s">
        <v>37</v>
      </c>
      <c r="D39" s="134">
        <v>144</v>
      </c>
      <c r="E39" s="134">
        <v>539</v>
      </c>
      <c r="F39" s="134">
        <v>468</v>
      </c>
      <c r="G39" s="134" t="s">
        <v>37</v>
      </c>
      <c r="H39" s="134">
        <v>824</v>
      </c>
      <c r="I39" s="134">
        <v>-552</v>
      </c>
      <c r="J39" s="134">
        <v>-27</v>
      </c>
      <c r="K39" s="134" t="s">
        <v>37</v>
      </c>
      <c r="L39" s="134">
        <v>-316</v>
      </c>
      <c r="M39" s="134">
        <v>82</v>
      </c>
    </row>
    <row r="40" spans="1:13" ht="24" customHeight="1">
      <c r="A40" s="148" t="s">
        <v>645</v>
      </c>
      <c r="B40" s="148"/>
      <c r="C40" s="134" t="s">
        <v>37</v>
      </c>
      <c r="D40" s="134">
        <v>637777</v>
      </c>
      <c r="E40" s="134">
        <v>563082</v>
      </c>
      <c r="F40" s="134">
        <v>636898</v>
      </c>
      <c r="G40" s="134" t="s">
        <v>37</v>
      </c>
      <c r="H40" s="134">
        <v>504617</v>
      </c>
      <c r="I40" s="134">
        <v>249282</v>
      </c>
      <c r="J40" s="134">
        <v>139492</v>
      </c>
      <c r="K40" s="134" t="s">
        <v>37</v>
      </c>
      <c r="L40" s="31">
        <v>515965</v>
      </c>
      <c r="M40" s="31">
        <v>700829</v>
      </c>
    </row>
    <row r="41" spans="1:13" ht="42">
      <c r="A41" s="148" t="s">
        <v>646</v>
      </c>
      <c r="B41" s="147"/>
      <c r="C41" s="134" t="s">
        <v>37</v>
      </c>
      <c r="D41" s="134">
        <v>83411</v>
      </c>
      <c r="E41" s="134">
        <v>74704</v>
      </c>
      <c r="F41" s="134">
        <v>84662</v>
      </c>
      <c r="G41" s="134" t="s">
        <v>37</v>
      </c>
      <c r="H41" s="134">
        <v>66874</v>
      </c>
      <c r="I41" s="134">
        <v>30060</v>
      </c>
      <c r="J41" s="134">
        <v>18074</v>
      </c>
      <c r="K41" s="134" t="s">
        <v>37</v>
      </c>
      <c r="L41" s="134">
        <v>64462</v>
      </c>
      <c r="M41" s="134">
        <v>87178</v>
      </c>
    </row>
    <row r="42" spans="1:13" ht="42">
      <c r="A42" s="148" t="s">
        <v>647</v>
      </c>
      <c r="B42" s="148"/>
      <c r="C42" s="134" t="s">
        <v>37</v>
      </c>
      <c r="D42" s="134">
        <v>554366</v>
      </c>
      <c r="E42" s="134">
        <v>488378</v>
      </c>
      <c r="F42" s="134">
        <v>552236</v>
      </c>
      <c r="G42" s="134" t="s">
        <v>37</v>
      </c>
      <c r="H42" s="134">
        <v>437743</v>
      </c>
      <c r="I42" s="134">
        <v>219222</v>
      </c>
      <c r="J42" s="134">
        <v>121418</v>
      </c>
      <c r="K42" s="31" t="s">
        <v>37</v>
      </c>
      <c r="L42" s="31">
        <v>451503</v>
      </c>
      <c r="M42" s="31">
        <v>613651</v>
      </c>
    </row>
    <row r="43" spans="1:13">
      <c r="A43" s="148"/>
      <c r="B43" s="148"/>
      <c r="C43" s="134"/>
      <c r="D43" s="134"/>
      <c r="E43" s="134"/>
      <c r="F43" s="134"/>
      <c r="G43" s="134"/>
      <c r="H43" s="134"/>
      <c r="I43" s="134"/>
      <c r="J43" s="134"/>
    </row>
    <row r="44" spans="1:13" ht="14.5">
      <c r="A44" s="380" t="s">
        <v>915</v>
      </c>
      <c r="B44" s="148"/>
      <c r="C44" s="131" t="s">
        <v>893</v>
      </c>
      <c r="D44" s="131" t="s">
        <v>894</v>
      </c>
      <c r="E44" s="131" t="s">
        <v>895</v>
      </c>
      <c r="F44" s="131" t="s">
        <v>896</v>
      </c>
      <c r="G44" s="131" t="s">
        <v>897</v>
      </c>
      <c r="H44" s="131" t="s">
        <v>898</v>
      </c>
      <c r="I44" s="131" t="s">
        <v>916</v>
      </c>
      <c r="J44" s="131" t="s">
        <v>900</v>
      </c>
      <c r="K44" s="131" t="s">
        <v>901</v>
      </c>
      <c r="L44" s="131" t="s">
        <v>902</v>
      </c>
      <c r="M44" s="131" t="s">
        <v>903</v>
      </c>
    </row>
    <row r="45" spans="1:13">
      <c r="A45" s="148" t="s">
        <v>510</v>
      </c>
      <c r="B45" s="148"/>
      <c r="C45" s="134" t="s">
        <v>523</v>
      </c>
      <c r="D45" s="134" t="s">
        <v>904</v>
      </c>
      <c r="E45" s="134" t="s">
        <v>905</v>
      </c>
      <c r="F45" s="134" t="s">
        <v>906</v>
      </c>
      <c r="G45" s="134" t="s">
        <v>524</v>
      </c>
      <c r="H45" s="134" t="s">
        <v>907</v>
      </c>
      <c r="I45" s="134" t="s">
        <v>908</v>
      </c>
      <c r="J45" s="134" t="s">
        <v>909</v>
      </c>
      <c r="K45" s="134" t="s">
        <v>525</v>
      </c>
      <c r="L45" s="134">
        <v>44286</v>
      </c>
      <c r="M45" s="134">
        <v>44377</v>
      </c>
    </row>
    <row r="46" spans="1:13" ht="28">
      <c r="A46" s="148" t="s">
        <v>910</v>
      </c>
      <c r="B46" s="148"/>
      <c r="C46" s="134" t="s">
        <v>540</v>
      </c>
      <c r="D46" s="134" t="s">
        <v>917</v>
      </c>
      <c r="E46" s="134" t="s">
        <v>918</v>
      </c>
      <c r="F46" s="134" t="s">
        <v>913</v>
      </c>
      <c r="G46" s="134" t="s">
        <v>541</v>
      </c>
      <c r="H46" s="134" t="s">
        <v>912</v>
      </c>
      <c r="I46" s="134" t="s">
        <v>541</v>
      </c>
      <c r="J46" s="134" t="s">
        <v>914</v>
      </c>
      <c r="K46" s="134" t="s">
        <v>542</v>
      </c>
      <c r="L46" s="134" t="s">
        <v>919</v>
      </c>
      <c r="M46" s="134" t="s">
        <v>920</v>
      </c>
    </row>
    <row r="47" spans="1:13">
      <c r="A47" s="148" t="s">
        <v>544</v>
      </c>
      <c r="B47" s="148"/>
      <c r="C47" s="134" t="s">
        <v>41</v>
      </c>
      <c r="D47" s="134" t="s">
        <v>41</v>
      </c>
      <c r="E47" s="134" t="s">
        <v>41</v>
      </c>
      <c r="F47" s="134" t="s">
        <v>41</v>
      </c>
      <c r="G47" s="134" t="s">
        <v>41</v>
      </c>
      <c r="H47" s="134" t="s">
        <v>41</v>
      </c>
      <c r="I47" s="134" t="s">
        <v>41</v>
      </c>
      <c r="J47" s="134" t="s">
        <v>41</v>
      </c>
      <c r="K47" s="134" t="s">
        <v>41</v>
      </c>
      <c r="L47" s="134" t="s">
        <v>41</v>
      </c>
      <c r="M47" s="134" t="s">
        <v>41</v>
      </c>
    </row>
    <row r="48" spans="1:13">
      <c r="A48" s="148" t="s">
        <v>508</v>
      </c>
      <c r="B48" s="148"/>
      <c r="C48" s="134"/>
      <c r="D48" s="134"/>
      <c r="E48" s="134"/>
      <c r="F48" s="134"/>
      <c r="G48" s="134"/>
      <c r="H48" s="134"/>
      <c r="I48" s="134"/>
    </row>
    <row r="49" spans="1:13">
      <c r="A49" s="147" t="s">
        <v>545</v>
      </c>
      <c r="B49" s="172"/>
      <c r="C49" s="132"/>
      <c r="D49" s="132"/>
      <c r="E49" s="132"/>
      <c r="F49" s="132"/>
      <c r="G49" s="132"/>
      <c r="H49" s="132"/>
      <c r="I49" s="132"/>
      <c r="J49"/>
    </row>
    <row r="50" spans="1:13" ht="28">
      <c r="A50" s="148" t="s">
        <v>546</v>
      </c>
      <c r="B50" s="155"/>
      <c r="C50" s="134">
        <v>37092670</v>
      </c>
      <c r="D50" s="134">
        <v>37193798</v>
      </c>
      <c r="E50" s="134">
        <v>37458909</v>
      </c>
      <c r="F50" s="134">
        <v>37590061</v>
      </c>
      <c r="G50" s="134">
        <v>37804495</v>
      </c>
      <c r="H50" s="134">
        <v>37901273</v>
      </c>
      <c r="I50" s="134">
        <v>37972093</v>
      </c>
      <c r="J50" s="134">
        <v>38074281</v>
      </c>
      <c r="K50" s="134">
        <v>38050196</v>
      </c>
      <c r="L50" s="134">
        <v>37786371</v>
      </c>
      <c r="M50" s="134">
        <v>37938181</v>
      </c>
    </row>
    <row r="51" spans="1:13" ht="28">
      <c r="A51" s="148" t="s">
        <v>547</v>
      </c>
      <c r="B51" s="155"/>
      <c r="C51" s="134">
        <v>12884539</v>
      </c>
      <c r="D51" s="134">
        <v>13119895</v>
      </c>
      <c r="E51" s="134">
        <v>13444275</v>
      </c>
      <c r="F51" s="134">
        <v>13707832</v>
      </c>
      <c r="G51" s="134">
        <v>13905776</v>
      </c>
      <c r="H51" s="134">
        <v>14088615</v>
      </c>
      <c r="I51" s="134">
        <v>14389809</v>
      </c>
      <c r="J51" s="134">
        <v>14692374</v>
      </c>
      <c r="K51" s="134">
        <v>14891937</v>
      </c>
      <c r="L51" s="134">
        <v>14881480</v>
      </c>
      <c r="M51" s="134">
        <v>15176790</v>
      </c>
    </row>
    <row r="52" spans="1:13">
      <c r="A52" s="148" t="s">
        <v>548</v>
      </c>
      <c r="B52" s="152" t="s">
        <v>331</v>
      </c>
      <c r="C52" s="134">
        <v>24208131</v>
      </c>
      <c r="D52" s="134">
        <v>24073903</v>
      </c>
      <c r="E52" s="134">
        <v>24014634</v>
      </c>
      <c r="F52" s="134">
        <v>23882229</v>
      </c>
      <c r="G52" s="134">
        <v>23898719</v>
      </c>
      <c r="H52" s="134">
        <v>23812658</v>
      </c>
      <c r="I52" s="134">
        <v>23582284</v>
      </c>
      <c r="J52" s="134">
        <v>23381907</v>
      </c>
      <c r="K52" s="134">
        <v>23158259</v>
      </c>
      <c r="L52" s="134">
        <v>22904891</v>
      </c>
      <c r="M52" s="134">
        <v>22761391</v>
      </c>
    </row>
    <row r="53" spans="1:13" ht="28">
      <c r="A53" s="148" t="s">
        <v>549</v>
      </c>
      <c r="B53" s="152" t="s">
        <v>321</v>
      </c>
      <c r="C53" s="134">
        <v>514335</v>
      </c>
      <c r="D53" s="134">
        <v>436802</v>
      </c>
      <c r="E53" s="134">
        <v>479776</v>
      </c>
      <c r="F53" s="134">
        <v>3647230</v>
      </c>
      <c r="G53" s="134">
        <v>669373</v>
      </c>
      <c r="H53" s="134">
        <v>3724853</v>
      </c>
      <c r="I53" s="134">
        <v>3306100</v>
      </c>
      <c r="J53" s="134">
        <v>1082313</v>
      </c>
      <c r="K53" s="134">
        <v>1011613</v>
      </c>
      <c r="L53" s="134">
        <v>935837</v>
      </c>
      <c r="M53" s="134">
        <v>1290799</v>
      </c>
    </row>
    <row r="54" spans="1:13" ht="28">
      <c r="A54" s="148" t="s">
        <v>550</v>
      </c>
      <c r="B54" s="152" t="s">
        <v>323</v>
      </c>
      <c r="C54" s="134">
        <v>763815</v>
      </c>
      <c r="D54" s="134">
        <v>733159</v>
      </c>
      <c r="E54" s="134">
        <v>736362</v>
      </c>
      <c r="F54" s="134">
        <v>775617</v>
      </c>
      <c r="G54" s="134">
        <v>832151</v>
      </c>
      <c r="H54" s="134">
        <v>793490</v>
      </c>
      <c r="I54" s="134">
        <v>1457695</v>
      </c>
      <c r="J54" s="134">
        <v>1452295</v>
      </c>
      <c r="K54" s="134">
        <v>1236734</v>
      </c>
      <c r="L54" s="134">
        <v>1016902</v>
      </c>
      <c r="M54" s="134">
        <v>952731</v>
      </c>
    </row>
    <row r="55" spans="1:13" ht="42">
      <c r="A55" s="148" t="s">
        <v>551</v>
      </c>
      <c r="B55" s="151" t="s">
        <v>340</v>
      </c>
      <c r="C55" s="134">
        <v>2220414</v>
      </c>
      <c r="D55" s="134">
        <v>2197309</v>
      </c>
      <c r="E55" s="134">
        <v>2141745</v>
      </c>
      <c r="F55" s="134">
        <v>2121558</v>
      </c>
      <c r="G55" s="134">
        <v>2371053</v>
      </c>
      <c r="H55" s="134">
        <v>2414642</v>
      </c>
      <c r="I55" s="134">
        <v>2385946</v>
      </c>
      <c r="J55" s="134">
        <v>2449335</v>
      </c>
      <c r="K55" s="134">
        <v>2603571</v>
      </c>
      <c r="L55" s="134">
        <v>2517495</v>
      </c>
      <c r="M55" s="134">
        <v>2746162</v>
      </c>
    </row>
    <row r="56" spans="1:13" ht="28">
      <c r="A56" s="148" t="s">
        <v>552</v>
      </c>
      <c r="B56" s="151" t="s">
        <v>340</v>
      </c>
      <c r="C56" s="134">
        <v>1769488</v>
      </c>
      <c r="D56" s="134">
        <v>1676635</v>
      </c>
      <c r="E56" s="134">
        <v>1718402</v>
      </c>
      <c r="F56" s="134">
        <v>1614109</v>
      </c>
      <c r="G56" s="134">
        <v>1731649</v>
      </c>
      <c r="H56" s="134">
        <v>1628343</v>
      </c>
      <c r="I56" s="134">
        <v>1644020</v>
      </c>
      <c r="J56" s="134">
        <v>1641680</v>
      </c>
      <c r="K56" s="134">
        <v>1729690</v>
      </c>
      <c r="L56" s="134">
        <v>1646429</v>
      </c>
      <c r="M56" s="134">
        <v>1706661</v>
      </c>
    </row>
    <row r="57" spans="1:13">
      <c r="A57" s="148" t="s">
        <v>553</v>
      </c>
      <c r="B57" s="151" t="s">
        <v>340</v>
      </c>
      <c r="C57" s="134"/>
      <c r="D57" s="134"/>
      <c r="E57" s="134"/>
      <c r="F57" s="134"/>
      <c r="G57" s="134"/>
      <c r="H57" s="134"/>
      <c r="I57" s="134"/>
      <c r="J57" s="134"/>
      <c r="K57" s="134">
        <v>3451897</v>
      </c>
      <c r="L57" s="134">
        <v>3436304</v>
      </c>
      <c r="M57" s="134">
        <v>3415996</v>
      </c>
    </row>
    <row r="58" spans="1:13">
      <c r="A58" s="148" t="s">
        <v>554</v>
      </c>
      <c r="B58" s="152" t="s">
        <v>339</v>
      </c>
      <c r="C58" s="134">
        <v>0</v>
      </c>
      <c r="D58" s="134" t="s">
        <v>37</v>
      </c>
      <c r="E58" s="134" t="s">
        <v>37</v>
      </c>
      <c r="F58" s="134" t="s">
        <v>37</v>
      </c>
      <c r="G58" s="134">
        <v>514660</v>
      </c>
      <c r="H58" s="134">
        <v>519175</v>
      </c>
      <c r="I58" s="134">
        <v>517061</v>
      </c>
      <c r="J58" s="134">
        <v>515004</v>
      </c>
      <c r="K58" s="134">
        <v>512914</v>
      </c>
      <c r="L58" s="134">
        <v>510642</v>
      </c>
      <c r="M58" s="134">
        <v>508371</v>
      </c>
    </row>
    <row r="59" spans="1:13" ht="28">
      <c r="A59" s="148" t="s">
        <v>555</v>
      </c>
      <c r="B59" s="152" t="s">
        <v>339</v>
      </c>
      <c r="C59" s="134"/>
      <c r="D59" s="134">
        <v>1723968</v>
      </c>
      <c r="E59" s="134">
        <v>1641996</v>
      </c>
      <c r="F59" s="134">
        <v>1803483</v>
      </c>
      <c r="G59" s="134">
        <v>1214025</v>
      </c>
      <c r="H59" s="134">
        <v>1227953</v>
      </c>
      <c r="I59" s="134">
        <v>1133064</v>
      </c>
      <c r="J59" s="134">
        <v>1139041</v>
      </c>
      <c r="K59" s="134">
        <v>1082168</v>
      </c>
      <c r="L59" s="134">
        <v>1098004</v>
      </c>
      <c r="M59" s="134">
        <v>1100745</v>
      </c>
    </row>
    <row r="60" spans="1:13">
      <c r="A60" s="148" t="s">
        <v>558</v>
      </c>
      <c r="B60" s="155"/>
      <c r="C60" s="134">
        <v>30686223</v>
      </c>
      <c r="D60" s="134">
        <v>30841776</v>
      </c>
      <c r="E60" s="134">
        <v>30732915</v>
      </c>
      <c r="F60" s="134">
        <v>33844226</v>
      </c>
      <c r="G60" s="134">
        <v>31231630</v>
      </c>
      <c r="H60" s="134">
        <v>34121114</v>
      </c>
      <c r="I60" s="134">
        <v>34026170</v>
      </c>
      <c r="J60" s="134">
        <v>31661575</v>
      </c>
      <c r="K60" s="134">
        <v>34786846</v>
      </c>
      <c r="L60" s="134">
        <v>34411504</v>
      </c>
      <c r="M60" s="134">
        <v>34827856</v>
      </c>
    </row>
    <row r="61" spans="1:13">
      <c r="A61" s="147" t="s">
        <v>559</v>
      </c>
      <c r="B61" s="155"/>
      <c r="C61" s="132"/>
      <c r="D61" s="132"/>
      <c r="E61" s="132"/>
      <c r="F61" s="132"/>
      <c r="G61" s="132"/>
      <c r="H61" s="132"/>
      <c r="I61" s="132"/>
      <c r="J61" s="134"/>
      <c r="K61" s="134"/>
    </row>
    <row r="62" spans="1:13" ht="28">
      <c r="A62" s="148" t="s">
        <v>560</v>
      </c>
      <c r="B62" s="155"/>
      <c r="C62" s="134">
        <v>23305535</v>
      </c>
      <c r="D62" s="134">
        <v>23185965</v>
      </c>
      <c r="E62" s="134">
        <v>23324679</v>
      </c>
      <c r="F62" s="134">
        <v>26643879</v>
      </c>
      <c r="G62" s="134">
        <v>24163230</v>
      </c>
      <c r="H62" s="134">
        <v>27553413</v>
      </c>
      <c r="I62" s="134">
        <v>27268883</v>
      </c>
      <c r="J62" s="134">
        <v>25139682</v>
      </c>
      <c r="K62" s="134">
        <v>26723361</v>
      </c>
      <c r="L62" s="134">
        <v>26156520</v>
      </c>
      <c r="M62" s="134">
        <v>26231704</v>
      </c>
    </row>
    <row r="63" spans="1:13" ht="42">
      <c r="A63" s="148" t="s">
        <v>561</v>
      </c>
      <c r="B63" s="152" t="s">
        <v>342</v>
      </c>
      <c r="C63" s="134">
        <v>1316861</v>
      </c>
      <c r="D63" s="134">
        <v>1157477</v>
      </c>
      <c r="E63" s="134">
        <v>1227799</v>
      </c>
      <c r="F63" s="134">
        <v>1324110</v>
      </c>
      <c r="G63" s="134">
        <v>1390682</v>
      </c>
      <c r="H63" s="134">
        <v>1253757</v>
      </c>
      <c r="I63" s="134">
        <v>1216831</v>
      </c>
      <c r="J63" s="134">
        <v>1299062</v>
      </c>
      <c r="K63" s="134">
        <v>1311925</v>
      </c>
      <c r="L63" s="134">
        <v>1195851</v>
      </c>
      <c r="M63" s="134">
        <v>1230595</v>
      </c>
    </row>
    <row r="64" spans="1:13" ht="42">
      <c r="A64" s="148" t="s">
        <v>562</v>
      </c>
      <c r="B64" s="75" t="s">
        <v>348</v>
      </c>
      <c r="C64" s="134">
        <v>1536111</v>
      </c>
      <c r="D64" s="134">
        <v>1559534</v>
      </c>
      <c r="E64" s="134">
        <v>1567474</v>
      </c>
      <c r="F64" s="134">
        <v>1568150</v>
      </c>
      <c r="G64" s="134">
        <v>1566294</v>
      </c>
      <c r="H64" s="134">
        <v>1611795</v>
      </c>
      <c r="I64" s="134">
        <v>1576679</v>
      </c>
      <c r="J64" s="134">
        <v>1565642</v>
      </c>
      <c r="K64" s="134">
        <v>1577393</v>
      </c>
      <c r="L64" s="134">
        <v>1565394</v>
      </c>
      <c r="M64" s="134">
        <v>1565366</v>
      </c>
    </row>
    <row r="65" spans="1:13">
      <c r="A65" s="148" t="s">
        <v>563</v>
      </c>
      <c r="B65" s="75" t="s">
        <v>348</v>
      </c>
      <c r="C65" s="134" t="s">
        <v>37</v>
      </c>
      <c r="D65" s="134" t="s">
        <v>37</v>
      </c>
      <c r="E65" s="134" t="s">
        <v>37</v>
      </c>
      <c r="F65" s="134" t="s">
        <v>37</v>
      </c>
      <c r="G65" s="134">
        <v>0</v>
      </c>
      <c r="H65" s="134" t="s">
        <v>37</v>
      </c>
      <c r="I65" s="134">
        <v>458150</v>
      </c>
      <c r="J65" s="134">
        <v>458144</v>
      </c>
      <c r="K65" s="134">
        <v>486922</v>
      </c>
      <c r="L65" s="31">
        <v>489396</v>
      </c>
      <c r="M65" s="31">
        <v>527508</v>
      </c>
    </row>
    <row r="66" spans="1:13">
      <c r="A66" s="148" t="s">
        <v>564</v>
      </c>
      <c r="B66" s="75" t="s">
        <v>348</v>
      </c>
      <c r="C66" s="134">
        <v>0</v>
      </c>
      <c r="D66" s="134" t="s">
        <v>37</v>
      </c>
      <c r="E66" s="134" t="s">
        <v>37</v>
      </c>
      <c r="F66" s="134" t="s">
        <v>37</v>
      </c>
      <c r="G66" s="134">
        <v>516809</v>
      </c>
      <c r="H66" s="134">
        <v>521378</v>
      </c>
      <c r="I66" s="134">
        <v>519416</v>
      </c>
      <c r="J66" s="134">
        <v>517454</v>
      </c>
      <c r="K66" s="134">
        <v>515492</v>
      </c>
      <c r="L66" s="134">
        <v>513351</v>
      </c>
      <c r="M66" s="134">
        <v>511211</v>
      </c>
    </row>
    <row r="67" spans="1:13">
      <c r="A67" s="148" t="s">
        <v>565</v>
      </c>
      <c r="B67" s="75" t="s">
        <v>348</v>
      </c>
      <c r="C67" s="134">
        <v>500597</v>
      </c>
      <c r="D67" s="134">
        <v>1012976</v>
      </c>
      <c r="E67" s="134">
        <v>1017966</v>
      </c>
      <c r="F67" s="134">
        <v>1001048</v>
      </c>
      <c r="G67" s="134">
        <v>464304</v>
      </c>
      <c r="H67" s="134">
        <v>457624</v>
      </c>
      <c r="I67" s="134">
        <v>463380</v>
      </c>
      <c r="J67" s="134">
        <v>478182</v>
      </c>
      <c r="K67" s="134">
        <v>513515</v>
      </c>
      <c r="L67" s="134">
        <v>463458</v>
      </c>
      <c r="M67" s="134">
        <v>546619</v>
      </c>
    </row>
    <row r="68" spans="1:13">
      <c r="A68" s="148" t="s">
        <v>567</v>
      </c>
      <c r="B68" s="155"/>
      <c r="C68" s="134">
        <v>26659104</v>
      </c>
      <c r="D68" s="134">
        <v>26915952</v>
      </c>
      <c r="E68" s="134">
        <v>27137918</v>
      </c>
      <c r="F68" s="134">
        <v>30537187</v>
      </c>
      <c r="G68" s="134">
        <v>28101319</v>
      </c>
      <c r="H68" s="134">
        <v>31397967</v>
      </c>
      <c r="I68" s="134">
        <v>31503339</v>
      </c>
      <c r="J68" s="134">
        <v>29458166</v>
      </c>
      <c r="K68" s="134">
        <v>31128608</v>
      </c>
      <c r="L68" s="134">
        <v>30383970</v>
      </c>
      <c r="M68" s="134">
        <v>30613003</v>
      </c>
    </row>
    <row r="69" spans="1:13" ht="70">
      <c r="A69" s="148" t="s">
        <v>569</v>
      </c>
      <c r="B69" s="152" t="s">
        <v>357</v>
      </c>
      <c r="C69" s="134">
        <v>230163</v>
      </c>
      <c r="D69" s="134">
        <v>225882</v>
      </c>
      <c r="E69" s="134">
        <v>231325</v>
      </c>
      <c r="F69" s="134">
        <v>226887</v>
      </c>
      <c r="G69" s="134">
        <v>219061</v>
      </c>
      <c r="H69" s="134">
        <v>212194</v>
      </c>
      <c r="I69" s="134">
        <v>187392</v>
      </c>
      <c r="J69" s="134">
        <v>187193</v>
      </c>
      <c r="K69" s="134">
        <v>185892</v>
      </c>
      <c r="L69" s="134">
        <v>511698</v>
      </c>
      <c r="M69" s="134">
        <v>507414</v>
      </c>
    </row>
    <row r="70" spans="1:13">
      <c r="A70" s="147" t="s">
        <v>571</v>
      </c>
      <c r="B70" s="155"/>
      <c r="C70" s="132"/>
      <c r="D70" s="132"/>
      <c r="E70" s="132"/>
      <c r="F70" s="132"/>
      <c r="G70" s="132"/>
      <c r="H70" s="132"/>
      <c r="I70" s="132"/>
      <c r="J70" s="134"/>
      <c r="K70" s="134"/>
    </row>
    <row r="71" spans="1:13">
      <c r="A71" s="148" t="s">
        <v>572</v>
      </c>
      <c r="B71" s="155"/>
      <c r="C71" s="134"/>
      <c r="D71" s="134"/>
      <c r="E71" s="134"/>
      <c r="F71" s="134"/>
      <c r="G71" s="134"/>
      <c r="H71" s="134"/>
      <c r="I71" s="134"/>
      <c r="J71" s="134"/>
      <c r="K71" s="134"/>
    </row>
    <row r="72" spans="1:13">
      <c r="A72" s="148" t="s">
        <v>573</v>
      </c>
      <c r="B72" s="155"/>
      <c r="C72" s="134"/>
      <c r="D72" s="134"/>
      <c r="E72" s="134"/>
      <c r="F72" s="134"/>
      <c r="G72" s="134"/>
      <c r="H72" s="134"/>
      <c r="I72" s="134"/>
      <c r="J72" s="134"/>
      <c r="K72" s="134"/>
    </row>
    <row r="73" spans="1:13">
      <c r="A73" s="148" t="s">
        <v>574</v>
      </c>
      <c r="B73" s="152" t="s">
        <v>357</v>
      </c>
      <c r="C73" s="134">
        <v>42748</v>
      </c>
      <c r="D73" s="134">
        <v>42666</v>
      </c>
      <c r="E73" s="134">
        <v>42584</v>
      </c>
      <c r="F73" s="134">
        <v>42502</v>
      </c>
      <c r="G73" s="134">
        <v>42420</v>
      </c>
      <c r="H73" s="134">
        <v>42338</v>
      </c>
      <c r="I73" s="134">
        <v>42256</v>
      </c>
      <c r="J73" s="134">
        <v>42173</v>
      </c>
      <c r="K73" s="134">
        <v>42091</v>
      </c>
      <c r="L73" s="134">
        <v>42009</v>
      </c>
      <c r="M73" s="134">
        <v>41927</v>
      </c>
    </row>
    <row r="74" spans="1:13" ht="16.5" customHeight="1">
      <c r="A74" s="148" t="s">
        <v>575</v>
      </c>
      <c r="B74" s="152" t="s">
        <v>351</v>
      </c>
      <c r="C74" s="134">
        <v>32</v>
      </c>
      <c r="D74" s="134">
        <v>32</v>
      </c>
      <c r="E74" s="134">
        <v>32</v>
      </c>
      <c r="F74" s="134">
        <v>32</v>
      </c>
      <c r="G74" s="134">
        <v>32</v>
      </c>
      <c r="H74" s="134">
        <v>32</v>
      </c>
      <c r="I74" s="134">
        <v>32</v>
      </c>
      <c r="J74" s="134">
        <v>32</v>
      </c>
      <c r="K74" s="134">
        <v>34</v>
      </c>
      <c r="L74" s="134">
        <v>34</v>
      </c>
      <c r="M74" s="134">
        <v>34</v>
      </c>
    </row>
    <row r="75" spans="1:13" ht="28">
      <c r="A75" s="148" t="s">
        <v>576</v>
      </c>
      <c r="B75" s="155"/>
      <c r="C75" s="134">
        <v>0</v>
      </c>
      <c r="D75" s="134">
        <v>0</v>
      </c>
      <c r="E75" s="134">
        <v>0</v>
      </c>
      <c r="F75" s="134">
        <v>0</v>
      </c>
      <c r="G75" s="134">
        <v>0</v>
      </c>
      <c r="H75" s="134">
        <v>0</v>
      </c>
      <c r="I75" s="134">
        <v>0</v>
      </c>
      <c r="J75" s="134"/>
      <c r="K75" s="134"/>
    </row>
    <row r="76" spans="1:13" ht="20.25" customHeight="1">
      <c r="A76" s="148" t="s">
        <v>578</v>
      </c>
      <c r="B76" s="152" t="s">
        <v>351</v>
      </c>
      <c r="C76" s="134">
        <v>9700418</v>
      </c>
      <c r="D76" s="134">
        <v>9706021</v>
      </c>
      <c r="E76" s="134">
        <v>9723378</v>
      </c>
      <c r="F76" s="134">
        <v>9748255</v>
      </c>
      <c r="G76" s="134">
        <v>9756073</v>
      </c>
      <c r="H76" s="134">
        <v>9768175</v>
      </c>
      <c r="I76" s="134">
        <v>9763059</v>
      </c>
      <c r="J76" s="134">
        <v>9761978</v>
      </c>
      <c r="K76" s="134">
        <v>11179688</v>
      </c>
      <c r="L76" s="134">
        <v>11177207</v>
      </c>
      <c r="M76" s="134">
        <v>11193774</v>
      </c>
    </row>
    <row r="77" spans="1:13" ht="17.25" customHeight="1">
      <c r="A77" s="148" t="s">
        <v>579</v>
      </c>
      <c r="B77" s="152" t="s">
        <v>355</v>
      </c>
      <c r="C77" s="134">
        <v>-4893069</v>
      </c>
      <c r="D77" s="134">
        <v>-4979489</v>
      </c>
      <c r="E77" s="134">
        <v>-5122281</v>
      </c>
      <c r="F77" s="134">
        <v>-5223093</v>
      </c>
      <c r="G77" s="134">
        <v>-5379952</v>
      </c>
      <c r="H77" s="134">
        <v>-5583485</v>
      </c>
      <c r="I77" s="134">
        <v>-5703183</v>
      </c>
      <c r="J77" s="134">
        <v>-5953166</v>
      </c>
      <c r="K77" s="134">
        <v>-6102314</v>
      </c>
      <c r="L77" s="134">
        <v>-6087013</v>
      </c>
      <c r="M77" s="134">
        <v>-5931119</v>
      </c>
    </row>
    <row r="78" spans="1:13" ht="33" customHeight="1">
      <c r="A78" s="148" t="s">
        <v>580</v>
      </c>
      <c r="B78" s="152" t="s">
        <v>359</v>
      </c>
      <c r="C78" s="134">
        <v>-126017</v>
      </c>
      <c r="D78" s="134">
        <v>-120962</v>
      </c>
      <c r="E78" s="134">
        <v>-128743</v>
      </c>
      <c r="F78" s="134">
        <v>-121596</v>
      </c>
      <c r="G78" s="134">
        <v>-118604</v>
      </c>
      <c r="H78" s="134">
        <v>-119301</v>
      </c>
      <c r="I78" s="134">
        <v>-155126</v>
      </c>
      <c r="J78" s="134">
        <v>-180468</v>
      </c>
      <c r="K78" s="134">
        <v>-188675</v>
      </c>
      <c r="L78" s="134">
        <v>-183866</v>
      </c>
      <c r="M78" s="134">
        <v>-188307</v>
      </c>
    </row>
    <row r="79" spans="1:13" ht="34.5" customHeight="1">
      <c r="A79" s="148" t="s">
        <v>581</v>
      </c>
      <c r="B79" s="152" t="s">
        <v>353</v>
      </c>
      <c r="C79" s="134">
        <v>-1427431</v>
      </c>
      <c r="D79" s="134">
        <v>-1435309</v>
      </c>
      <c r="E79" s="134">
        <v>-1595305</v>
      </c>
      <c r="F79" s="134">
        <v>-1773571</v>
      </c>
      <c r="G79" s="134">
        <v>-1773571</v>
      </c>
      <c r="H79" s="134">
        <v>-1926160</v>
      </c>
      <c r="I79" s="134">
        <v>-1917698</v>
      </c>
      <c r="J79" s="134">
        <v>-1917698</v>
      </c>
      <c r="K79" s="134">
        <v>-1891352</v>
      </c>
      <c r="L79" s="134">
        <v>-1884138</v>
      </c>
      <c r="M79" s="134">
        <v>-1884511</v>
      </c>
    </row>
    <row r="80" spans="1:13" ht="28">
      <c r="A80" s="148" t="s">
        <v>582</v>
      </c>
      <c r="B80" s="155"/>
      <c r="C80" s="134">
        <v>3296681</v>
      </c>
      <c r="D80" s="134">
        <v>3212959</v>
      </c>
      <c r="E80" s="134">
        <v>2919665</v>
      </c>
      <c r="F80" s="134">
        <v>2672529</v>
      </c>
      <c r="G80" s="134">
        <v>2526398</v>
      </c>
      <c r="H80" s="134">
        <v>2181599</v>
      </c>
      <c r="I80" s="134">
        <v>2029340</v>
      </c>
      <c r="J80" s="134">
        <v>1752851</v>
      </c>
      <c r="K80" s="134">
        <v>3039472</v>
      </c>
      <c r="L80" s="134">
        <v>3064233</v>
      </c>
      <c r="M80" s="134">
        <v>3231798</v>
      </c>
    </row>
    <row r="81" spans="1:13" ht="20.25" customHeight="1">
      <c r="A81" s="148" t="s">
        <v>583</v>
      </c>
      <c r="B81" s="152" t="s">
        <v>357</v>
      </c>
      <c r="C81" s="134">
        <v>500275</v>
      </c>
      <c r="D81" s="134">
        <v>486983</v>
      </c>
      <c r="E81" s="134">
        <v>444007</v>
      </c>
      <c r="F81" s="134">
        <v>407623</v>
      </c>
      <c r="G81" s="134">
        <v>384852</v>
      </c>
      <c r="H81" s="134">
        <v>329354</v>
      </c>
      <c r="I81" s="134">
        <v>306099</v>
      </c>
      <c r="J81" s="134">
        <v>263365</v>
      </c>
      <c r="K81" s="134">
        <v>432874</v>
      </c>
      <c r="L81" s="134">
        <v>451603</v>
      </c>
      <c r="M81" s="134">
        <v>475641</v>
      </c>
    </row>
    <row r="82" spans="1:13">
      <c r="A82" s="148" t="s">
        <v>584</v>
      </c>
      <c r="B82" s="148"/>
      <c r="C82" s="134">
        <v>3796956</v>
      </c>
      <c r="D82" s="134">
        <v>3699942</v>
      </c>
      <c r="E82" s="134">
        <v>3363672</v>
      </c>
      <c r="F82" s="134">
        <v>3080152</v>
      </c>
      <c r="G82" s="134">
        <v>2911250</v>
      </c>
      <c r="H82" s="134">
        <v>2510953</v>
      </c>
      <c r="I82" s="134">
        <v>2335439</v>
      </c>
      <c r="J82" s="134">
        <v>2016216</v>
      </c>
      <c r="K82" s="134">
        <v>3472346</v>
      </c>
      <c r="L82" s="134">
        <v>3515836</v>
      </c>
      <c r="M82" s="134">
        <v>3707439</v>
      </c>
    </row>
    <row r="83" spans="1:13" ht="20.25" customHeight="1">
      <c r="A83" s="148" t="s">
        <v>585</v>
      </c>
      <c r="B83" s="148"/>
      <c r="C83" s="134">
        <v>30686223</v>
      </c>
      <c r="D83" s="134">
        <v>30841776</v>
      </c>
      <c r="E83" s="134">
        <v>30732915</v>
      </c>
      <c r="F83" s="134">
        <v>33844226</v>
      </c>
      <c r="G83" s="134">
        <v>31231630</v>
      </c>
      <c r="H83" s="134">
        <v>34121114</v>
      </c>
      <c r="I83" s="134">
        <v>34026170</v>
      </c>
      <c r="J83" s="134">
        <v>31661575</v>
      </c>
      <c r="K83" s="134">
        <v>34786846</v>
      </c>
      <c r="L83" s="134">
        <v>34411504</v>
      </c>
      <c r="M83" s="134">
        <v>34827856</v>
      </c>
    </row>
    <row r="84" spans="1:13" ht="14.5">
      <c r="A84" s="381" t="s">
        <v>921</v>
      </c>
      <c r="B84" s="148"/>
      <c r="C84" s="134"/>
      <c r="D84" s="134"/>
      <c r="E84" s="134"/>
      <c r="F84" s="134"/>
      <c r="G84" s="134"/>
      <c r="H84" s="134"/>
      <c r="I84" s="134"/>
      <c r="K84" s="134"/>
    </row>
    <row r="85" spans="1:13">
      <c r="A85" s="148" t="s">
        <v>510</v>
      </c>
      <c r="B85" s="148"/>
      <c r="C85" s="134" t="s">
        <v>523</v>
      </c>
      <c r="D85" s="134" t="s">
        <v>904</v>
      </c>
      <c r="E85" s="134" t="s">
        <v>905</v>
      </c>
      <c r="F85" s="134" t="s">
        <v>906</v>
      </c>
      <c r="G85" s="134" t="s">
        <v>524</v>
      </c>
      <c r="H85" s="134" t="s">
        <v>907</v>
      </c>
      <c r="I85" s="377" t="s">
        <v>908</v>
      </c>
      <c r="J85" s="134" t="s">
        <v>909</v>
      </c>
      <c r="K85" s="134" t="s">
        <v>922</v>
      </c>
      <c r="L85" s="376">
        <v>44286</v>
      </c>
      <c r="M85" s="376">
        <v>44377</v>
      </c>
    </row>
    <row r="86" spans="1:13" ht="28">
      <c r="A86" s="148" t="s">
        <v>910</v>
      </c>
      <c r="B86" s="148"/>
      <c r="C86" s="134" t="s">
        <v>540</v>
      </c>
      <c r="D86" s="134" t="s">
        <v>917</v>
      </c>
      <c r="E86" s="134" t="s">
        <v>918</v>
      </c>
      <c r="F86" s="134" t="s">
        <v>913</v>
      </c>
      <c r="G86" s="134" t="s">
        <v>541</v>
      </c>
      <c r="H86" s="134" t="s">
        <v>912</v>
      </c>
      <c r="I86" s="377" t="s">
        <v>541</v>
      </c>
      <c r="J86" s="134" t="s">
        <v>914</v>
      </c>
      <c r="K86" s="134" t="s">
        <v>923</v>
      </c>
      <c r="L86" s="134" t="s">
        <v>919</v>
      </c>
      <c r="M86" s="134" t="s">
        <v>920</v>
      </c>
    </row>
    <row r="87" spans="1:13">
      <c r="A87" s="148" t="s">
        <v>544</v>
      </c>
      <c r="B87" s="148"/>
      <c r="C87" s="134" t="s">
        <v>41</v>
      </c>
      <c r="D87" s="134" t="s">
        <v>41</v>
      </c>
      <c r="E87" s="134" t="s">
        <v>41</v>
      </c>
      <c r="F87" s="134" t="s">
        <v>41</v>
      </c>
      <c r="G87" s="134" t="s">
        <v>41</v>
      </c>
      <c r="H87" s="134" t="s">
        <v>41</v>
      </c>
      <c r="I87" s="377" t="s">
        <v>41</v>
      </c>
      <c r="J87" s="134" t="s">
        <v>41</v>
      </c>
      <c r="K87" s="134" t="s">
        <v>41</v>
      </c>
      <c r="L87" s="134" t="s">
        <v>41</v>
      </c>
      <c r="M87" s="134" t="s">
        <v>41</v>
      </c>
    </row>
    <row r="88" spans="1:13">
      <c r="A88" s="148" t="s">
        <v>508</v>
      </c>
      <c r="B88" s="148"/>
      <c r="C88" s="134"/>
      <c r="D88" s="134"/>
      <c r="E88" s="134"/>
      <c r="F88" s="134"/>
      <c r="G88" s="134"/>
      <c r="H88" s="134"/>
      <c r="I88" s="377"/>
      <c r="K88" s="134"/>
    </row>
    <row r="89" spans="1:13" ht="28">
      <c r="A89" s="156" t="s">
        <v>648</v>
      </c>
      <c r="B89" s="148"/>
      <c r="I89" s="378"/>
      <c r="K89" s="134"/>
    </row>
    <row r="90" spans="1:13">
      <c r="A90" s="148" t="s">
        <v>650</v>
      </c>
      <c r="B90" s="152" t="s">
        <v>364</v>
      </c>
      <c r="C90" s="31">
        <v>833193</v>
      </c>
      <c r="D90" s="31">
        <v>631947</v>
      </c>
      <c r="E90" s="31">
        <v>572101</v>
      </c>
      <c r="F90" s="31">
        <v>628724</v>
      </c>
      <c r="G90" s="31">
        <v>590416</v>
      </c>
      <c r="H90" s="31">
        <v>505404</v>
      </c>
      <c r="I90" s="378">
        <v>290548</v>
      </c>
      <c r="J90" s="31">
        <v>168646</v>
      </c>
      <c r="K90" s="183">
        <v>312726</v>
      </c>
      <c r="L90" s="31">
        <v>510460</v>
      </c>
      <c r="M90" s="31">
        <v>705869</v>
      </c>
    </row>
    <row r="91" spans="1:13" ht="56">
      <c r="A91" s="157" t="s">
        <v>651</v>
      </c>
      <c r="B91" s="158"/>
      <c r="I91" s="378"/>
      <c r="K91"/>
    </row>
    <row r="92" spans="1:13">
      <c r="A92" s="148" t="s">
        <v>652</v>
      </c>
      <c r="B92" s="151" t="s">
        <v>370</v>
      </c>
      <c r="C92" s="31">
        <v>340105</v>
      </c>
      <c r="D92" s="31">
        <v>339918</v>
      </c>
      <c r="E92" s="31">
        <v>371830</v>
      </c>
      <c r="F92" s="31">
        <v>343359</v>
      </c>
      <c r="G92" s="31">
        <v>339065</v>
      </c>
      <c r="H92" s="31">
        <v>340265</v>
      </c>
      <c r="I92" s="378">
        <v>337411</v>
      </c>
      <c r="J92" s="31">
        <v>339841</v>
      </c>
      <c r="K92" s="183">
        <v>337474</v>
      </c>
      <c r="L92" s="31">
        <v>331820</v>
      </c>
      <c r="M92" s="31">
        <v>332963</v>
      </c>
    </row>
    <row r="93" spans="1:13">
      <c r="A93" s="148" t="s">
        <v>653</v>
      </c>
      <c r="B93" s="152" t="s">
        <v>378</v>
      </c>
      <c r="C93" s="31">
        <v>0</v>
      </c>
      <c r="E93" s="31">
        <v>0</v>
      </c>
      <c r="F93" s="31">
        <v>0</v>
      </c>
      <c r="G93" s="31">
        <v>116256</v>
      </c>
      <c r="I93" s="378">
        <v>0</v>
      </c>
      <c r="J93" s="31">
        <v>91285</v>
      </c>
      <c r="K93" s="183">
        <v>-91285</v>
      </c>
      <c r="L93" s="31">
        <v>2959</v>
      </c>
      <c r="M93" s="31" t="s">
        <v>924</v>
      </c>
    </row>
    <row r="94" spans="1:13" ht="56">
      <c r="A94" s="148" t="s">
        <v>654</v>
      </c>
      <c r="B94" s="152" t="s">
        <v>377</v>
      </c>
      <c r="C94" s="31">
        <v>-143878</v>
      </c>
      <c r="E94" s="31">
        <v>-2681</v>
      </c>
      <c r="F94" s="31">
        <v>-10141</v>
      </c>
      <c r="G94" s="31">
        <v>-2061</v>
      </c>
      <c r="H94" s="31">
        <v>-962</v>
      </c>
      <c r="I94" s="378">
        <v>7845</v>
      </c>
      <c r="K94" s="183">
        <v>108077</v>
      </c>
      <c r="L94" s="31">
        <v>-93057</v>
      </c>
      <c r="M94" s="31" t="s">
        <v>924</v>
      </c>
    </row>
    <row r="95" spans="1:13" ht="28">
      <c r="A95" s="148" t="s">
        <v>925</v>
      </c>
      <c r="B95" s="152" t="s">
        <v>377</v>
      </c>
      <c r="C95" s="31">
        <v>16424</v>
      </c>
      <c r="D95" s="31">
        <v>-5317</v>
      </c>
      <c r="E95" s="31">
        <v>12317</v>
      </c>
      <c r="F95" s="31">
        <v>-2154</v>
      </c>
      <c r="G95" s="31">
        <v>3366</v>
      </c>
      <c r="H95" s="31">
        <v>19048</v>
      </c>
      <c r="I95" s="378">
        <v>-202</v>
      </c>
      <c r="J95" s="31">
        <v>1279</v>
      </c>
      <c r="K95" s="183">
        <v>-493</v>
      </c>
      <c r="L95" s="31">
        <v>3201</v>
      </c>
      <c r="M95" s="31">
        <v>-24</v>
      </c>
    </row>
    <row r="96" spans="1:13" ht="28">
      <c r="A96" s="148" t="s">
        <v>657</v>
      </c>
      <c r="B96" s="152" t="s">
        <v>372</v>
      </c>
      <c r="C96" s="31">
        <v>0</v>
      </c>
      <c r="E96" s="31">
        <v>0</v>
      </c>
      <c r="F96" s="31">
        <v>0</v>
      </c>
      <c r="G96" s="31">
        <v>0</v>
      </c>
      <c r="I96" s="378">
        <v>0</v>
      </c>
      <c r="K96" s="183">
        <v>0</v>
      </c>
      <c r="L96" s="31">
        <v>0</v>
      </c>
      <c r="M96" s="31" t="s">
        <v>924</v>
      </c>
    </row>
    <row r="97" spans="1:13">
      <c r="A97" s="148" t="s">
        <v>658</v>
      </c>
      <c r="B97" s="152" t="s">
        <v>373</v>
      </c>
      <c r="C97" s="31">
        <v>-3402</v>
      </c>
      <c r="D97" s="31">
        <v>-11981</v>
      </c>
      <c r="E97" s="31">
        <v>-20378</v>
      </c>
      <c r="F97" s="31">
        <v>-17321</v>
      </c>
      <c r="G97" s="31">
        <v>-17459</v>
      </c>
      <c r="H97" s="31">
        <v>-8706</v>
      </c>
      <c r="I97" s="378">
        <v>5181</v>
      </c>
      <c r="J97" s="31">
        <v>10064</v>
      </c>
      <c r="K97" s="183">
        <v>13411</v>
      </c>
      <c r="L97" s="31">
        <v>5928</v>
      </c>
      <c r="M97" s="31">
        <v>5603</v>
      </c>
    </row>
    <row r="98" spans="1:13" ht="28">
      <c r="A98" s="148" t="s">
        <v>659</v>
      </c>
      <c r="B98" s="152" t="s">
        <v>372</v>
      </c>
      <c r="C98" s="31">
        <v>-149987</v>
      </c>
      <c r="D98" s="31">
        <v>-90444</v>
      </c>
      <c r="E98" s="31">
        <v>-106542</v>
      </c>
      <c r="F98" s="31">
        <v>-119705</v>
      </c>
      <c r="G98" s="31">
        <v>-127658</v>
      </c>
      <c r="H98" s="31">
        <v>-50465</v>
      </c>
      <c r="I98" s="378">
        <v>-44322</v>
      </c>
      <c r="J98" s="31">
        <v>-61823</v>
      </c>
      <c r="K98" s="183">
        <v>-63260</v>
      </c>
      <c r="L98" s="31">
        <v>-15069</v>
      </c>
      <c r="M98" s="31">
        <v>-348545</v>
      </c>
    </row>
    <row r="99" spans="1:13" ht="28">
      <c r="A99" s="148" t="s">
        <v>660</v>
      </c>
      <c r="B99" s="152" t="s">
        <v>372</v>
      </c>
      <c r="C99" s="31">
        <v>100726</v>
      </c>
      <c r="D99" s="31">
        <v>82918</v>
      </c>
      <c r="E99" s="31">
        <v>139647</v>
      </c>
      <c r="F99" s="31">
        <v>112060</v>
      </c>
      <c r="G99" s="31">
        <v>94144</v>
      </c>
      <c r="H99" s="31">
        <v>68501</v>
      </c>
      <c r="I99" s="378">
        <v>52142</v>
      </c>
      <c r="J99" s="31">
        <v>32069</v>
      </c>
      <c r="K99" s="183">
        <v>32021</v>
      </c>
      <c r="L99" s="31">
        <v>62888</v>
      </c>
      <c r="M99" s="31">
        <v>135849</v>
      </c>
    </row>
    <row r="100" spans="1:13" ht="28">
      <c r="A100" s="148" t="s">
        <v>662</v>
      </c>
      <c r="B100" s="158"/>
      <c r="C100" s="31">
        <v>0</v>
      </c>
      <c r="E100" s="31">
        <v>0</v>
      </c>
      <c r="F100" s="31">
        <v>0</v>
      </c>
      <c r="G100" s="31">
        <v>0</v>
      </c>
      <c r="I100" s="378">
        <v>0</v>
      </c>
      <c r="K100" s="183">
        <v>0</v>
      </c>
    </row>
    <row r="101" spans="1:13" ht="28">
      <c r="A101" s="148" t="s">
        <v>663</v>
      </c>
      <c r="B101" s="152" t="s">
        <v>323</v>
      </c>
      <c r="C101" s="31">
        <v>-45186</v>
      </c>
      <c r="D101" s="31">
        <v>36842</v>
      </c>
      <c r="E101" s="31">
        <v>11125</v>
      </c>
      <c r="F101" s="31">
        <v>-22247</v>
      </c>
      <c r="G101" s="31">
        <v>-25877</v>
      </c>
      <c r="H101" s="31">
        <v>44761</v>
      </c>
      <c r="I101" s="378">
        <v>-668522</v>
      </c>
      <c r="J101" s="31">
        <v>-1346</v>
      </c>
      <c r="K101" s="183">
        <v>209196</v>
      </c>
      <c r="L101" s="31">
        <v>203703</v>
      </c>
      <c r="M101" s="31">
        <v>55346</v>
      </c>
    </row>
    <row r="102" spans="1:13" ht="28">
      <c r="A102" s="148" t="s">
        <v>664</v>
      </c>
      <c r="B102" s="152" t="s">
        <v>328</v>
      </c>
      <c r="C102" s="31">
        <v>-516</v>
      </c>
      <c r="D102" s="31">
        <v>-20013</v>
      </c>
      <c r="E102" s="31">
        <v>53818</v>
      </c>
      <c r="F102" s="31">
        <v>-67145</v>
      </c>
      <c r="G102" s="31">
        <v>-15998</v>
      </c>
      <c r="H102" s="31">
        <v>-30488</v>
      </c>
      <c r="I102" s="378">
        <v>31082</v>
      </c>
      <c r="J102" s="31">
        <v>-87621</v>
      </c>
      <c r="K102" s="183">
        <v>58836</v>
      </c>
      <c r="L102" s="31">
        <v>-38016</v>
      </c>
      <c r="M102" s="31">
        <v>-4856</v>
      </c>
    </row>
    <row r="103" spans="1:13" ht="42">
      <c r="A103" s="148" t="s">
        <v>665</v>
      </c>
      <c r="B103" s="152" t="s">
        <v>342</v>
      </c>
      <c r="C103" s="31">
        <v>52151</v>
      </c>
      <c r="D103" s="31">
        <v>-126523</v>
      </c>
      <c r="E103" s="31">
        <v>18983</v>
      </c>
      <c r="F103" s="31">
        <v>115199</v>
      </c>
      <c r="G103" s="31">
        <v>5441</v>
      </c>
      <c r="H103" s="31">
        <v>-146051</v>
      </c>
      <c r="I103" s="378">
        <v>61842</v>
      </c>
      <c r="J103" s="31">
        <v>124915</v>
      </c>
      <c r="K103" s="183">
        <v>-21626</v>
      </c>
      <c r="L103" s="31">
        <v>-99055</v>
      </c>
      <c r="M103" s="31">
        <v>119782</v>
      </c>
    </row>
    <row r="104" spans="1:13" ht="28">
      <c r="A104" s="148" t="s">
        <v>666</v>
      </c>
      <c r="B104" s="159"/>
      <c r="C104" s="31">
        <v>999630</v>
      </c>
      <c r="D104" s="31">
        <v>837347</v>
      </c>
      <c r="E104" s="31">
        <v>1050220</v>
      </c>
      <c r="F104" s="31">
        <v>960629</v>
      </c>
      <c r="G104" s="31">
        <v>959635</v>
      </c>
      <c r="H104" s="31">
        <v>741307</v>
      </c>
      <c r="I104" s="378">
        <v>73005</v>
      </c>
      <c r="J104" s="31">
        <v>617309</v>
      </c>
      <c r="K104" s="183">
        <v>895077</v>
      </c>
      <c r="L104" s="31">
        <v>875762</v>
      </c>
      <c r="M104" s="31">
        <v>1001987</v>
      </c>
    </row>
    <row r="105" spans="1:13" ht="28">
      <c r="A105" s="156" t="s">
        <v>667</v>
      </c>
      <c r="B105" s="159"/>
      <c r="I105" s="378"/>
      <c r="K105" s="183">
        <v>0</v>
      </c>
    </row>
    <row r="106" spans="1:13">
      <c r="A106" s="148" t="s">
        <v>669</v>
      </c>
      <c r="B106" s="152" t="s">
        <v>386</v>
      </c>
      <c r="C106" s="31">
        <v>-51060</v>
      </c>
      <c r="E106" s="31">
        <v>0</v>
      </c>
      <c r="F106" s="31">
        <v>-12800</v>
      </c>
      <c r="G106" s="31">
        <v>0</v>
      </c>
      <c r="H106" s="31">
        <v>-107797</v>
      </c>
      <c r="I106" s="378">
        <v>0</v>
      </c>
      <c r="J106" s="31">
        <v>0</v>
      </c>
      <c r="K106" s="183">
        <v>-3498897</v>
      </c>
      <c r="L106" s="31">
        <v>-56250</v>
      </c>
      <c r="M106" s="31">
        <v>-100830</v>
      </c>
    </row>
    <row r="107" spans="1:13" ht="28">
      <c r="A107" s="148" t="s">
        <v>670</v>
      </c>
      <c r="B107" s="152" t="s">
        <v>379</v>
      </c>
      <c r="C107" s="31">
        <v>0</v>
      </c>
      <c r="E107" s="31">
        <v>0</v>
      </c>
      <c r="F107" s="31">
        <v>0</v>
      </c>
      <c r="G107" s="31">
        <v>0</v>
      </c>
      <c r="I107" s="378">
        <v>-6393</v>
      </c>
      <c r="J107" s="31">
        <v>0</v>
      </c>
      <c r="K107" s="183">
        <v>-1843</v>
      </c>
      <c r="L107" s="31">
        <v>-494</v>
      </c>
      <c r="M107" s="31">
        <v>-750</v>
      </c>
    </row>
    <row r="108" spans="1:13" ht="28">
      <c r="A108" s="148" t="s">
        <v>671</v>
      </c>
      <c r="B108" s="152" t="s">
        <v>379</v>
      </c>
      <c r="C108" s="31">
        <v>0</v>
      </c>
      <c r="E108" s="31">
        <v>0</v>
      </c>
      <c r="F108" s="31">
        <v>0</v>
      </c>
      <c r="G108" s="31">
        <v>7641</v>
      </c>
      <c r="I108" s="378">
        <v>0</v>
      </c>
      <c r="K108" s="183">
        <v>0</v>
      </c>
      <c r="L108" s="31">
        <v>285</v>
      </c>
      <c r="M108" s="31" t="s">
        <v>924</v>
      </c>
    </row>
    <row r="109" spans="1:13">
      <c r="A109" s="148" t="s">
        <v>673</v>
      </c>
      <c r="B109" s="152" t="s">
        <v>381</v>
      </c>
      <c r="C109" s="31">
        <v>-195952</v>
      </c>
      <c r="D109" s="31">
        <v>-216781</v>
      </c>
      <c r="E109" s="31">
        <v>-186565</v>
      </c>
      <c r="F109" s="31">
        <v>-219341</v>
      </c>
      <c r="G109" s="31">
        <v>-253324</v>
      </c>
      <c r="H109" s="31">
        <v>-213214</v>
      </c>
      <c r="I109" s="378">
        <v>-124253</v>
      </c>
      <c r="J109" s="31">
        <v>-58537</v>
      </c>
      <c r="K109" s="183">
        <v>-88115</v>
      </c>
      <c r="L109" s="31">
        <v>-114808</v>
      </c>
      <c r="M109" s="31">
        <v>-113861</v>
      </c>
    </row>
    <row r="110" spans="1:13" ht="28">
      <c r="A110" s="148" t="s">
        <v>674</v>
      </c>
      <c r="B110" s="152" t="s">
        <v>386</v>
      </c>
      <c r="C110" s="31">
        <v>0</v>
      </c>
      <c r="E110" s="31">
        <v>0</v>
      </c>
      <c r="F110" s="31">
        <v>1045</v>
      </c>
      <c r="G110" s="31">
        <v>0</v>
      </c>
      <c r="I110" s="378">
        <v>0</v>
      </c>
      <c r="K110" s="183">
        <v>0</v>
      </c>
      <c r="L110" s="31">
        <v>5595</v>
      </c>
      <c r="M110" s="31" t="s">
        <v>924</v>
      </c>
    </row>
    <row r="111" spans="1:13" ht="28">
      <c r="A111" s="148" t="s">
        <v>675</v>
      </c>
      <c r="B111" s="152" t="s">
        <v>386</v>
      </c>
      <c r="C111" s="31">
        <v>183241</v>
      </c>
      <c r="E111" s="31">
        <v>0</v>
      </c>
      <c r="F111" s="31">
        <v>6776</v>
      </c>
      <c r="G111" s="31">
        <v>0</v>
      </c>
      <c r="I111" s="378">
        <v>0</v>
      </c>
      <c r="K111" s="183">
        <v>33418</v>
      </c>
      <c r="L111" s="31">
        <v>0</v>
      </c>
      <c r="M111" s="31" t="s">
        <v>924</v>
      </c>
    </row>
    <row r="112" spans="1:13" ht="28">
      <c r="A112" s="148" t="s">
        <v>676</v>
      </c>
      <c r="B112" s="152" t="s">
        <v>386</v>
      </c>
      <c r="C112" s="31">
        <v>-11514</v>
      </c>
      <c r="D112" s="31">
        <v>-11980</v>
      </c>
      <c r="E112" s="31">
        <v>-11969</v>
      </c>
      <c r="F112" s="31">
        <v>-18404</v>
      </c>
      <c r="G112" s="31">
        <v>-21436</v>
      </c>
      <c r="H112" s="31">
        <v>-41547</v>
      </c>
      <c r="I112" s="378">
        <v>-21933</v>
      </c>
      <c r="J112" s="31">
        <v>-109118</v>
      </c>
      <c r="K112" s="183">
        <v>-18770</v>
      </c>
      <c r="L112" s="31">
        <v>-19511</v>
      </c>
      <c r="M112" s="31">
        <v>-7257</v>
      </c>
    </row>
    <row r="113" spans="1:13" ht="28">
      <c r="A113" s="148" t="s">
        <v>677</v>
      </c>
      <c r="B113" s="152" t="s">
        <v>379</v>
      </c>
      <c r="C113" s="31">
        <v>-21563</v>
      </c>
      <c r="E113" s="31">
        <v>-20850</v>
      </c>
      <c r="F113" s="31">
        <v>20850</v>
      </c>
      <c r="G113" s="31">
        <v>-374231</v>
      </c>
      <c r="I113" s="378">
        <v>-24923</v>
      </c>
      <c r="J113" s="31">
        <v>-5504</v>
      </c>
      <c r="K113" s="183">
        <v>-2528</v>
      </c>
      <c r="L113" s="31">
        <v>-556</v>
      </c>
      <c r="M113" s="31">
        <v>-9425</v>
      </c>
    </row>
    <row r="114" spans="1:13" ht="28">
      <c r="A114" s="148" t="s">
        <v>926</v>
      </c>
      <c r="B114" s="152" t="s">
        <v>379</v>
      </c>
      <c r="C114" s="31">
        <v>25000</v>
      </c>
      <c r="E114" s="31">
        <v>0</v>
      </c>
      <c r="F114" s="31">
        <v>0</v>
      </c>
      <c r="G114" s="31">
        <v>0</v>
      </c>
      <c r="I114" s="378">
        <v>30000</v>
      </c>
      <c r="J114" s="31">
        <v>0</v>
      </c>
      <c r="K114" s="183">
        <v>0</v>
      </c>
      <c r="L114" s="31">
        <v>0</v>
      </c>
      <c r="M114" s="31" t="s">
        <v>924</v>
      </c>
    </row>
    <row r="115" spans="1:13" ht="28">
      <c r="A115" s="148" t="s">
        <v>927</v>
      </c>
      <c r="B115" s="152" t="s">
        <v>379</v>
      </c>
      <c r="C115" s="31">
        <v>23273</v>
      </c>
      <c r="D115" s="31">
        <v>-6905</v>
      </c>
      <c r="E115" s="31">
        <v>6905</v>
      </c>
      <c r="F115" s="31">
        <v>-134372</v>
      </c>
      <c r="G115" s="31">
        <v>134372</v>
      </c>
      <c r="H115" s="31">
        <v>-24070</v>
      </c>
      <c r="I115" s="378">
        <v>24070</v>
      </c>
      <c r="K115" s="183">
        <v>0</v>
      </c>
      <c r="L115" s="31">
        <v>-556</v>
      </c>
      <c r="M115" s="31">
        <v>-9425</v>
      </c>
    </row>
    <row r="116" spans="1:13" ht="28">
      <c r="A116" s="148" t="s">
        <v>679</v>
      </c>
      <c r="B116" s="152" t="s">
        <v>379</v>
      </c>
      <c r="C116" s="31">
        <v>2923</v>
      </c>
      <c r="D116" s="31">
        <v>1757</v>
      </c>
      <c r="E116" s="31">
        <v>1181</v>
      </c>
      <c r="F116" s="31">
        <v>849</v>
      </c>
      <c r="G116" s="31">
        <v>1875</v>
      </c>
      <c r="H116" s="31">
        <v>423</v>
      </c>
      <c r="I116" s="378">
        <v>635</v>
      </c>
      <c r="J116" s="31">
        <v>7688</v>
      </c>
      <c r="K116" s="183">
        <v>22452</v>
      </c>
      <c r="L116" s="31">
        <v>6400</v>
      </c>
      <c r="M116" s="31" t="s">
        <v>924</v>
      </c>
    </row>
    <row r="117" spans="1:13" ht="42">
      <c r="A117" s="148" t="s">
        <v>928</v>
      </c>
      <c r="B117" s="152" t="s">
        <v>386</v>
      </c>
      <c r="C117" s="31">
        <v>18602</v>
      </c>
      <c r="D117" s="31">
        <v>120347</v>
      </c>
      <c r="E117" s="31">
        <v>23135</v>
      </c>
      <c r="F117" s="31">
        <v>71059</v>
      </c>
      <c r="G117" s="31">
        <v>14459</v>
      </c>
      <c r="H117" s="31">
        <v>172525</v>
      </c>
      <c r="I117" s="378">
        <v>-12081</v>
      </c>
      <c r="J117" s="31">
        <v>53945</v>
      </c>
      <c r="K117" s="183">
        <v>35969</v>
      </c>
      <c r="L117" s="31">
        <v>41287</v>
      </c>
      <c r="M117" s="31">
        <v>37607</v>
      </c>
    </row>
    <row r="118" spans="1:13" ht="28">
      <c r="A118" s="148" t="s">
        <v>681</v>
      </c>
      <c r="B118" s="159"/>
      <c r="C118" s="31">
        <v>-27050</v>
      </c>
      <c r="D118" s="31">
        <v>-113562</v>
      </c>
      <c r="E118" s="31">
        <v>-188163</v>
      </c>
      <c r="F118" s="31">
        <v>-284338</v>
      </c>
      <c r="G118" s="31">
        <v>-490644</v>
      </c>
      <c r="H118" s="31">
        <v>-213680</v>
      </c>
      <c r="I118" s="378">
        <v>-134878</v>
      </c>
      <c r="J118" s="31">
        <v>-111526</v>
      </c>
      <c r="K118" s="183">
        <v>-3518314</v>
      </c>
      <c r="L118" s="31">
        <v>-138052</v>
      </c>
      <c r="M118" s="31">
        <v>-194516</v>
      </c>
    </row>
    <row r="119" spans="1:13" ht="28">
      <c r="A119" s="156" t="s">
        <v>682</v>
      </c>
      <c r="B119" s="159"/>
      <c r="G119" s="31">
        <v>-625016</v>
      </c>
      <c r="I119" s="378"/>
      <c r="K119" s="183">
        <v>0</v>
      </c>
    </row>
    <row r="120" spans="1:13" ht="56">
      <c r="A120" s="148" t="s">
        <v>929</v>
      </c>
      <c r="B120" s="152" t="s">
        <v>379</v>
      </c>
      <c r="C120" s="31">
        <v>-82</v>
      </c>
      <c r="D120" s="31">
        <v>-82</v>
      </c>
      <c r="E120" s="31">
        <v>-82</v>
      </c>
      <c r="F120" s="31">
        <v>-82</v>
      </c>
      <c r="G120" s="31">
        <v>-82</v>
      </c>
      <c r="H120" s="31">
        <v>-82</v>
      </c>
      <c r="I120" s="378">
        <v>-82</v>
      </c>
      <c r="J120" s="31">
        <v>-83</v>
      </c>
      <c r="K120" s="183">
        <v>1556395</v>
      </c>
      <c r="L120" s="31">
        <v>-82</v>
      </c>
      <c r="M120" s="31">
        <v>-82</v>
      </c>
    </row>
    <row r="121" spans="1:13" ht="42">
      <c r="A121" s="148" t="s">
        <v>930</v>
      </c>
      <c r="B121" s="152" t="s">
        <v>379</v>
      </c>
      <c r="C121" s="31">
        <v>0</v>
      </c>
      <c r="D121" s="31">
        <v>-249</v>
      </c>
      <c r="E121" s="31">
        <v>-2706</v>
      </c>
      <c r="F121" s="31">
        <v>0</v>
      </c>
      <c r="G121" s="31">
        <v>0</v>
      </c>
      <c r="I121" s="378">
        <v>-854</v>
      </c>
      <c r="J121" s="31">
        <v>0</v>
      </c>
      <c r="K121" s="183">
        <v>0</v>
      </c>
      <c r="L121" s="31">
        <v>0</v>
      </c>
      <c r="M121" s="31">
        <v>-2318</v>
      </c>
    </row>
    <row r="122" spans="1:13" ht="28">
      <c r="A122" s="148" t="s">
        <v>685</v>
      </c>
      <c r="B122" s="152" t="s">
        <v>379</v>
      </c>
      <c r="C122" s="31">
        <v>-73887</v>
      </c>
      <c r="D122" s="31">
        <v>-135</v>
      </c>
      <c r="E122" s="31">
        <v>0</v>
      </c>
      <c r="F122" s="31">
        <v>-4414</v>
      </c>
      <c r="G122" s="31">
        <v>-2297</v>
      </c>
      <c r="H122" s="31">
        <v>-16067</v>
      </c>
      <c r="I122" s="378">
        <v>0</v>
      </c>
      <c r="J122" s="31">
        <v>-20</v>
      </c>
      <c r="K122" s="183">
        <v>-19</v>
      </c>
      <c r="L122" s="31">
        <v>-37</v>
      </c>
      <c r="M122" s="31">
        <v>-20</v>
      </c>
    </row>
    <row r="123" spans="1:13">
      <c r="A123" s="148" t="s">
        <v>686</v>
      </c>
      <c r="B123" s="152" t="s">
        <v>379</v>
      </c>
      <c r="C123" s="31">
        <v>-46812</v>
      </c>
      <c r="D123" s="31">
        <v>-7628</v>
      </c>
      <c r="E123" s="31">
        <v>-173630</v>
      </c>
      <c r="F123" s="31">
        <v>-178515</v>
      </c>
      <c r="G123" s="31">
        <v>0</v>
      </c>
      <c r="H123" s="31">
        <v>-152589</v>
      </c>
      <c r="I123" s="378">
        <v>0</v>
      </c>
      <c r="J123" s="31">
        <v>0</v>
      </c>
      <c r="K123" s="183">
        <v>0</v>
      </c>
      <c r="L123" s="31">
        <v>0</v>
      </c>
      <c r="M123" s="31" t="s">
        <v>924</v>
      </c>
    </row>
    <row r="124" spans="1:13" ht="42">
      <c r="A124" s="148" t="s">
        <v>689</v>
      </c>
      <c r="B124" s="152" t="s">
        <v>379</v>
      </c>
      <c r="C124" s="31">
        <v>-65439</v>
      </c>
      <c r="D124" s="31">
        <v>-1803</v>
      </c>
      <c r="E124" s="31">
        <v>-2036</v>
      </c>
      <c r="F124" s="31">
        <v>-2092</v>
      </c>
      <c r="G124" s="31">
        <v>-35618</v>
      </c>
      <c r="H124" s="31">
        <v>-4548</v>
      </c>
      <c r="I124" s="378">
        <v>440</v>
      </c>
      <c r="J124" s="31">
        <v>-1658</v>
      </c>
      <c r="K124" s="183">
        <v>-2505</v>
      </c>
      <c r="L124" s="31">
        <v>-2029</v>
      </c>
      <c r="M124" s="31">
        <v>1440</v>
      </c>
    </row>
    <row r="125" spans="1:13" ht="42">
      <c r="A125" s="148" t="s">
        <v>931</v>
      </c>
      <c r="B125" s="152" t="s">
        <v>379</v>
      </c>
      <c r="C125" s="31">
        <v>0</v>
      </c>
      <c r="E125" s="31">
        <v>70</v>
      </c>
      <c r="F125" s="31">
        <v>36</v>
      </c>
      <c r="G125" s="31">
        <v>33</v>
      </c>
      <c r="H125" s="31">
        <v>28</v>
      </c>
      <c r="I125" s="378">
        <v>0</v>
      </c>
      <c r="J125" s="31">
        <v>0</v>
      </c>
      <c r="K125" s="183">
        <v>192</v>
      </c>
      <c r="L125" s="31">
        <v>0</v>
      </c>
      <c r="M125" s="31">
        <v>12725</v>
      </c>
    </row>
    <row r="126" spans="1:13" ht="28">
      <c r="A126" s="148" t="s">
        <v>691</v>
      </c>
      <c r="B126" s="152" t="s">
        <v>379</v>
      </c>
      <c r="C126" s="31">
        <v>-479</v>
      </c>
      <c r="D126" s="31">
        <v>-479</v>
      </c>
      <c r="E126" s="31">
        <v>-478</v>
      </c>
      <c r="F126" s="31">
        <v>-479</v>
      </c>
      <c r="G126" s="31">
        <v>-479</v>
      </c>
      <c r="H126" s="31">
        <v>-479</v>
      </c>
      <c r="I126" s="378">
        <v>-478</v>
      </c>
      <c r="J126" s="31">
        <v>-479</v>
      </c>
      <c r="K126" s="183">
        <v>-479</v>
      </c>
      <c r="L126" s="31">
        <v>-479</v>
      </c>
      <c r="M126" s="31" t="s">
        <v>924</v>
      </c>
    </row>
    <row r="127" spans="1:13" ht="28">
      <c r="A127" s="148" t="s">
        <v>391</v>
      </c>
      <c r="B127" s="160" t="s">
        <v>391</v>
      </c>
      <c r="C127" s="31">
        <v>-619461</v>
      </c>
      <c r="D127" s="31">
        <v>-634222</v>
      </c>
      <c r="E127" s="31">
        <v>-633686</v>
      </c>
      <c r="F127" s="31">
        <v>-645758</v>
      </c>
      <c r="G127" s="31">
        <v>-645278</v>
      </c>
      <c r="H127" s="31">
        <v>-645259</v>
      </c>
      <c r="I127" s="378">
        <v>-835</v>
      </c>
      <c r="J127" s="31">
        <v>-398497</v>
      </c>
      <c r="K127" s="183">
        <v>-398592</v>
      </c>
      <c r="L127" s="31">
        <v>-427472</v>
      </c>
      <c r="M127" s="31">
        <v>-33</v>
      </c>
    </row>
    <row r="128" spans="1:13" ht="28">
      <c r="A128" s="148" t="s">
        <v>692</v>
      </c>
      <c r="B128" s="152" t="s">
        <v>379</v>
      </c>
      <c r="C128" s="31">
        <v>-94126</v>
      </c>
      <c r="D128" s="31">
        <v>-96010</v>
      </c>
      <c r="E128" s="31">
        <v>-95977</v>
      </c>
      <c r="F128" s="31">
        <v>-98275</v>
      </c>
      <c r="G128" s="31">
        <v>-98280</v>
      </c>
      <c r="H128" s="31">
        <v>-98099</v>
      </c>
      <c r="I128" s="378">
        <v>-24</v>
      </c>
      <c r="J128" s="31">
        <v>-60527</v>
      </c>
      <c r="K128" s="183">
        <v>-60445</v>
      </c>
      <c r="L128" s="31">
        <v>-60324</v>
      </c>
      <c r="M128" s="31" t="s">
        <v>924</v>
      </c>
    </row>
    <row r="129" spans="1:13">
      <c r="A129" s="148" t="s">
        <v>693</v>
      </c>
      <c r="B129" s="152" t="s">
        <v>389</v>
      </c>
      <c r="C129" s="31">
        <v>0</v>
      </c>
      <c r="E129" s="31">
        <v>0</v>
      </c>
      <c r="F129" s="31">
        <v>0</v>
      </c>
      <c r="G129" s="31">
        <v>-99975</v>
      </c>
      <c r="I129" s="378">
        <v>0</v>
      </c>
      <c r="K129" s="183">
        <v>0</v>
      </c>
      <c r="L129" s="31">
        <v>-2959</v>
      </c>
      <c r="M129" s="31" t="s">
        <v>924</v>
      </c>
    </row>
    <row r="130" spans="1:13" ht="28">
      <c r="A130" s="148" t="s">
        <v>694</v>
      </c>
      <c r="B130" s="152" t="s">
        <v>389</v>
      </c>
      <c r="C130" s="31">
        <v>2078066</v>
      </c>
      <c r="D130" s="31">
        <v>2587324</v>
      </c>
      <c r="E130" s="31">
        <v>2435278</v>
      </c>
      <c r="F130" s="31">
        <v>5871096</v>
      </c>
      <c r="G130" s="31">
        <v>2418603</v>
      </c>
      <c r="H130" s="31">
        <v>6451290</v>
      </c>
      <c r="I130" s="378">
        <v>1503603</v>
      </c>
      <c r="J130" s="31">
        <v>3408379</v>
      </c>
      <c r="K130" s="183">
        <v>3871588</v>
      </c>
      <c r="L130" s="31">
        <v>3576224</v>
      </c>
      <c r="M130" s="31">
        <v>1480093</v>
      </c>
    </row>
    <row r="131" spans="1:13">
      <c r="A131" s="148" t="s">
        <v>695</v>
      </c>
      <c r="B131" s="152" t="s">
        <v>389</v>
      </c>
      <c r="C131" s="31">
        <v>-2331743</v>
      </c>
      <c r="D131" s="31">
        <v>-2648034</v>
      </c>
      <c r="E131" s="31">
        <v>-2345836</v>
      </c>
      <c r="F131" s="31">
        <v>-2450354</v>
      </c>
      <c r="G131" s="31">
        <v>-4983475</v>
      </c>
      <c r="H131" s="31">
        <v>-3006342</v>
      </c>
      <c r="I131" s="378">
        <v>-1858650</v>
      </c>
      <c r="J131" s="31">
        <v>-5676685</v>
      </c>
      <c r="K131" s="183">
        <v>-2413598</v>
      </c>
      <c r="L131" s="31">
        <v>-3889449</v>
      </c>
      <c r="M131" s="31">
        <v>-1454869</v>
      </c>
    </row>
    <row r="132" spans="1:13" ht="28">
      <c r="A132" s="148" t="s">
        <v>696</v>
      </c>
      <c r="C132" s="31">
        <v>-1153963</v>
      </c>
      <c r="D132" s="31">
        <v>-801318</v>
      </c>
      <c r="E132" s="31">
        <v>-819083</v>
      </c>
      <c r="F132" s="31">
        <v>2491163</v>
      </c>
      <c r="G132" s="31">
        <v>-3446848</v>
      </c>
      <c r="H132" s="31">
        <v>2527853</v>
      </c>
      <c r="I132" s="378">
        <v>-356880</v>
      </c>
      <c r="J132" s="31">
        <v>-2729570</v>
      </c>
      <c r="K132" s="183">
        <v>2552537</v>
      </c>
      <c r="L132" s="31">
        <v>-813486</v>
      </c>
      <c r="M132" s="31">
        <v>-452509</v>
      </c>
    </row>
    <row r="133" spans="1:13" ht="42">
      <c r="A133" s="161" t="s">
        <v>698</v>
      </c>
      <c r="C133" s="31">
        <v>-181383</v>
      </c>
      <c r="D133" s="31">
        <v>-77533</v>
      </c>
      <c r="E133" s="31">
        <v>42974</v>
      </c>
      <c r="F133" s="31">
        <v>3167454</v>
      </c>
      <c r="G133" s="31">
        <v>-2977857</v>
      </c>
      <c r="H133" s="31">
        <v>3055480</v>
      </c>
      <c r="I133" s="378">
        <v>-418753</v>
      </c>
      <c r="J133" s="31">
        <v>-2223787</v>
      </c>
      <c r="K133" s="183">
        <v>-70700</v>
      </c>
      <c r="L133" s="31">
        <v>-75776</v>
      </c>
      <c r="M133" s="31">
        <v>354962</v>
      </c>
    </row>
    <row r="134" spans="1:13" ht="42">
      <c r="A134" s="161" t="s">
        <v>699</v>
      </c>
      <c r="C134" s="31">
        <v>695718</v>
      </c>
      <c r="D134" s="31">
        <v>514335</v>
      </c>
      <c r="E134" s="31">
        <v>436802</v>
      </c>
      <c r="F134" s="31">
        <v>479776</v>
      </c>
      <c r="G134" s="31">
        <v>3647230</v>
      </c>
      <c r="H134" s="31">
        <v>669373</v>
      </c>
      <c r="I134" s="378">
        <v>3724853</v>
      </c>
      <c r="J134" s="31">
        <v>3306100</v>
      </c>
      <c r="K134" s="183"/>
      <c r="L134" s="31">
        <v>1011613</v>
      </c>
      <c r="M134" s="31" t="s">
        <v>924</v>
      </c>
    </row>
    <row r="135" spans="1:13" ht="28">
      <c r="A135" s="161" t="s">
        <v>700</v>
      </c>
      <c r="C135" s="31">
        <v>514335</v>
      </c>
      <c r="D135" s="31">
        <v>436802</v>
      </c>
      <c r="E135" s="31">
        <v>479776</v>
      </c>
      <c r="F135" s="31">
        <v>3647230</v>
      </c>
      <c r="G135" s="31">
        <v>669373</v>
      </c>
      <c r="H135" s="31">
        <v>3724853</v>
      </c>
      <c r="I135" s="378">
        <v>3306100</v>
      </c>
      <c r="J135" s="31">
        <v>1082313</v>
      </c>
      <c r="K135" s="183"/>
      <c r="L135" s="31">
        <v>935837</v>
      </c>
      <c r="M135" s="31">
        <v>354962</v>
      </c>
    </row>
  </sheetData>
  <phoneticPr fontId="45"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2AA7-6A0E-452E-86FB-DB7D80B4F7FD}">
  <dimension ref="A1:L478"/>
  <sheetViews>
    <sheetView topLeftCell="A360" zoomScale="85" zoomScaleNormal="85" workbookViewId="0">
      <selection activeCell="B443" sqref="B443:C464"/>
    </sheetView>
  </sheetViews>
  <sheetFormatPr defaultColWidth="8.58203125" defaultRowHeight="14"/>
  <cols>
    <col min="1" max="1" width="39.83203125" style="162" customWidth="1"/>
    <col min="2" max="2" width="26.58203125" style="162" customWidth="1"/>
    <col min="3" max="3" width="31.58203125" style="162" customWidth="1"/>
    <col min="4" max="5" width="14.83203125" style="162" customWidth="1"/>
    <col min="6" max="6" width="17.58203125" style="162" customWidth="1"/>
    <col min="7" max="16384" width="8.58203125" style="162"/>
  </cols>
  <sheetData>
    <row r="1" spans="1:12" ht="40" customHeight="1">
      <c r="A1" s="536"/>
      <c r="B1" s="536"/>
      <c r="C1" s="536"/>
      <c r="D1" s="536"/>
    </row>
    <row r="2" spans="1:12" ht="30" customHeight="1">
      <c r="A2" s="163" t="s">
        <v>932</v>
      </c>
      <c r="B2" s="164"/>
      <c r="C2" s="164"/>
      <c r="D2" s="164"/>
      <c r="E2" s="164"/>
      <c r="F2" s="164"/>
      <c r="G2" s="164"/>
      <c r="H2" s="164"/>
      <c r="I2" s="164"/>
      <c r="J2" s="164"/>
      <c r="K2" s="164"/>
      <c r="L2" s="164"/>
    </row>
    <row r="3" spans="1:12">
      <c r="A3" s="535" t="s">
        <v>933</v>
      </c>
      <c r="B3" s="535"/>
      <c r="C3" s="535"/>
      <c r="D3" s="535"/>
      <c r="E3" s="535"/>
      <c r="F3" s="535"/>
    </row>
    <row r="4" spans="1:12">
      <c r="A4" s="535" t="s">
        <v>934</v>
      </c>
      <c r="B4" s="535"/>
      <c r="C4" s="535"/>
      <c r="D4" s="535"/>
      <c r="E4" s="535"/>
      <c r="F4" s="535"/>
    </row>
    <row r="5" spans="1:12">
      <c r="A5" s="535" t="s">
        <v>933</v>
      </c>
      <c r="B5" s="535"/>
      <c r="C5" s="535"/>
      <c r="D5" s="535"/>
      <c r="E5" s="535"/>
      <c r="F5" s="535"/>
    </row>
    <row r="6" spans="1:12">
      <c r="A6" s="330" t="s">
        <v>933</v>
      </c>
    </row>
    <row r="7" spans="1:12">
      <c r="A7" s="330" t="s">
        <v>935</v>
      </c>
    </row>
    <row r="8" spans="1:12">
      <c r="A8" s="330" t="s">
        <v>936</v>
      </c>
    </row>
    <row r="9" spans="1:12">
      <c r="A9" s="330"/>
    </row>
    <row r="10" spans="1:12">
      <c r="A10" s="535" t="s">
        <v>933</v>
      </c>
      <c r="B10" s="535"/>
      <c r="C10" s="535"/>
      <c r="D10" s="535"/>
      <c r="E10" s="535"/>
      <c r="F10" s="535"/>
    </row>
    <row r="11" spans="1:12">
      <c r="A11" s="535" t="s">
        <v>933</v>
      </c>
      <c r="B11" s="535"/>
      <c r="C11" s="535"/>
      <c r="D11" s="535"/>
      <c r="E11" s="535"/>
      <c r="F11" s="535"/>
    </row>
    <row r="12" spans="1:12">
      <c r="A12" s="535" t="s">
        <v>933</v>
      </c>
      <c r="B12" s="535"/>
      <c r="C12" s="535"/>
      <c r="D12" s="535"/>
      <c r="E12" s="535"/>
      <c r="F12" s="535"/>
    </row>
    <row r="13" spans="1:12">
      <c r="A13" s="535" t="s">
        <v>933</v>
      </c>
      <c r="B13" s="535"/>
      <c r="C13" s="535"/>
      <c r="D13" s="535"/>
      <c r="E13" s="535"/>
      <c r="F13" s="535"/>
    </row>
    <row r="14" spans="1:12">
      <c r="A14" s="535" t="s">
        <v>933</v>
      </c>
      <c r="B14" s="535"/>
      <c r="C14" s="535"/>
      <c r="D14" s="535"/>
      <c r="E14" s="535"/>
      <c r="F14" s="535"/>
    </row>
    <row r="15" spans="1:12">
      <c r="A15" s="535" t="s">
        <v>933</v>
      </c>
      <c r="B15" s="535"/>
      <c r="C15" s="535"/>
      <c r="D15" s="535"/>
      <c r="E15" s="535"/>
      <c r="F15" s="535"/>
    </row>
    <row r="16" spans="1:12">
      <c r="A16" s="535" t="s">
        <v>933</v>
      </c>
      <c r="B16" s="535"/>
      <c r="C16" s="535"/>
      <c r="D16" s="535"/>
      <c r="E16" s="535"/>
      <c r="F16" s="535"/>
    </row>
    <row r="17" spans="1:6">
      <c r="A17" s="535" t="s">
        <v>933</v>
      </c>
      <c r="B17" s="535"/>
      <c r="C17" s="535"/>
      <c r="D17" s="535"/>
      <c r="E17" s="535"/>
      <c r="F17" s="535"/>
    </row>
    <row r="18" spans="1:6">
      <c r="A18" s="535" t="s">
        <v>933</v>
      </c>
      <c r="B18" s="535"/>
      <c r="C18" s="535"/>
      <c r="D18" s="535"/>
      <c r="E18" s="535"/>
      <c r="F18" s="535"/>
    </row>
    <row r="19" spans="1:6">
      <c r="A19" s="535" t="s">
        <v>933</v>
      </c>
      <c r="B19" s="535"/>
      <c r="C19" s="535"/>
      <c r="D19" s="535"/>
      <c r="E19" s="535"/>
      <c r="F19" s="535"/>
    </row>
    <row r="20" spans="1:6">
      <c r="A20" s="535" t="s">
        <v>933</v>
      </c>
      <c r="B20" s="535"/>
      <c r="C20" s="535"/>
      <c r="D20" s="535"/>
      <c r="E20" s="535"/>
      <c r="F20" s="535"/>
    </row>
    <row r="21" spans="1:6">
      <c r="A21" s="535" t="s">
        <v>933</v>
      </c>
      <c r="B21" s="535"/>
      <c r="C21" s="535"/>
      <c r="D21" s="535"/>
      <c r="E21" s="535"/>
      <c r="F21" s="535"/>
    </row>
    <row r="22" spans="1:6">
      <c r="A22" s="535" t="s">
        <v>933</v>
      </c>
      <c r="B22" s="535"/>
      <c r="C22" s="535"/>
      <c r="D22" s="535"/>
      <c r="E22" s="535"/>
      <c r="F22" s="535"/>
    </row>
    <row r="23" spans="1:6">
      <c r="A23" s="535" t="s">
        <v>933</v>
      </c>
      <c r="B23" s="535"/>
      <c r="C23" s="535"/>
      <c r="D23" s="535"/>
      <c r="E23" s="535"/>
      <c r="F23" s="535"/>
    </row>
    <row r="24" spans="1:6">
      <c r="A24" s="535" t="s">
        <v>933</v>
      </c>
      <c r="B24" s="535"/>
      <c r="C24" s="535"/>
      <c r="D24" s="535"/>
      <c r="E24" s="535"/>
      <c r="F24" s="535"/>
    </row>
    <row r="25" spans="1:6">
      <c r="A25" s="535" t="s">
        <v>933</v>
      </c>
      <c r="B25" s="535"/>
      <c r="C25" s="535"/>
      <c r="D25" s="535"/>
      <c r="E25" s="535"/>
      <c r="F25" s="535"/>
    </row>
    <row r="26" spans="1:6">
      <c r="A26" s="535" t="s">
        <v>933</v>
      </c>
      <c r="B26" s="535"/>
      <c r="C26" s="535"/>
      <c r="D26" s="535"/>
      <c r="E26" s="535"/>
      <c r="F26" s="535"/>
    </row>
    <row r="27" spans="1:6">
      <c r="A27" s="535" t="s">
        <v>933</v>
      </c>
      <c r="B27" s="535"/>
      <c r="C27" s="535"/>
      <c r="D27" s="535"/>
      <c r="E27" s="535"/>
      <c r="F27" s="535"/>
    </row>
    <row r="28" spans="1:6">
      <c r="A28" s="535" t="s">
        <v>933</v>
      </c>
      <c r="B28" s="535"/>
      <c r="C28" s="535"/>
      <c r="D28" s="535"/>
      <c r="E28" s="535"/>
      <c r="F28" s="535"/>
    </row>
    <row r="29" spans="1:6">
      <c r="A29" s="535" t="s">
        <v>933</v>
      </c>
      <c r="B29" s="535"/>
      <c r="C29" s="535"/>
      <c r="D29" s="535"/>
      <c r="E29" s="535"/>
      <c r="F29" s="535"/>
    </row>
    <row r="30" spans="1:6">
      <c r="A30" s="535" t="s">
        <v>933</v>
      </c>
      <c r="B30" s="535"/>
      <c r="C30" s="535"/>
      <c r="D30" s="535"/>
      <c r="E30" s="535"/>
      <c r="F30" s="535"/>
    </row>
    <row r="31" spans="1:6">
      <c r="A31" s="535" t="s">
        <v>933</v>
      </c>
      <c r="B31" s="535"/>
      <c r="C31" s="535"/>
      <c r="D31" s="535"/>
      <c r="E31" s="535"/>
      <c r="F31" s="535"/>
    </row>
    <row r="32" spans="1:6">
      <c r="A32" s="535" t="s">
        <v>933</v>
      </c>
      <c r="B32" s="535"/>
      <c r="C32" s="535"/>
      <c r="D32" s="535"/>
      <c r="E32" s="535"/>
      <c r="F32" s="535"/>
    </row>
    <row r="33" spans="1:6">
      <c r="A33" s="535" t="s">
        <v>933</v>
      </c>
      <c r="B33" s="535"/>
      <c r="C33" s="535"/>
      <c r="D33" s="535"/>
      <c r="E33" s="535"/>
      <c r="F33" s="535"/>
    </row>
    <row r="34" spans="1:6">
      <c r="A34" s="535" t="s">
        <v>933</v>
      </c>
      <c r="B34" s="535"/>
      <c r="C34" s="535"/>
      <c r="D34" s="535"/>
      <c r="E34" s="535"/>
      <c r="F34" s="535"/>
    </row>
    <row r="35" spans="1:6">
      <c r="A35" s="535" t="s">
        <v>933</v>
      </c>
      <c r="B35" s="535"/>
      <c r="C35" s="535"/>
      <c r="D35" s="535"/>
      <c r="E35" s="535"/>
      <c r="F35" s="535"/>
    </row>
    <row r="36" spans="1:6">
      <c r="A36" s="535" t="s">
        <v>933</v>
      </c>
      <c r="B36" s="535"/>
      <c r="C36" s="535"/>
      <c r="D36" s="535"/>
      <c r="E36" s="535"/>
      <c r="F36" s="535"/>
    </row>
    <row r="37" spans="1:6" ht="14.5">
      <c r="A37" s="165" t="s">
        <v>937</v>
      </c>
      <c r="B37" s="165" t="s">
        <v>938</v>
      </c>
      <c r="C37" s="165" t="s">
        <v>939</v>
      </c>
      <c r="D37" s="165" t="s">
        <v>940</v>
      </c>
      <c r="E37" s="165" t="s">
        <v>941</v>
      </c>
      <c r="F37" s="165" t="s">
        <v>942</v>
      </c>
    </row>
    <row r="38" spans="1:6">
      <c r="A38" s="330" t="s">
        <v>943</v>
      </c>
      <c r="B38" s="330" t="s">
        <v>944</v>
      </c>
      <c r="C38" s="330">
        <v>0.6</v>
      </c>
      <c r="D38" s="330">
        <v>-71.510000000000005</v>
      </c>
      <c r="E38" s="330">
        <v>-36.07</v>
      </c>
      <c r="F38" s="330">
        <v>-13.58</v>
      </c>
    </row>
    <row r="39" spans="1:6">
      <c r="A39" s="330" t="s">
        <v>945</v>
      </c>
      <c r="B39" s="330" t="s">
        <v>944</v>
      </c>
      <c r="C39" s="330">
        <v>42.97</v>
      </c>
      <c r="D39" s="330">
        <v>-27.66</v>
      </c>
      <c r="E39" s="330">
        <v>13.7</v>
      </c>
      <c r="F39" s="330">
        <v>43.8</v>
      </c>
    </row>
    <row r="40" spans="1:6">
      <c r="A40" s="535" t="s">
        <v>933</v>
      </c>
      <c r="B40" s="535"/>
      <c r="C40" s="535"/>
      <c r="D40" s="535"/>
      <c r="E40" s="535"/>
      <c r="F40" s="535"/>
    </row>
    <row r="41" spans="1:6">
      <c r="A41" s="535" t="s">
        <v>933</v>
      </c>
      <c r="B41" s="535"/>
      <c r="C41" s="535"/>
      <c r="D41" s="535"/>
      <c r="E41" s="535"/>
      <c r="F41" s="535"/>
    </row>
    <row r="42" spans="1:6" ht="14.5">
      <c r="A42" s="165" t="s">
        <v>946</v>
      </c>
      <c r="B42" s="165" t="s">
        <v>947</v>
      </c>
      <c r="C42" s="165" t="s">
        <v>948</v>
      </c>
    </row>
    <row r="43" spans="1:6">
      <c r="A43" s="167">
        <v>44410</v>
      </c>
      <c r="B43" s="166">
        <v>-18.23</v>
      </c>
      <c r="C43" s="166">
        <v>41.84</v>
      </c>
    </row>
    <row r="44" spans="1:6">
      <c r="A44" s="167">
        <v>44407</v>
      </c>
      <c r="B44" s="166">
        <v>-18.100000000000001</v>
      </c>
      <c r="C44" s="166">
        <v>42.1</v>
      </c>
    </row>
    <row r="45" spans="1:6">
      <c r="A45" s="167">
        <v>44406</v>
      </c>
      <c r="B45" s="166">
        <v>-18.489999999999998</v>
      </c>
      <c r="C45" s="166">
        <v>42.87</v>
      </c>
    </row>
    <row r="46" spans="1:6">
      <c r="A46" s="167">
        <v>44405</v>
      </c>
      <c r="B46" s="166">
        <v>-18.95</v>
      </c>
      <c r="C46" s="166">
        <v>42.27</v>
      </c>
    </row>
    <row r="47" spans="1:6">
      <c r="A47" s="167">
        <v>44404</v>
      </c>
      <c r="B47" s="166">
        <v>-18.53</v>
      </c>
      <c r="C47" s="166">
        <v>42.3</v>
      </c>
    </row>
    <row r="48" spans="1:6">
      <c r="A48" s="167">
        <v>44403</v>
      </c>
      <c r="B48" s="166">
        <v>-17.77</v>
      </c>
      <c r="C48" s="166">
        <v>42.97</v>
      </c>
    </row>
    <row r="49" spans="1:3">
      <c r="A49" s="167">
        <v>44400</v>
      </c>
      <c r="B49" s="166">
        <v>-19.64</v>
      </c>
      <c r="C49" s="166">
        <v>42.63</v>
      </c>
    </row>
    <row r="50" spans="1:3">
      <c r="A50" s="167">
        <v>44399</v>
      </c>
      <c r="B50" s="166">
        <v>-19.02</v>
      </c>
      <c r="C50" s="166">
        <v>41.2</v>
      </c>
    </row>
    <row r="51" spans="1:3">
      <c r="A51" s="167">
        <v>44398</v>
      </c>
      <c r="B51" s="166">
        <v>-17.190000000000001</v>
      </c>
      <c r="C51" s="166">
        <v>40.92</v>
      </c>
    </row>
    <row r="52" spans="1:3">
      <c r="A52" s="167">
        <v>44397</v>
      </c>
      <c r="B52" s="166">
        <v>-18.68</v>
      </c>
      <c r="C52" s="166">
        <v>39.770000000000003</v>
      </c>
    </row>
    <row r="53" spans="1:3">
      <c r="A53" s="167">
        <v>44396</v>
      </c>
      <c r="B53" s="166">
        <v>-24.14</v>
      </c>
      <c r="C53" s="166">
        <v>37.68</v>
      </c>
    </row>
    <row r="54" spans="1:3">
      <c r="A54" s="167">
        <v>44393</v>
      </c>
      <c r="B54" s="166">
        <v>-19.41</v>
      </c>
      <c r="C54" s="166">
        <v>39.9</v>
      </c>
    </row>
    <row r="55" spans="1:3">
      <c r="A55" s="167">
        <v>44392</v>
      </c>
      <c r="B55" s="166">
        <v>-18.09</v>
      </c>
      <c r="C55" s="166">
        <v>40.96</v>
      </c>
    </row>
    <row r="56" spans="1:3">
      <c r="A56" s="167">
        <v>44391</v>
      </c>
      <c r="B56" s="166">
        <v>-17.5</v>
      </c>
      <c r="C56" s="166">
        <v>41.42</v>
      </c>
    </row>
    <row r="57" spans="1:3">
      <c r="A57" s="167">
        <v>44390</v>
      </c>
      <c r="B57" s="166">
        <v>-18.05</v>
      </c>
      <c r="C57" s="166">
        <v>41.26</v>
      </c>
    </row>
    <row r="58" spans="1:3">
      <c r="A58" s="167">
        <v>44389</v>
      </c>
      <c r="B58" s="166">
        <v>-15.68</v>
      </c>
      <c r="C58" s="166">
        <v>41.76</v>
      </c>
    </row>
    <row r="59" spans="1:3">
      <c r="A59" s="167">
        <v>44386</v>
      </c>
      <c r="B59" s="166">
        <v>-16.05</v>
      </c>
      <c r="C59" s="166">
        <v>41.27</v>
      </c>
    </row>
    <row r="60" spans="1:3">
      <c r="A60" s="167">
        <v>44385</v>
      </c>
      <c r="B60" s="166">
        <v>-19.03</v>
      </c>
      <c r="C60" s="166">
        <v>39.69</v>
      </c>
    </row>
    <row r="61" spans="1:3">
      <c r="A61" s="167">
        <v>44384</v>
      </c>
      <c r="B61" s="166">
        <v>-18.579999999999998</v>
      </c>
      <c r="C61" s="166">
        <v>40.9</v>
      </c>
    </row>
    <row r="62" spans="1:3">
      <c r="A62" s="167">
        <v>44383</v>
      </c>
      <c r="B62" s="166">
        <v>-17.38</v>
      </c>
      <c r="C62" s="166">
        <v>40.43</v>
      </c>
    </row>
    <row r="63" spans="1:3">
      <c r="A63" s="167">
        <v>44379</v>
      </c>
      <c r="B63" s="166">
        <v>-16.09</v>
      </c>
      <c r="C63" s="166">
        <v>40.71</v>
      </c>
    </row>
    <row r="64" spans="1:3">
      <c r="A64" s="167">
        <v>44378</v>
      </c>
      <c r="B64" s="166">
        <v>-14.86</v>
      </c>
      <c r="C64" s="166">
        <v>39.659999999999997</v>
      </c>
    </row>
    <row r="65" spans="1:3">
      <c r="A65" s="167">
        <v>44377</v>
      </c>
      <c r="B65" s="166">
        <v>-15.54</v>
      </c>
      <c r="C65" s="166">
        <v>38.94</v>
      </c>
    </row>
    <row r="66" spans="1:3">
      <c r="A66" s="167">
        <v>44376</v>
      </c>
      <c r="B66" s="166">
        <v>-15.21</v>
      </c>
      <c r="C66" s="166">
        <v>38.75</v>
      </c>
    </row>
    <row r="67" spans="1:3">
      <c r="A67" s="167">
        <v>44375</v>
      </c>
      <c r="B67" s="166">
        <v>-15.72</v>
      </c>
      <c r="C67" s="166">
        <v>38.72</v>
      </c>
    </row>
    <row r="68" spans="1:3">
      <c r="A68" s="167">
        <v>44372</v>
      </c>
      <c r="B68" s="166">
        <v>-15.16</v>
      </c>
      <c r="C68" s="166">
        <v>38.4</v>
      </c>
    </row>
    <row r="69" spans="1:3">
      <c r="A69" s="167">
        <v>44371</v>
      </c>
      <c r="B69" s="166">
        <v>-15.45</v>
      </c>
      <c r="C69" s="166">
        <v>37.94</v>
      </c>
    </row>
    <row r="70" spans="1:3">
      <c r="A70" s="167">
        <v>44370</v>
      </c>
      <c r="B70" s="166">
        <v>-14.42</v>
      </c>
      <c r="C70" s="166">
        <v>37.14</v>
      </c>
    </row>
    <row r="71" spans="1:3">
      <c r="A71" s="167">
        <v>44369</v>
      </c>
      <c r="B71" s="166">
        <v>-15.69</v>
      </c>
      <c r="C71" s="166">
        <v>37.29</v>
      </c>
    </row>
    <row r="72" spans="1:3">
      <c r="A72" s="167">
        <v>44368</v>
      </c>
      <c r="B72" s="166">
        <v>-14.88</v>
      </c>
      <c r="C72" s="166">
        <v>36.590000000000003</v>
      </c>
    </row>
    <row r="73" spans="1:3">
      <c r="A73" s="167">
        <v>44365</v>
      </c>
      <c r="B73" s="166">
        <v>-18.88</v>
      </c>
      <c r="C73" s="166">
        <v>34.700000000000003</v>
      </c>
    </row>
    <row r="74" spans="1:3">
      <c r="A74" s="167">
        <v>44364</v>
      </c>
      <c r="B74" s="166">
        <v>-16.72</v>
      </c>
      <c r="C74" s="166">
        <v>36.49</v>
      </c>
    </row>
    <row r="75" spans="1:3">
      <c r="A75" s="167">
        <v>44363</v>
      </c>
      <c r="B75" s="166">
        <v>-15.38</v>
      </c>
      <c r="C75" s="166">
        <v>36.549999999999997</v>
      </c>
    </row>
    <row r="76" spans="1:3">
      <c r="A76" s="167">
        <v>44362</v>
      </c>
      <c r="B76" s="166">
        <v>-15.02</v>
      </c>
      <c r="C76" s="166">
        <v>37.29</v>
      </c>
    </row>
    <row r="77" spans="1:3">
      <c r="A77" s="167">
        <v>44361</v>
      </c>
      <c r="B77" s="166">
        <v>-13.73</v>
      </c>
      <c r="C77" s="166">
        <v>37.57</v>
      </c>
    </row>
    <row r="78" spans="1:3">
      <c r="A78" s="167">
        <v>44358</v>
      </c>
      <c r="B78" s="166">
        <v>-13.11</v>
      </c>
      <c r="C78" s="166">
        <v>37.32</v>
      </c>
    </row>
    <row r="79" spans="1:3">
      <c r="A79" s="167">
        <v>44357</v>
      </c>
      <c r="B79" s="166">
        <v>-12.91</v>
      </c>
      <c r="C79" s="166">
        <v>37.049999999999997</v>
      </c>
    </row>
    <row r="80" spans="1:3">
      <c r="A80" s="167">
        <v>44356</v>
      </c>
      <c r="B80" s="166">
        <v>-12.23</v>
      </c>
      <c r="C80" s="166">
        <v>36.42</v>
      </c>
    </row>
    <row r="81" spans="1:3">
      <c r="A81" s="167">
        <v>44355</v>
      </c>
      <c r="B81" s="166">
        <v>-12.16</v>
      </c>
      <c r="C81" s="166">
        <v>36.67</v>
      </c>
    </row>
    <row r="82" spans="1:3">
      <c r="A82" s="167">
        <v>44354</v>
      </c>
      <c r="B82" s="166">
        <v>-13.26</v>
      </c>
      <c r="C82" s="166">
        <v>36.64</v>
      </c>
    </row>
    <row r="83" spans="1:3">
      <c r="A83" s="167">
        <v>44351</v>
      </c>
      <c r="B83" s="166">
        <v>-14.38</v>
      </c>
      <c r="C83" s="166">
        <v>36.75</v>
      </c>
    </row>
    <row r="84" spans="1:3">
      <c r="A84" s="167">
        <v>44350</v>
      </c>
      <c r="B84" s="166">
        <v>-13.22</v>
      </c>
      <c r="C84" s="166">
        <v>35.56</v>
      </c>
    </row>
    <row r="85" spans="1:3">
      <c r="A85" s="167">
        <v>44349</v>
      </c>
      <c r="B85" s="166">
        <v>-12.49</v>
      </c>
      <c r="C85" s="166">
        <v>36.049999999999997</v>
      </c>
    </row>
    <row r="86" spans="1:3">
      <c r="A86" s="167">
        <v>44348</v>
      </c>
      <c r="B86" s="166">
        <v>-13.14</v>
      </c>
      <c r="C86" s="166">
        <v>35.85</v>
      </c>
    </row>
    <row r="87" spans="1:3">
      <c r="A87" s="167">
        <v>44344</v>
      </c>
      <c r="B87" s="166">
        <v>-16.829999999999998</v>
      </c>
      <c r="C87" s="166">
        <v>35.92</v>
      </c>
    </row>
    <row r="88" spans="1:3">
      <c r="A88" s="167">
        <v>44343</v>
      </c>
      <c r="B88" s="166">
        <v>-16.96</v>
      </c>
      <c r="C88" s="166">
        <v>35.82</v>
      </c>
    </row>
    <row r="89" spans="1:3">
      <c r="A89" s="167">
        <v>44342</v>
      </c>
      <c r="B89" s="166">
        <v>-17.989999999999998</v>
      </c>
      <c r="C89" s="166">
        <v>35.659999999999997</v>
      </c>
    </row>
    <row r="90" spans="1:3">
      <c r="A90" s="167">
        <v>44341</v>
      </c>
      <c r="B90" s="166">
        <v>-19.48</v>
      </c>
      <c r="C90" s="166">
        <v>35.4</v>
      </c>
    </row>
    <row r="91" spans="1:3">
      <c r="A91" s="167">
        <v>44340</v>
      </c>
      <c r="B91" s="166">
        <v>-19.32</v>
      </c>
      <c r="C91" s="166">
        <v>35.69</v>
      </c>
    </row>
    <row r="92" spans="1:3">
      <c r="A92" s="167">
        <v>44337</v>
      </c>
      <c r="B92" s="166">
        <v>-20.78</v>
      </c>
      <c r="C92" s="166">
        <v>34.36</v>
      </c>
    </row>
    <row r="93" spans="1:3">
      <c r="A93" s="167">
        <v>44336</v>
      </c>
      <c r="B93" s="166">
        <v>-20.66</v>
      </c>
      <c r="C93" s="166">
        <v>34.47</v>
      </c>
    </row>
    <row r="94" spans="1:3">
      <c r="A94" s="167">
        <v>44335</v>
      </c>
      <c r="B94" s="166">
        <v>-20.86</v>
      </c>
      <c r="C94" s="166">
        <v>33.06</v>
      </c>
    </row>
    <row r="95" spans="1:3">
      <c r="A95" s="167">
        <v>44334</v>
      </c>
      <c r="B95" s="166">
        <v>-20.66</v>
      </c>
      <c r="C95" s="166">
        <v>33.450000000000003</v>
      </c>
    </row>
    <row r="96" spans="1:3">
      <c r="A96" s="167">
        <v>44333</v>
      </c>
      <c r="B96" s="166">
        <v>-20.88</v>
      </c>
      <c r="C96" s="166">
        <v>34.6</v>
      </c>
    </row>
    <row r="97" spans="1:3">
      <c r="A97" s="167">
        <v>44330</v>
      </c>
      <c r="B97" s="166">
        <v>-20.91</v>
      </c>
      <c r="C97" s="166">
        <v>34.94</v>
      </c>
    </row>
    <row r="98" spans="1:3">
      <c r="A98" s="167">
        <v>44329</v>
      </c>
      <c r="B98" s="166">
        <v>-23.63</v>
      </c>
      <c r="C98" s="166">
        <v>32.96</v>
      </c>
    </row>
    <row r="99" spans="1:3">
      <c r="A99" s="167">
        <v>44328</v>
      </c>
      <c r="B99" s="166">
        <v>-23.87</v>
      </c>
      <c r="C99" s="166">
        <v>31.36</v>
      </c>
    </row>
    <row r="100" spans="1:3">
      <c r="A100" s="167">
        <v>44327</v>
      </c>
      <c r="B100" s="166">
        <v>-20.62</v>
      </c>
      <c r="C100" s="166">
        <v>34.24</v>
      </c>
    </row>
    <row r="101" spans="1:3">
      <c r="A101" s="167">
        <v>44326</v>
      </c>
      <c r="B101" s="166">
        <v>-17.96</v>
      </c>
      <c r="C101" s="166">
        <v>35.409999999999997</v>
      </c>
    </row>
    <row r="102" spans="1:3">
      <c r="A102" s="167">
        <v>44323</v>
      </c>
      <c r="B102" s="166">
        <v>-19.13</v>
      </c>
      <c r="C102" s="166">
        <v>36.840000000000003</v>
      </c>
    </row>
    <row r="103" spans="1:3">
      <c r="A103" s="167">
        <v>44322</v>
      </c>
      <c r="B103" s="166">
        <v>-20.43</v>
      </c>
      <c r="C103" s="166">
        <v>35.840000000000003</v>
      </c>
    </row>
    <row r="104" spans="1:3">
      <c r="A104" s="167">
        <v>44321</v>
      </c>
      <c r="B104" s="166">
        <v>-21.73</v>
      </c>
      <c r="C104" s="166">
        <v>34.74</v>
      </c>
    </row>
    <row r="105" spans="1:3">
      <c r="A105" s="167">
        <v>44320</v>
      </c>
      <c r="B105" s="166">
        <v>-21.44</v>
      </c>
      <c r="C105" s="166">
        <v>34.64</v>
      </c>
    </row>
    <row r="106" spans="1:3">
      <c r="A106" s="167">
        <v>44319</v>
      </c>
      <c r="B106" s="166">
        <v>-20.25</v>
      </c>
      <c r="C106" s="166">
        <v>35.549999999999997</v>
      </c>
    </row>
    <row r="107" spans="1:3">
      <c r="A107" s="167">
        <v>44316</v>
      </c>
      <c r="B107" s="166">
        <v>-21.2</v>
      </c>
      <c r="C107" s="166">
        <v>35.18</v>
      </c>
    </row>
    <row r="108" spans="1:3">
      <c r="A108" s="167">
        <v>44315</v>
      </c>
      <c r="B108" s="166">
        <v>-20.170000000000002</v>
      </c>
      <c r="C108" s="166">
        <v>36.159999999999997</v>
      </c>
    </row>
    <row r="109" spans="1:3">
      <c r="A109" s="167">
        <v>44314</v>
      </c>
      <c r="B109" s="166">
        <v>-20.32</v>
      </c>
      <c r="C109" s="166">
        <v>35.24</v>
      </c>
    </row>
    <row r="110" spans="1:3">
      <c r="A110" s="167">
        <v>44313</v>
      </c>
      <c r="B110" s="166">
        <v>-20.8</v>
      </c>
      <c r="C110" s="166">
        <v>35.36</v>
      </c>
    </row>
    <row r="111" spans="1:3">
      <c r="A111" s="167">
        <v>44312</v>
      </c>
      <c r="B111" s="166">
        <v>-22.22</v>
      </c>
      <c r="C111" s="166">
        <v>35.39</v>
      </c>
    </row>
    <row r="112" spans="1:3">
      <c r="A112" s="167">
        <v>44309</v>
      </c>
      <c r="B112" s="166">
        <v>-24.32</v>
      </c>
      <c r="C112" s="166">
        <v>35.15</v>
      </c>
    </row>
    <row r="113" spans="1:3">
      <c r="A113" s="167">
        <v>44308</v>
      </c>
      <c r="B113" s="166">
        <v>-25.14</v>
      </c>
      <c r="C113" s="166">
        <v>33.68</v>
      </c>
    </row>
    <row r="114" spans="1:3">
      <c r="A114" s="167">
        <v>44307</v>
      </c>
      <c r="B114" s="166">
        <v>-23.86</v>
      </c>
      <c r="C114" s="166">
        <v>34.93</v>
      </c>
    </row>
    <row r="115" spans="1:3">
      <c r="A115" s="167">
        <v>44306</v>
      </c>
      <c r="B115" s="166">
        <v>-26.04</v>
      </c>
      <c r="C115" s="166">
        <v>33.68</v>
      </c>
    </row>
    <row r="116" spans="1:3">
      <c r="A116" s="167">
        <v>44305</v>
      </c>
      <c r="B116" s="166">
        <v>-24.55</v>
      </c>
      <c r="C116" s="166">
        <v>34.6</v>
      </c>
    </row>
    <row r="117" spans="1:3">
      <c r="A117" s="167">
        <v>44302</v>
      </c>
      <c r="B117" s="166">
        <v>-24.19</v>
      </c>
      <c r="C117" s="166">
        <v>35.32</v>
      </c>
    </row>
    <row r="118" spans="1:3">
      <c r="A118" s="167">
        <v>44301</v>
      </c>
      <c r="B118" s="166">
        <v>-25.84</v>
      </c>
      <c r="C118" s="166">
        <v>34.83</v>
      </c>
    </row>
    <row r="119" spans="1:3">
      <c r="A119" s="167">
        <v>44300</v>
      </c>
      <c r="B119" s="166">
        <v>-26.36</v>
      </c>
      <c r="C119" s="166">
        <v>33.35</v>
      </c>
    </row>
    <row r="120" spans="1:3">
      <c r="A120" s="167">
        <v>44299</v>
      </c>
      <c r="B120" s="166">
        <v>-26.61</v>
      </c>
      <c r="C120" s="166">
        <v>33.9</v>
      </c>
    </row>
    <row r="121" spans="1:3">
      <c r="A121" s="167">
        <v>44298</v>
      </c>
      <c r="B121" s="166">
        <v>-25.73</v>
      </c>
      <c r="C121" s="166">
        <v>33.46</v>
      </c>
    </row>
    <row r="122" spans="1:3">
      <c r="A122" s="167">
        <v>44295</v>
      </c>
      <c r="B122" s="166">
        <v>-24.97</v>
      </c>
      <c r="C122" s="166">
        <v>33.479999999999997</v>
      </c>
    </row>
    <row r="123" spans="1:3">
      <c r="A123" s="167">
        <v>44294</v>
      </c>
      <c r="B123" s="166">
        <v>-26</v>
      </c>
      <c r="C123" s="166">
        <v>32.46</v>
      </c>
    </row>
    <row r="124" spans="1:3">
      <c r="A124" s="167">
        <v>44293</v>
      </c>
      <c r="B124" s="166">
        <v>-24.26</v>
      </c>
      <c r="C124" s="166">
        <v>31.91</v>
      </c>
    </row>
    <row r="125" spans="1:3">
      <c r="A125" s="167">
        <v>44292</v>
      </c>
      <c r="B125" s="166">
        <v>-24.6</v>
      </c>
      <c r="C125" s="166">
        <v>31.71</v>
      </c>
    </row>
    <row r="126" spans="1:3">
      <c r="A126" s="167">
        <v>44291</v>
      </c>
      <c r="B126" s="166">
        <v>-25.53</v>
      </c>
      <c r="C126" s="166">
        <v>31.84</v>
      </c>
    </row>
    <row r="127" spans="1:3">
      <c r="A127" s="167">
        <v>44287</v>
      </c>
      <c r="B127" s="166">
        <v>-25.43</v>
      </c>
      <c r="C127" s="166">
        <v>29.96</v>
      </c>
    </row>
    <row r="128" spans="1:3">
      <c r="A128" s="167">
        <v>44286</v>
      </c>
      <c r="B128" s="166">
        <v>-26.36</v>
      </c>
      <c r="C128" s="166">
        <v>28.44</v>
      </c>
    </row>
    <row r="129" spans="1:3">
      <c r="A129" s="167">
        <v>44285</v>
      </c>
      <c r="B129" s="166">
        <v>-25.31</v>
      </c>
      <c r="C129" s="166">
        <v>27.98</v>
      </c>
    </row>
    <row r="130" spans="1:3">
      <c r="A130" s="167">
        <v>44284</v>
      </c>
      <c r="B130" s="166">
        <v>-26.33</v>
      </c>
      <c r="C130" s="166">
        <v>28.39</v>
      </c>
    </row>
    <row r="131" spans="1:3">
      <c r="A131" s="167">
        <v>44281</v>
      </c>
      <c r="B131" s="166">
        <v>-25.78</v>
      </c>
      <c r="C131" s="166">
        <v>28.5</v>
      </c>
    </row>
    <row r="132" spans="1:3">
      <c r="A132" s="167">
        <v>44280</v>
      </c>
      <c r="B132" s="166">
        <v>-26.44</v>
      </c>
      <c r="C132" s="166">
        <v>26.4</v>
      </c>
    </row>
    <row r="133" spans="1:3">
      <c r="A133" s="167">
        <v>44279</v>
      </c>
      <c r="B133" s="166">
        <v>-29.19</v>
      </c>
      <c r="C133" s="166">
        <v>25.74</v>
      </c>
    </row>
    <row r="134" spans="1:3">
      <c r="A134" s="167">
        <v>44278</v>
      </c>
      <c r="B134" s="166">
        <v>-28.53</v>
      </c>
      <c r="C134" s="166">
        <v>26.43</v>
      </c>
    </row>
    <row r="135" spans="1:3">
      <c r="A135" s="167">
        <v>44277</v>
      </c>
      <c r="B135" s="166">
        <v>-25.4</v>
      </c>
      <c r="C135" s="166">
        <v>27.4</v>
      </c>
    </row>
    <row r="136" spans="1:3">
      <c r="A136" s="167">
        <v>44274</v>
      </c>
      <c r="B136" s="166">
        <v>-24.47</v>
      </c>
      <c r="C136" s="166">
        <v>26.51</v>
      </c>
    </row>
    <row r="137" spans="1:3">
      <c r="A137" s="167">
        <v>44273</v>
      </c>
      <c r="B137" s="166">
        <v>-24.38</v>
      </c>
      <c r="C137" s="166">
        <v>26.59</v>
      </c>
    </row>
    <row r="138" spans="1:3">
      <c r="A138" s="167">
        <v>44272</v>
      </c>
      <c r="B138" s="166">
        <v>-23.46</v>
      </c>
      <c r="C138" s="166">
        <v>28.48</v>
      </c>
    </row>
    <row r="139" spans="1:3">
      <c r="A139" s="167">
        <v>44271</v>
      </c>
      <c r="B139" s="166">
        <v>-24.14</v>
      </c>
      <c r="C139" s="166">
        <v>28.12</v>
      </c>
    </row>
    <row r="140" spans="1:3">
      <c r="A140" s="167">
        <v>44270</v>
      </c>
      <c r="B140" s="166">
        <v>-21.67</v>
      </c>
      <c r="C140" s="166">
        <v>28.32</v>
      </c>
    </row>
    <row r="141" spans="1:3">
      <c r="A141" s="167">
        <v>44267</v>
      </c>
      <c r="B141" s="166">
        <v>-23.72</v>
      </c>
      <c r="C141" s="166">
        <v>27.49</v>
      </c>
    </row>
    <row r="142" spans="1:3">
      <c r="A142" s="167">
        <v>44266</v>
      </c>
      <c r="B142" s="166">
        <v>-25.02</v>
      </c>
      <c r="C142" s="166">
        <v>27.36</v>
      </c>
    </row>
    <row r="143" spans="1:3">
      <c r="A143" s="167">
        <v>44265</v>
      </c>
      <c r="B143" s="166">
        <v>-26.01</v>
      </c>
      <c r="C143" s="166">
        <v>26.05</v>
      </c>
    </row>
    <row r="144" spans="1:3">
      <c r="A144" s="167">
        <v>44264</v>
      </c>
      <c r="B144" s="166">
        <v>-28.15</v>
      </c>
      <c r="C144" s="166">
        <v>25.29</v>
      </c>
    </row>
    <row r="145" spans="1:3">
      <c r="A145" s="167">
        <v>44263</v>
      </c>
      <c r="B145" s="166">
        <v>-27.7</v>
      </c>
      <c r="C145" s="166">
        <v>23.54</v>
      </c>
    </row>
    <row r="146" spans="1:3">
      <c r="A146" s="167">
        <v>44260</v>
      </c>
      <c r="B146" s="166">
        <v>-28.04</v>
      </c>
      <c r="C146" s="166">
        <v>24.21</v>
      </c>
    </row>
    <row r="147" spans="1:3">
      <c r="A147" s="167">
        <v>44259</v>
      </c>
      <c r="B147" s="166">
        <v>-28.73</v>
      </c>
      <c r="C147" s="166">
        <v>21.84</v>
      </c>
    </row>
    <row r="148" spans="1:3">
      <c r="A148" s="167">
        <v>44258</v>
      </c>
      <c r="B148" s="166">
        <v>-26.22</v>
      </c>
      <c r="C148" s="166">
        <v>23.49</v>
      </c>
    </row>
    <row r="149" spans="1:3">
      <c r="A149" s="167">
        <v>44257</v>
      </c>
      <c r="B149" s="166">
        <v>-27.71</v>
      </c>
      <c r="C149" s="166">
        <v>25.13</v>
      </c>
    </row>
    <row r="150" spans="1:3">
      <c r="A150" s="167">
        <v>44256</v>
      </c>
      <c r="B150" s="166">
        <v>-26.26</v>
      </c>
      <c r="C150" s="166">
        <v>26.15</v>
      </c>
    </row>
    <row r="151" spans="1:3">
      <c r="A151" s="167">
        <v>44253</v>
      </c>
      <c r="B151" s="166">
        <v>-26.91</v>
      </c>
      <c r="C151" s="166">
        <v>23.22</v>
      </c>
    </row>
    <row r="152" spans="1:3">
      <c r="A152" s="167">
        <v>44252</v>
      </c>
      <c r="B152" s="166">
        <v>-25.68</v>
      </c>
      <c r="C152" s="166">
        <v>23.8</v>
      </c>
    </row>
    <row r="153" spans="1:3">
      <c r="A153" s="167">
        <v>44251</v>
      </c>
      <c r="B153" s="166">
        <v>-22.97</v>
      </c>
      <c r="C153" s="166">
        <v>26.91</v>
      </c>
    </row>
    <row r="154" spans="1:3">
      <c r="A154" s="167">
        <v>44250</v>
      </c>
      <c r="B154" s="166">
        <v>-25.48</v>
      </c>
      <c r="C154" s="166">
        <v>25.49</v>
      </c>
    </row>
    <row r="155" spans="1:3">
      <c r="A155" s="167">
        <v>44249</v>
      </c>
      <c r="B155" s="166">
        <v>-27</v>
      </c>
      <c r="C155" s="166">
        <v>25.33</v>
      </c>
    </row>
    <row r="156" spans="1:3">
      <c r="A156" s="167">
        <v>44246</v>
      </c>
      <c r="B156" s="166">
        <v>-29.17</v>
      </c>
      <c r="C156" s="166">
        <v>26.3</v>
      </c>
    </row>
    <row r="157" spans="1:3">
      <c r="A157" s="167">
        <v>44245</v>
      </c>
      <c r="B157" s="166">
        <v>-31.05</v>
      </c>
      <c r="C157" s="166">
        <v>26.54</v>
      </c>
    </row>
    <row r="158" spans="1:3">
      <c r="A158" s="167">
        <v>44244</v>
      </c>
      <c r="B158" s="166">
        <v>-29.94</v>
      </c>
      <c r="C158" s="166">
        <v>27.1</v>
      </c>
    </row>
    <row r="159" spans="1:3">
      <c r="A159" s="167">
        <v>44243</v>
      </c>
      <c r="B159" s="166">
        <v>-28.81</v>
      </c>
      <c r="C159" s="166">
        <v>27.14</v>
      </c>
    </row>
    <row r="160" spans="1:3">
      <c r="A160" s="167">
        <v>44239</v>
      </c>
      <c r="B160" s="166">
        <v>-29.28</v>
      </c>
      <c r="C160" s="166">
        <v>27.21</v>
      </c>
    </row>
    <row r="161" spans="1:3">
      <c r="A161" s="167">
        <v>44238</v>
      </c>
      <c r="B161" s="166">
        <v>-29.27</v>
      </c>
      <c r="C161" s="166">
        <v>26.62</v>
      </c>
    </row>
    <row r="162" spans="1:3">
      <c r="A162" s="167">
        <v>44237</v>
      </c>
      <c r="B162" s="166">
        <v>-31.24</v>
      </c>
      <c r="C162" s="166">
        <v>26.41</v>
      </c>
    </row>
    <row r="163" spans="1:3">
      <c r="A163" s="167">
        <v>44236</v>
      </c>
      <c r="B163" s="166">
        <v>-33.619999999999997</v>
      </c>
      <c r="C163" s="166">
        <v>26.45</v>
      </c>
    </row>
    <row r="164" spans="1:3">
      <c r="A164" s="167">
        <v>44235</v>
      </c>
      <c r="B164" s="166">
        <v>-35.96</v>
      </c>
      <c r="C164" s="166">
        <v>26.59</v>
      </c>
    </row>
    <row r="165" spans="1:3">
      <c r="A165" s="167">
        <v>44232</v>
      </c>
      <c r="B165" s="166">
        <v>-37.369999999999997</v>
      </c>
      <c r="C165" s="166">
        <v>25.66</v>
      </c>
    </row>
    <row r="166" spans="1:3">
      <c r="A166" s="167">
        <v>44231</v>
      </c>
      <c r="B166" s="166">
        <v>-38.4</v>
      </c>
      <c r="C166" s="166">
        <v>25.17</v>
      </c>
    </row>
    <row r="167" spans="1:3">
      <c r="A167" s="167">
        <v>44230</v>
      </c>
      <c r="B167" s="166">
        <v>-39.56</v>
      </c>
      <c r="C167" s="166">
        <v>23.83</v>
      </c>
    </row>
    <row r="168" spans="1:3">
      <c r="A168" s="167">
        <v>44229</v>
      </c>
      <c r="B168" s="166">
        <v>-40.15</v>
      </c>
      <c r="C168" s="166">
        <v>23.71</v>
      </c>
    </row>
    <row r="169" spans="1:3">
      <c r="A169" s="167">
        <v>44228</v>
      </c>
      <c r="B169" s="166">
        <v>-39.840000000000003</v>
      </c>
      <c r="C169" s="166">
        <v>22.01</v>
      </c>
    </row>
    <row r="170" spans="1:3">
      <c r="A170" s="167">
        <v>44225</v>
      </c>
      <c r="B170" s="166">
        <v>-39.85</v>
      </c>
      <c r="C170" s="166">
        <v>20.079999999999998</v>
      </c>
    </row>
    <row r="171" spans="1:3">
      <c r="A171" s="167">
        <v>44224</v>
      </c>
      <c r="B171" s="166">
        <v>-36.880000000000003</v>
      </c>
      <c r="C171" s="166">
        <v>22.45</v>
      </c>
    </row>
    <row r="172" spans="1:3">
      <c r="A172" s="167">
        <v>44223</v>
      </c>
      <c r="B172" s="166">
        <v>-37.450000000000003</v>
      </c>
      <c r="C172" s="166">
        <v>21.26</v>
      </c>
    </row>
    <row r="173" spans="1:3">
      <c r="A173" s="167">
        <v>44222</v>
      </c>
      <c r="B173" s="166">
        <v>-35.89</v>
      </c>
      <c r="C173" s="166">
        <v>24.46</v>
      </c>
    </row>
    <row r="174" spans="1:3">
      <c r="A174" s="167">
        <v>44221</v>
      </c>
      <c r="B174" s="166">
        <v>-36.9</v>
      </c>
      <c r="C174" s="166">
        <v>24.64</v>
      </c>
    </row>
    <row r="175" spans="1:3">
      <c r="A175" s="167">
        <v>44218</v>
      </c>
      <c r="B175" s="166">
        <v>-38.19</v>
      </c>
      <c r="C175" s="166">
        <v>24.2</v>
      </c>
    </row>
    <row r="176" spans="1:3">
      <c r="A176" s="167">
        <v>44217</v>
      </c>
      <c r="B176" s="166">
        <v>-38.82</v>
      </c>
      <c r="C176" s="166">
        <v>24.57</v>
      </c>
    </row>
    <row r="177" spans="1:3">
      <c r="A177" s="167">
        <v>44216</v>
      </c>
      <c r="B177" s="166">
        <v>-38.32</v>
      </c>
      <c r="C177" s="166">
        <v>24.53</v>
      </c>
    </row>
    <row r="178" spans="1:3">
      <c r="A178" s="167">
        <v>44215</v>
      </c>
      <c r="B178" s="166">
        <v>-40.020000000000003</v>
      </c>
      <c r="C178" s="166">
        <v>22.82</v>
      </c>
    </row>
    <row r="179" spans="1:3">
      <c r="A179" s="167">
        <v>44211</v>
      </c>
      <c r="B179" s="166">
        <v>-39.799999999999997</v>
      </c>
      <c r="C179" s="166">
        <v>21.83</v>
      </c>
    </row>
    <row r="180" spans="1:3">
      <c r="A180" s="167">
        <v>44210</v>
      </c>
      <c r="B180" s="166">
        <v>-38.54</v>
      </c>
      <c r="C180" s="166">
        <v>22.71</v>
      </c>
    </row>
    <row r="181" spans="1:3">
      <c r="A181" s="167">
        <v>44209</v>
      </c>
      <c r="B181" s="166">
        <v>-42.48</v>
      </c>
      <c r="C181" s="166">
        <v>23.17</v>
      </c>
    </row>
    <row r="182" spans="1:3">
      <c r="A182" s="167">
        <v>44208</v>
      </c>
      <c r="B182" s="166">
        <v>-44.7</v>
      </c>
      <c r="C182" s="166">
        <v>22.89</v>
      </c>
    </row>
    <row r="183" spans="1:3">
      <c r="A183" s="167">
        <v>44207</v>
      </c>
      <c r="B183" s="166">
        <v>-46.18</v>
      </c>
      <c r="C183" s="166">
        <v>22.84</v>
      </c>
    </row>
    <row r="184" spans="1:3">
      <c r="A184" s="167">
        <v>44204</v>
      </c>
      <c r="B184" s="166">
        <v>-44.02</v>
      </c>
      <c r="C184" s="166">
        <v>23.65</v>
      </c>
    </row>
    <row r="185" spans="1:3">
      <c r="A185" s="167">
        <v>44203</v>
      </c>
      <c r="B185" s="166">
        <v>-44.9</v>
      </c>
      <c r="C185" s="166">
        <v>22.98</v>
      </c>
    </row>
    <row r="186" spans="1:3">
      <c r="A186" s="167">
        <v>44202</v>
      </c>
      <c r="B186" s="166">
        <v>-44.93</v>
      </c>
      <c r="C186" s="166">
        <v>21.18</v>
      </c>
    </row>
    <row r="187" spans="1:3">
      <c r="A187" s="167">
        <v>44201</v>
      </c>
      <c r="B187" s="166">
        <v>-46.16</v>
      </c>
      <c r="C187" s="166">
        <v>20.49</v>
      </c>
    </row>
    <row r="188" spans="1:3">
      <c r="A188" s="167">
        <v>44200</v>
      </c>
      <c r="B188" s="166">
        <v>-46.4</v>
      </c>
      <c r="C188" s="166">
        <v>19.64</v>
      </c>
    </row>
    <row r="189" spans="1:3">
      <c r="A189" s="167">
        <v>44196</v>
      </c>
      <c r="B189" s="166">
        <v>-44.8</v>
      </c>
      <c r="C189" s="166">
        <v>21.43</v>
      </c>
    </row>
    <row r="190" spans="1:3">
      <c r="A190" s="167">
        <v>44195</v>
      </c>
      <c r="B190" s="166">
        <v>-45.65</v>
      </c>
      <c r="C190" s="166">
        <v>20.66</v>
      </c>
    </row>
    <row r="191" spans="1:3">
      <c r="A191" s="167">
        <v>44194</v>
      </c>
      <c r="B191" s="166">
        <v>-46.09</v>
      </c>
      <c r="C191" s="166">
        <v>20.5</v>
      </c>
    </row>
    <row r="192" spans="1:3">
      <c r="A192" s="167">
        <v>44193</v>
      </c>
      <c r="B192" s="166">
        <v>-44.67</v>
      </c>
      <c r="C192" s="166">
        <v>20.76</v>
      </c>
    </row>
    <row r="193" spans="1:3">
      <c r="A193" s="167">
        <v>44189</v>
      </c>
      <c r="B193" s="166">
        <v>-45.39</v>
      </c>
      <c r="C193" s="166">
        <v>19.72</v>
      </c>
    </row>
    <row r="194" spans="1:3">
      <c r="A194" s="167">
        <v>44188</v>
      </c>
      <c r="B194" s="166">
        <v>-45.85</v>
      </c>
      <c r="C194" s="166">
        <v>19.3</v>
      </c>
    </row>
    <row r="195" spans="1:3">
      <c r="A195" s="167">
        <v>44187</v>
      </c>
      <c r="B195" s="166">
        <v>-45.81</v>
      </c>
      <c r="C195" s="166">
        <v>19.21</v>
      </c>
    </row>
    <row r="196" spans="1:3">
      <c r="A196" s="167">
        <v>44186</v>
      </c>
      <c r="B196" s="166">
        <v>-45.85</v>
      </c>
      <c r="C196" s="166">
        <v>19.46</v>
      </c>
    </row>
    <row r="197" spans="1:3">
      <c r="A197" s="167">
        <v>44183</v>
      </c>
      <c r="B197" s="166">
        <v>-44.7</v>
      </c>
      <c r="C197" s="166">
        <v>19.93</v>
      </c>
    </row>
    <row r="198" spans="1:3">
      <c r="A198" s="167">
        <v>44182</v>
      </c>
      <c r="B198" s="166">
        <v>-42.37</v>
      </c>
      <c r="C198" s="166">
        <v>20.350000000000001</v>
      </c>
    </row>
    <row r="199" spans="1:3">
      <c r="A199" s="167">
        <v>44181</v>
      </c>
      <c r="B199" s="166">
        <v>-42.86</v>
      </c>
      <c r="C199" s="166">
        <v>19.66</v>
      </c>
    </row>
    <row r="200" spans="1:3">
      <c r="A200" s="167">
        <v>44180</v>
      </c>
      <c r="B200" s="166">
        <v>-41.91</v>
      </c>
      <c r="C200" s="166">
        <v>19.45</v>
      </c>
    </row>
    <row r="201" spans="1:3">
      <c r="A201" s="167">
        <v>44179</v>
      </c>
      <c r="B201" s="166">
        <v>-43.48</v>
      </c>
      <c r="C201" s="166">
        <v>17.920000000000002</v>
      </c>
    </row>
    <row r="202" spans="1:3">
      <c r="A202" s="167">
        <v>44176</v>
      </c>
      <c r="B202" s="166">
        <v>-43.1</v>
      </c>
      <c r="C202" s="166">
        <v>18.440000000000001</v>
      </c>
    </row>
    <row r="203" spans="1:3">
      <c r="A203" s="167">
        <v>44175</v>
      </c>
      <c r="B203" s="166">
        <v>-41.46</v>
      </c>
      <c r="C203" s="166">
        <v>18.59</v>
      </c>
    </row>
    <row r="204" spans="1:3">
      <c r="A204" s="167">
        <v>44174</v>
      </c>
      <c r="B204" s="166">
        <v>-41.2</v>
      </c>
      <c r="C204" s="166">
        <v>18.739999999999998</v>
      </c>
    </row>
    <row r="205" spans="1:3">
      <c r="A205" s="167">
        <v>44173</v>
      </c>
      <c r="B205" s="166">
        <v>-41.67</v>
      </c>
      <c r="C205" s="166">
        <v>19.690000000000001</v>
      </c>
    </row>
    <row r="206" spans="1:3">
      <c r="A206" s="167">
        <v>44172</v>
      </c>
      <c r="B206" s="166">
        <v>-42.15</v>
      </c>
      <c r="C206" s="166">
        <v>19.36</v>
      </c>
    </row>
    <row r="207" spans="1:3">
      <c r="A207" s="167">
        <v>44169</v>
      </c>
      <c r="B207" s="166">
        <v>-39.21</v>
      </c>
      <c r="C207" s="166">
        <v>19.59</v>
      </c>
    </row>
    <row r="208" spans="1:3">
      <c r="A208" s="167">
        <v>44168</v>
      </c>
      <c r="B208" s="166">
        <v>-41.98</v>
      </c>
      <c r="C208" s="166">
        <v>18.55</v>
      </c>
    </row>
    <row r="209" spans="1:3">
      <c r="A209" s="167">
        <v>44167</v>
      </c>
      <c r="B209" s="166">
        <v>-43.52</v>
      </c>
      <c r="C209" s="166">
        <v>18.62</v>
      </c>
    </row>
    <row r="210" spans="1:3">
      <c r="A210" s="167">
        <v>44166</v>
      </c>
      <c r="B210" s="166">
        <v>-44.99</v>
      </c>
      <c r="C210" s="166">
        <v>18.41</v>
      </c>
    </row>
    <row r="211" spans="1:3">
      <c r="A211" s="167">
        <v>44165</v>
      </c>
      <c r="B211" s="166">
        <v>-46.55</v>
      </c>
      <c r="C211" s="166">
        <v>17.09</v>
      </c>
    </row>
    <row r="212" spans="1:3">
      <c r="A212" s="167">
        <v>44162</v>
      </c>
      <c r="B212" s="166">
        <v>-44.62</v>
      </c>
      <c r="C212" s="166">
        <v>17.63</v>
      </c>
    </row>
    <row r="213" spans="1:3">
      <c r="A213" s="167">
        <v>44160</v>
      </c>
      <c r="B213" s="166">
        <v>-43.56</v>
      </c>
      <c r="C213" s="166">
        <v>17.350000000000001</v>
      </c>
    </row>
    <row r="214" spans="1:3">
      <c r="A214" s="167">
        <v>44159</v>
      </c>
      <c r="B214" s="166">
        <v>-42.53</v>
      </c>
      <c r="C214" s="166">
        <v>17.53</v>
      </c>
    </row>
    <row r="215" spans="1:3">
      <c r="A215" s="167">
        <v>44158</v>
      </c>
      <c r="B215" s="166">
        <v>-44.71</v>
      </c>
      <c r="C215" s="166">
        <v>15.66</v>
      </c>
    </row>
    <row r="216" spans="1:3">
      <c r="A216" s="167">
        <v>44155</v>
      </c>
      <c r="B216" s="166">
        <v>-47.49</v>
      </c>
      <c r="C216" s="166">
        <v>15.02</v>
      </c>
    </row>
    <row r="217" spans="1:3">
      <c r="A217" s="167">
        <v>44154</v>
      </c>
      <c r="B217" s="166">
        <v>-47.81</v>
      </c>
      <c r="C217" s="166">
        <v>15.8</v>
      </c>
    </row>
    <row r="218" spans="1:3">
      <c r="A218" s="167">
        <v>44153</v>
      </c>
      <c r="B218" s="166">
        <v>-50.41</v>
      </c>
      <c r="C218" s="166">
        <v>15.35</v>
      </c>
    </row>
    <row r="219" spans="1:3">
      <c r="A219" s="167">
        <v>44152</v>
      </c>
      <c r="B219" s="166">
        <v>-48.89</v>
      </c>
      <c r="C219" s="166">
        <v>16.7</v>
      </c>
    </row>
    <row r="220" spans="1:3">
      <c r="A220" s="167">
        <v>44151</v>
      </c>
      <c r="B220" s="166">
        <v>-48.89</v>
      </c>
      <c r="C220" s="166">
        <v>17.260000000000002</v>
      </c>
    </row>
    <row r="221" spans="1:3">
      <c r="A221" s="167">
        <v>44148</v>
      </c>
      <c r="B221" s="166">
        <v>-51.65</v>
      </c>
      <c r="C221" s="166">
        <v>15.91</v>
      </c>
    </row>
    <row r="222" spans="1:3">
      <c r="A222" s="167">
        <v>44147</v>
      </c>
      <c r="B222" s="166">
        <v>-55.25</v>
      </c>
      <c r="C222" s="166">
        <v>14.35</v>
      </c>
    </row>
    <row r="223" spans="1:3">
      <c r="A223" s="167">
        <v>44146</v>
      </c>
      <c r="B223" s="166">
        <v>-52.48</v>
      </c>
      <c r="C223" s="166">
        <v>15.5</v>
      </c>
    </row>
    <row r="224" spans="1:3">
      <c r="A224" s="167">
        <v>44145</v>
      </c>
      <c r="B224" s="166">
        <v>-48.97</v>
      </c>
      <c r="C224" s="166">
        <v>14.63</v>
      </c>
    </row>
    <row r="225" spans="1:3">
      <c r="A225" s="167">
        <v>44144.249988425901</v>
      </c>
      <c r="B225" s="166">
        <v>-48.8</v>
      </c>
      <c r="C225" s="166">
        <v>14.788298563157936</v>
      </c>
    </row>
    <row r="226" spans="1:3">
      <c r="A226" s="167">
        <v>44141.249988425901</v>
      </c>
      <c r="B226" s="166">
        <v>-59.958573370444697</v>
      </c>
      <c r="C226" s="166">
        <v>13.460726312195691</v>
      </c>
    </row>
    <row r="227" spans="1:3">
      <c r="A227" s="167">
        <v>44140.249988425901</v>
      </c>
      <c r="B227" s="166">
        <v>-58.916434720693907</v>
      </c>
      <c r="C227" s="166">
        <v>13.493414395986402</v>
      </c>
    </row>
    <row r="228" spans="1:3">
      <c r="A228" s="167">
        <v>44139.249988425901</v>
      </c>
      <c r="B228" s="166">
        <v>-59.686711113987954</v>
      </c>
      <c r="C228" s="166">
        <v>11.326953244472548</v>
      </c>
    </row>
    <row r="229" spans="1:3">
      <c r="A229" s="167">
        <v>44138.249988425901</v>
      </c>
      <c r="B229" s="166">
        <v>-57.932552268755266</v>
      </c>
      <c r="C229" s="166">
        <v>8.9211703485493672</v>
      </c>
    </row>
    <row r="230" spans="1:3">
      <c r="A230" s="167">
        <v>44137.249988425901</v>
      </c>
      <c r="B230" s="166">
        <v>-58.113793773059754</v>
      </c>
      <c r="C230" s="166">
        <v>7.0207137917862976</v>
      </c>
    </row>
    <row r="231" spans="1:3">
      <c r="A231" s="167">
        <v>44134.291655092602</v>
      </c>
      <c r="B231" s="166">
        <v>-59.343646837983037</v>
      </c>
      <c r="C231" s="166">
        <v>5.7183780569598275</v>
      </c>
    </row>
    <row r="232" spans="1:3">
      <c r="A232" s="167">
        <v>44133.291655092602</v>
      </c>
      <c r="B232" s="166">
        <v>-58.955272185902011</v>
      </c>
      <c r="C232" s="166">
        <v>7.0165550603617923</v>
      </c>
    </row>
    <row r="233" spans="1:3">
      <c r="A233" s="167">
        <v>44132.291655092602</v>
      </c>
      <c r="B233" s="166">
        <v>-60.670593565926609</v>
      </c>
      <c r="C233" s="166">
        <v>5.7529163693511158</v>
      </c>
    </row>
    <row r="234" spans="1:3">
      <c r="A234" s="167">
        <v>44131.291655092602</v>
      </c>
      <c r="B234" s="166">
        <v>-59.880898440028488</v>
      </c>
      <c r="C234" s="166">
        <v>9.6214505449852332</v>
      </c>
    </row>
    <row r="235" spans="1:3">
      <c r="A235" s="167">
        <v>44130.291655092602</v>
      </c>
      <c r="B235" s="166">
        <v>-58.133212505663792</v>
      </c>
      <c r="C235" s="166">
        <v>9.9539267145948092</v>
      </c>
    </row>
    <row r="236" spans="1:3">
      <c r="A236" s="167">
        <v>44127.291655092602</v>
      </c>
      <c r="B236" s="166">
        <v>-56.709172114699989</v>
      </c>
      <c r="C236" s="166">
        <v>12.03660540223111</v>
      </c>
    </row>
    <row r="237" spans="1:3">
      <c r="A237" s="167">
        <v>44126.291655092602</v>
      </c>
      <c r="B237" s="166">
        <v>-57.052236390704905</v>
      </c>
      <c r="C237" s="166">
        <v>11.651972072395399</v>
      </c>
    </row>
    <row r="238" spans="1:3">
      <c r="A238" s="167">
        <v>44125.291655092602</v>
      </c>
      <c r="B238" s="166">
        <v>-58.437439316460619</v>
      </c>
      <c r="C238" s="166">
        <v>11.072139307081835</v>
      </c>
    </row>
    <row r="239" spans="1:3">
      <c r="A239" s="167">
        <v>44124.291655092602</v>
      </c>
      <c r="B239" s="166">
        <v>-58.27561654476019</v>
      </c>
      <c r="C239" s="166">
        <v>11.316597481985488</v>
      </c>
    </row>
    <row r="240" spans="1:3">
      <c r="A240" s="167">
        <v>44123.291655092602</v>
      </c>
      <c r="B240" s="166">
        <v>-58.631626642501139</v>
      </c>
      <c r="C240" s="166">
        <v>10.793085297340761</v>
      </c>
    </row>
    <row r="241" spans="1:3">
      <c r="A241" s="167">
        <v>44120.291655092602</v>
      </c>
      <c r="B241" s="166">
        <v>-58.042591753511566</v>
      </c>
      <c r="C241" s="166">
        <v>12.632147653890694</v>
      </c>
    </row>
    <row r="242" spans="1:3">
      <c r="A242" s="167">
        <v>44119.291655092602</v>
      </c>
      <c r="B242" s="166">
        <v>-57.848404427471031</v>
      </c>
      <c r="C242" s="166">
        <v>12.617066776362959</v>
      </c>
    </row>
    <row r="243" spans="1:3">
      <c r="A243" s="167">
        <v>44118.291655092602</v>
      </c>
      <c r="B243" s="166">
        <v>-57.460029775389998</v>
      </c>
      <c r="C243" s="166">
        <v>12.789214237740827</v>
      </c>
    </row>
    <row r="244" spans="1:3">
      <c r="A244" s="167">
        <v>44117.291655092602</v>
      </c>
      <c r="B244" s="166">
        <v>-57.395300666709829</v>
      </c>
      <c r="C244" s="166">
        <v>13.541339590518543</v>
      </c>
    </row>
    <row r="245" spans="1:3">
      <c r="A245" s="167">
        <v>44116.291655092602</v>
      </c>
      <c r="B245" s="166">
        <v>-55.971260275746012</v>
      </c>
      <c r="C245" s="166">
        <v>14.261851421579784</v>
      </c>
    </row>
    <row r="246" spans="1:3">
      <c r="A246" s="167">
        <v>44113.291655092602</v>
      </c>
      <c r="B246" s="166">
        <v>-56.165447601786532</v>
      </c>
      <c r="C246" s="166">
        <v>12.416389631168196</v>
      </c>
    </row>
    <row r="247" spans="1:3">
      <c r="A247" s="167">
        <v>44112.291655092602</v>
      </c>
      <c r="B247" s="166">
        <v>-54.644313547802454</v>
      </c>
      <c r="C247" s="166">
        <v>11.436594454786853</v>
      </c>
    </row>
    <row r="248" spans="1:3">
      <c r="A248" s="167">
        <v>44111.291655092602</v>
      </c>
      <c r="B248" s="166">
        <v>-54.022914104472775</v>
      </c>
      <c r="C248" s="166">
        <v>10.55142426564438</v>
      </c>
    </row>
    <row r="249" spans="1:3">
      <c r="A249" s="167">
        <v>44110.291655092602</v>
      </c>
      <c r="B249" s="166">
        <v>-54.702569745614596</v>
      </c>
      <c r="C249" s="166">
        <v>8.660197604416302</v>
      </c>
    </row>
    <row r="250" spans="1:3">
      <c r="A250" s="167">
        <v>44109.291655092602</v>
      </c>
      <c r="B250" s="166">
        <v>-55.492264871512717</v>
      </c>
      <c r="C250" s="166">
        <v>10.201531503357129</v>
      </c>
    </row>
    <row r="251" spans="1:3">
      <c r="A251" s="167">
        <v>44106.291655092602</v>
      </c>
      <c r="B251" s="166">
        <v>-55.854747880121685</v>
      </c>
      <c r="C251" s="166">
        <v>8.2558016301088362</v>
      </c>
    </row>
    <row r="252" spans="1:3">
      <c r="A252" s="167">
        <v>44105.291655092602</v>
      </c>
      <c r="B252" s="166">
        <v>-56.935723995080586</v>
      </c>
      <c r="C252" s="166">
        <v>9.3018387123647184</v>
      </c>
    </row>
    <row r="253" spans="1:3">
      <c r="A253" s="167">
        <v>44104.291655092602</v>
      </c>
      <c r="B253" s="166">
        <v>-58.133212505663792</v>
      </c>
      <c r="C253" s="166">
        <v>8.7263751739681528</v>
      </c>
    </row>
    <row r="254" spans="1:3">
      <c r="A254" s="167">
        <v>44103.291655092602</v>
      </c>
      <c r="B254" s="166">
        <v>-58.579843355556989</v>
      </c>
      <c r="C254" s="166">
        <v>7.8365175874392019</v>
      </c>
    </row>
    <row r="255" spans="1:3">
      <c r="A255" s="167">
        <v>44102.291655092602</v>
      </c>
      <c r="B255" s="166">
        <v>-57.414719399313867</v>
      </c>
      <c r="C255" s="166">
        <v>8.3578296756259256</v>
      </c>
    </row>
    <row r="256" spans="1:3">
      <c r="A256" s="167">
        <v>44099.291655092602</v>
      </c>
      <c r="B256" s="166">
        <v>-58.845232701145711</v>
      </c>
      <c r="C256" s="166">
        <v>6.6397163203360874</v>
      </c>
    </row>
    <row r="257" spans="1:3">
      <c r="A257" s="167">
        <v>44098.291655092602</v>
      </c>
      <c r="B257" s="166">
        <v>-59.330701016247012</v>
      </c>
      <c r="C257" s="166">
        <v>4.9627742398653076</v>
      </c>
    </row>
    <row r="258" spans="1:3">
      <c r="A258" s="167">
        <v>44097.291655092602</v>
      </c>
      <c r="B258" s="166">
        <v>-59.291863551038901</v>
      </c>
      <c r="C258" s="166">
        <v>4.6502324967392452</v>
      </c>
    </row>
    <row r="259" spans="1:3">
      <c r="A259" s="167">
        <v>44096.291655092602</v>
      </c>
      <c r="B259" s="166">
        <v>-57.854877338339058</v>
      </c>
      <c r="C259" s="166">
        <v>7.1928690614683477</v>
      </c>
    </row>
    <row r="260" spans="1:3">
      <c r="A260" s="167">
        <v>44095.291655092602</v>
      </c>
      <c r="B260" s="166">
        <v>-58.010227199171467</v>
      </c>
      <c r="C260" s="166">
        <v>6.077241009788799</v>
      </c>
    </row>
    <row r="261" spans="1:3">
      <c r="A261" s="167">
        <v>44092.291655092602</v>
      </c>
      <c r="B261" s="166">
        <v>-54.799663408634871</v>
      </c>
      <c r="C261" s="166">
        <v>7.3189403451635275</v>
      </c>
    </row>
    <row r="262" spans="1:3">
      <c r="A262" s="167">
        <v>44091.291655092602</v>
      </c>
      <c r="B262" s="166">
        <v>-53.472716680691313</v>
      </c>
      <c r="C262" s="166">
        <v>8.5327491209969111</v>
      </c>
    </row>
    <row r="263" spans="1:3">
      <c r="A263" s="167">
        <v>44090.291655092602</v>
      </c>
      <c r="B263" s="166">
        <v>-52.022784646255417</v>
      </c>
      <c r="C263" s="166">
        <v>9.4535459377040549</v>
      </c>
    </row>
    <row r="264" spans="1:3">
      <c r="A264" s="167">
        <v>44089.291655092602</v>
      </c>
      <c r="B264" s="166">
        <v>-53.997022461000718</v>
      </c>
      <c r="C264" s="166">
        <v>9.9614521746563689</v>
      </c>
    </row>
    <row r="265" spans="1:3">
      <c r="A265" s="167">
        <v>44088.291655092602</v>
      </c>
      <c r="B265" s="166">
        <v>-56.113664314842396</v>
      </c>
      <c r="C265" s="166">
        <v>9.3905229627219047</v>
      </c>
    </row>
    <row r="266" spans="1:3">
      <c r="A266" s="167">
        <v>44085.291655092602</v>
      </c>
      <c r="B266" s="166">
        <v>-58.476276781668716</v>
      </c>
      <c r="C266" s="166">
        <v>8.0140502842139281</v>
      </c>
    </row>
    <row r="267" spans="1:3">
      <c r="A267" s="167">
        <v>44084.291655092602</v>
      </c>
      <c r="B267" s="166">
        <v>-57.155802964593185</v>
      </c>
      <c r="C267" s="166">
        <v>7.9564667066386114</v>
      </c>
    </row>
    <row r="268" spans="1:3">
      <c r="A268" s="167">
        <v>44083.291655092602</v>
      </c>
      <c r="B268" s="166">
        <v>-55.427535762832555</v>
      </c>
      <c r="C268" s="166">
        <v>9.8889799536247303</v>
      </c>
    </row>
    <row r="269" spans="1:3">
      <c r="A269" s="167">
        <v>44082.291655092602</v>
      </c>
      <c r="B269" s="166">
        <v>-54.657259369538487</v>
      </c>
      <c r="C269" s="166">
        <v>7.719090987046517</v>
      </c>
    </row>
    <row r="270" spans="1:3">
      <c r="A270" s="167">
        <v>44078.291655092602</v>
      </c>
      <c r="B270" s="166">
        <v>-54.534274063046162</v>
      </c>
      <c r="C270" s="166">
        <v>10.794372794784669</v>
      </c>
    </row>
    <row r="271" spans="1:3">
      <c r="A271" s="167">
        <v>44077.291655092602</v>
      </c>
      <c r="B271" s="166">
        <v>-55.984206097482037</v>
      </c>
      <c r="C271" s="166">
        <v>11.702883264555945</v>
      </c>
    </row>
    <row r="272" spans="1:3">
      <c r="A272" s="167">
        <v>44076.291655092602</v>
      </c>
      <c r="B272" s="166">
        <v>-56.08777267137031</v>
      </c>
      <c r="C272" s="166">
        <v>15.769355235149391</v>
      </c>
    </row>
    <row r="273" spans="1:3">
      <c r="A273" s="167">
        <v>44075.291655092602</v>
      </c>
      <c r="B273" s="166">
        <v>-56.502038966923422</v>
      </c>
      <c r="C273" s="166">
        <v>14.017284593632864</v>
      </c>
    </row>
    <row r="274" spans="1:3">
      <c r="A274" s="167">
        <v>44074.291655092602</v>
      </c>
      <c r="B274" s="166">
        <v>-56.081299760502304</v>
      </c>
      <c r="C274" s="166">
        <v>13.165617592817636</v>
      </c>
    </row>
    <row r="275" spans="1:3">
      <c r="A275" s="167">
        <v>44071.291655092602</v>
      </c>
      <c r="B275" s="166">
        <v>-54.793190497766844</v>
      </c>
      <c r="C275" s="166">
        <v>13.414761388055949</v>
      </c>
    </row>
    <row r="276" spans="1:3">
      <c r="A276" s="167">
        <v>44070.291655092602</v>
      </c>
      <c r="B276" s="166">
        <v>-56.262541264806792</v>
      </c>
      <c r="C276" s="166">
        <v>12.656151133621211</v>
      </c>
    </row>
    <row r="277" spans="1:3">
      <c r="A277" s="167">
        <v>44069.291655092602</v>
      </c>
      <c r="B277" s="166">
        <v>-57.078128034176963</v>
      </c>
      <c r="C277" s="166">
        <v>12.468055848835164</v>
      </c>
    </row>
    <row r="278" spans="1:3">
      <c r="A278" s="167">
        <v>44068.291655092602</v>
      </c>
      <c r="B278" s="166">
        <v>-55.563466891060905</v>
      </c>
      <c r="C278" s="166">
        <v>11.332935605580293</v>
      </c>
    </row>
    <row r="279" spans="1:3">
      <c r="A279" s="167">
        <v>44067.291655092602</v>
      </c>
      <c r="B279" s="166">
        <v>-55.660560554081165</v>
      </c>
      <c r="C279" s="166">
        <v>10.933980459938505</v>
      </c>
    </row>
    <row r="280" spans="1:3">
      <c r="A280" s="167">
        <v>44064.291655092602</v>
      </c>
      <c r="B280" s="166">
        <v>-58.236779079552086</v>
      </c>
      <c r="C280" s="166">
        <v>9.8307336066685611</v>
      </c>
    </row>
    <row r="281" spans="1:3">
      <c r="A281" s="167">
        <v>44063.291655092602</v>
      </c>
      <c r="B281" s="166">
        <v>-58.010227199171467</v>
      </c>
      <c r="C281" s="166">
        <v>9.4542741529048282</v>
      </c>
    </row>
    <row r="282" spans="1:3">
      <c r="A282" s="167">
        <v>44062.291655092602</v>
      </c>
      <c r="B282" s="166">
        <v>-58.651045375105191</v>
      </c>
      <c r="C282" s="166">
        <v>9.1095291860841563</v>
      </c>
    </row>
    <row r="283" spans="1:3">
      <c r="A283" s="167">
        <v>44061.291655092602</v>
      </c>
      <c r="B283" s="166">
        <v>-57.841931516603026</v>
      </c>
      <c r="C283" s="166">
        <v>9.5920491756034618</v>
      </c>
    </row>
    <row r="284" spans="1:3">
      <c r="A284" s="167">
        <v>44060.291655092602</v>
      </c>
      <c r="B284" s="166">
        <v>-55.867693701857725</v>
      </c>
      <c r="C284" s="166">
        <v>9.3405188772501457</v>
      </c>
    </row>
    <row r="285" spans="1:3">
      <c r="A285" s="167">
        <v>44057.291655092602</v>
      </c>
      <c r="B285" s="166">
        <v>-55.867693701857725</v>
      </c>
      <c r="C285" s="166">
        <v>9.0447576578394813</v>
      </c>
    </row>
    <row r="286" spans="1:3">
      <c r="A286" s="167">
        <v>44056.291655092602</v>
      </c>
      <c r="B286" s="166">
        <v>-57.265842449349478</v>
      </c>
      <c r="C286" s="166">
        <v>9.0634735738725141</v>
      </c>
    </row>
    <row r="287" spans="1:3">
      <c r="A287" s="167">
        <v>44055.291655092602</v>
      </c>
      <c r="B287" s="166">
        <v>-56.094245582238344</v>
      </c>
      <c r="C287" s="166">
        <v>9.2873289822219895</v>
      </c>
    </row>
    <row r="288" spans="1:3">
      <c r="A288" s="167">
        <v>44054.291655092602</v>
      </c>
      <c r="B288" s="166">
        <v>-56.534403521263506</v>
      </c>
      <c r="C288" s="166">
        <v>7.7787824673728698</v>
      </c>
    </row>
    <row r="289" spans="1:3">
      <c r="A289" s="167">
        <v>44053.291655092602</v>
      </c>
      <c r="B289" s="166">
        <v>-57.621852547090434</v>
      </c>
      <c r="C289" s="166">
        <v>8.6447012374025753</v>
      </c>
    </row>
    <row r="290" spans="1:3">
      <c r="A290" s="167">
        <v>44050.291655092602</v>
      </c>
      <c r="B290" s="166">
        <v>-59.744967311800124</v>
      </c>
      <c r="C290" s="166">
        <v>8.3476026895395385</v>
      </c>
    </row>
    <row r="291" spans="1:3">
      <c r="A291" s="167">
        <v>44049.291655092602</v>
      </c>
      <c r="B291" s="166">
        <v>-60.385785487733827</v>
      </c>
      <c r="C291" s="166">
        <v>8.2788290629470058</v>
      </c>
    </row>
    <row r="292" spans="1:3">
      <c r="A292" s="167">
        <v>44048.291655092602</v>
      </c>
      <c r="B292" s="166">
        <v>-59.544307074891577</v>
      </c>
      <c r="C292" s="166">
        <v>7.5874501755618518</v>
      </c>
    </row>
    <row r="293" spans="1:3">
      <c r="A293" s="167">
        <v>44047.291655092602</v>
      </c>
      <c r="B293" s="166">
        <v>-59.227134442358725</v>
      </c>
      <c r="C293" s="166">
        <v>6.8999966836625397</v>
      </c>
    </row>
    <row r="294" spans="1:3">
      <c r="A294" s="167">
        <v>44046.291655092602</v>
      </c>
      <c r="B294" s="166">
        <v>-60.495824972490126</v>
      </c>
      <c r="C294" s="166">
        <v>6.5154554660985964</v>
      </c>
    </row>
    <row r="295" spans="1:3">
      <c r="A295" s="167">
        <v>44043.291655092602</v>
      </c>
      <c r="B295" s="166">
        <v>-59.641400737911844</v>
      </c>
      <c r="C295" s="166">
        <v>5.7560684016047077</v>
      </c>
    </row>
    <row r="296" spans="1:3">
      <c r="A296" s="167">
        <v>44042.291655092602</v>
      </c>
      <c r="B296" s="166">
        <v>-58.819341057673633</v>
      </c>
      <c r="C296" s="166">
        <v>4.9510367795982475</v>
      </c>
    </row>
    <row r="297" spans="1:3">
      <c r="A297" s="167">
        <v>44041.291655092602</v>
      </c>
      <c r="B297" s="166">
        <v>-57.544177616674212</v>
      </c>
      <c r="C297" s="166">
        <v>5.3459310785161636</v>
      </c>
    </row>
    <row r="298" spans="1:3">
      <c r="A298" s="167">
        <v>44040.291655092602</v>
      </c>
      <c r="B298" s="166">
        <v>-58.482749692536729</v>
      </c>
      <c r="C298" s="166">
        <v>4.0526024753886452</v>
      </c>
    </row>
    <row r="299" spans="1:3">
      <c r="A299" s="167">
        <v>44039.291655092602</v>
      </c>
      <c r="B299" s="166">
        <v>-59.893844261764514</v>
      </c>
      <c r="C299" s="166">
        <v>4.7306009532637443</v>
      </c>
    </row>
    <row r="300" spans="1:3">
      <c r="A300" s="167">
        <v>44036.291655092602</v>
      </c>
      <c r="B300" s="166">
        <v>-60.793578872418934</v>
      </c>
      <c r="C300" s="166">
        <v>3.9619022830028316</v>
      </c>
    </row>
    <row r="301" spans="1:3">
      <c r="A301" s="167">
        <v>44035.291655092602</v>
      </c>
      <c r="B301" s="166">
        <v>-59.997410835652801</v>
      </c>
      <c r="C301" s="166">
        <v>4.6095873234267675</v>
      </c>
    </row>
    <row r="302" spans="1:3">
      <c r="A302" s="167">
        <v>44034.291655092602</v>
      </c>
      <c r="B302" s="166">
        <v>-59.84853388568839</v>
      </c>
      <c r="C302" s="166">
        <v>5.9141999678874386</v>
      </c>
    </row>
    <row r="303" spans="1:3">
      <c r="A303" s="167">
        <v>44033.291655092602</v>
      </c>
      <c r="B303" s="166">
        <v>-60.547608259434263</v>
      </c>
      <c r="C303" s="166">
        <v>5.3090431679921988</v>
      </c>
    </row>
    <row r="304" spans="1:3">
      <c r="A304" s="167">
        <v>44032.291655092602</v>
      </c>
      <c r="B304" s="166">
        <v>-60.890672535439187</v>
      </c>
      <c r="C304" s="166">
        <v>5.132653217758488</v>
      </c>
    </row>
    <row r="305" spans="1:3">
      <c r="A305" s="167">
        <v>44029.291655092602</v>
      </c>
      <c r="B305" s="166">
        <v>-59.609036183571746</v>
      </c>
      <c r="C305" s="166">
        <v>4.2561360981046894</v>
      </c>
    </row>
    <row r="306" spans="1:3">
      <c r="A306" s="167">
        <v>44028.291655092602</v>
      </c>
      <c r="B306" s="166">
        <v>-59.285390640170881</v>
      </c>
      <c r="C306" s="166">
        <v>3.9600991379247827</v>
      </c>
    </row>
    <row r="307" spans="1:3">
      <c r="A307" s="167">
        <v>44027.291655092602</v>
      </c>
      <c r="B307" s="166">
        <v>-56.896886529872482</v>
      </c>
      <c r="C307" s="166">
        <v>4.3152557370165727</v>
      </c>
    </row>
    <row r="308" spans="1:3">
      <c r="A308" s="167">
        <v>44026.291655092602</v>
      </c>
      <c r="B308" s="166">
        <v>-59.913262994368566</v>
      </c>
      <c r="C308" s="166">
        <v>3.3764856262961809</v>
      </c>
    </row>
    <row r="309" spans="1:3">
      <c r="A309" s="167">
        <v>44025.291655092602</v>
      </c>
      <c r="B309" s="166">
        <v>-58.774030681597523</v>
      </c>
      <c r="C309" s="166">
        <v>2.0089589487655428</v>
      </c>
    </row>
    <row r="310" spans="1:3">
      <c r="A310" s="167">
        <v>44022.291655092602</v>
      </c>
      <c r="B310" s="166">
        <v>-58.586316266425023</v>
      </c>
      <c r="C310" s="166">
        <v>2.9730032486689706</v>
      </c>
    </row>
    <row r="311" spans="1:3">
      <c r="A311" s="167">
        <v>44021.291655092602</v>
      </c>
      <c r="B311" s="166">
        <v>-60.502297883358139</v>
      </c>
      <c r="C311" s="166">
        <v>1.9063114412307876</v>
      </c>
    </row>
    <row r="312" spans="1:3">
      <c r="A312" s="167">
        <v>44020.291655092602</v>
      </c>
      <c r="B312" s="166">
        <v>-57.466502686258018</v>
      </c>
      <c r="C312" s="166">
        <v>2.4848446685278986</v>
      </c>
    </row>
    <row r="313" spans="1:3">
      <c r="A313" s="167">
        <v>44019.291655092602</v>
      </c>
      <c r="B313" s="166">
        <v>-57.324098647161627</v>
      </c>
      <c r="C313" s="166">
        <v>1.6887088517874087</v>
      </c>
    </row>
    <row r="314" spans="1:3">
      <c r="A314" s="167">
        <v>44018.291655092602</v>
      </c>
      <c r="B314" s="166">
        <v>-55.382225386756424</v>
      </c>
      <c r="C314" s="166">
        <v>2.8008915300734669</v>
      </c>
    </row>
    <row r="315" spans="1:3">
      <c r="A315" s="167">
        <v>44014.291655092602</v>
      </c>
      <c r="B315" s="166">
        <v>-55.459900317172632</v>
      </c>
      <c r="C315" s="166">
        <v>1.1938852204375201</v>
      </c>
    </row>
    <row r="316" spans="1:3">
      <c r="A316" s="167">
        <v>44013.291655092602</v>
      </c>
      <c r="B316" s="166">
        <v>-54.812609230370896</v>
      </c>
      <c r="C316" s="166">
        <v>0.73627524471627204</v>
      </c>
    </row>
    <row r="317" spans="1:3">
      <c r="A317" s="167">
        <v>44012.291655092602</v>
      </c>
      <c r="B317" s="166">
        <v>-55.738235484497388</v>
      </c>
      <c r="C317" s="166">
        <v>0.23278784288079524</v>
      </c>
    </row>
    <row r="318" spans="1:3">
      <c r="A318" s="167">
        <v>44011.291655092602</v>
      </c>
      <c r="B318" s="166">
        <v>-55.900058256197823</v>
      </c>
      <c r="C318" s="166">
        <v>-1.2882256174048881</v>
      </c>
    </row>
    <row r="319" spans="1:3">
      <c r="A319" s="167">
        <v>44008.291655092602</v>
      </c>
      <c r="B319" s="166">
        <v>-59.932681726972618</v>
      </c>
      <c r="C319" s="166">
        <v>-2.7167830969234346</v>
      </c>
    </row>
    <row r="320" spans="1:3">
      <c r="A320" s="167">
        <v>44007.291655092602</v>
      </c>
      <c r="B320" s="166">
        <v>-57.964916823095358</v>
      </c>
      <c r="C320" s="166">
        <v>-0.30154747650263491</v>
      </c>
    </row>
    <row r="321" spans="1:3">
      <c r="A321" s="167">
        <v>44006.291655092602</v>
      </c>
      <c r="B321" s="166">
        <v>-57.854877338339058</v>
      </c>
      <c r="C321" s="166">
        <v>-1.3821171623596864</v>
      </c>
    </row>
    <row r="322" spans="1:3">
      <c r="A322" s="167">
        <v>44005.291655092602</v>
      </c>
      <c r="B322" s="166">
        <v>-54.60547608259435</v>
      </c>
      <c r="C322" s="166">
        <v>1.2350396994244901</v>
      </c>
    </row>
    <row r="323" spans="1:3">
      <c r="A323" s="167">
        <v>44004.291655092602</v>
      </c>
      <c r="B323" s="166">
        <v>-55.628195999741095</v>
      </c>
      <c r="C323" s="166">
        <v>0.80101357772398185</v>
      </c>
    </row>
    <row r="324" spans="1:3">
      <c r="A324" s="167">
        <v>44001.291655092602</v>
      </c>
      <c r="B324" s="166">
        <v>-56.553822253867558</v>
      </c>
      <c r="C324" s="166">
        <v>0.15058388216578064</v>
      </c>
    </row>
    <row r="325" spans="1:3">
      <c r="A325" s="167">
        <v>44000.291655092602</v>
      </c>
      <c r="B325" s="166">
        <v>-54.068224480548913</v>
      </c>
      <c r="C325" s="166">
        <v>0.71966875512545703</v>
      </c>
    </row>
    <row r="326" spans="1:3">
      <c r="A326" s="167">
        <v>43999.291655092602</v>
      </c>
      <c r="B326" s="166">
        <v>-53.60864780891967</v>
      </c>
      <c r="C326" s="166">
        <v>0.65967342133895568</v>
      </c>
    </row>
    <row r="327" spans="1:3">
      <c r="A327" s="167">
        <v>43998.291655092602</v>
      </c>
      <c r="B327" s="166">
        <v>-51.116577124732999</v>
      </c>
      <c r="C327" s="166">
        <v>1.023415950370639</v>
      </c>
    </row>
    <row r="328" spans="1:3">
      <c r="A328" s="167">
        <v>43997.291655092602</v>
      </c>
      <c r="B328" s="166">
        <v>-51.848016052818956</v>
      </c>
      <c r="C328" s="166">
        <v>-0.8566192888594415</v>
      </c>
    </row>
    <row r="329" spans="1:3">
      <c r="A329" s="167">
        <v>43994.291655092602</v>
      </c>
      <c r="B329" s="166">
        <v>-50.818823224804198</v>
      </c>
      <c r="C329" s="166">
        <v>-1.6738137725534574</v>
      </c>
    </row>
    <row r="330" spans="1:3">
      <c r="A330" s="167">
        <v>43993.291655092602</v>
      </c>
      <c r="B330" s="166">
        <v>-53.446825037219234</v>
      </c>
      <c r="C330" s="166">
        <v>-2.9417056715722327</v>
      </c>
    </row>
    <row r="331" spans="1:3">
      <c r="A331" s="167">
        <v>43992.291655092602</v>
      </c>
      <c r="B331" s="166">
        <v>-46.268366884587998</v>
      </c>
      <c r="C331" s="166">
        <v>3.1376841113730607</v>
      </c>
    </row>
    <row r="332" spans="1:3">
      <c r="A332" s="167">
        <v>43991.291655092602</v>
      </c>
      <c r="B332" s="166">
        <v>-44.028739724254002</v>
      </c>
      <c r="C332" s="166">
        <v>3.6886558376285588</v>
      </c>
    </row>
    <row r="333" spans="1:3">
      <c r="A333" s="167">
        <v>43990.291655092602</v>
      </c>
      <c r="B333" s="166">
        <v>-38.183701210434336</v>
      </c>
      <c r="C333" s="166">
        <v>4.5036250825193171</v>
      </c>
    </row>
    <row r="334" spans="1:3">
      <c r="A334" s="167">
        <v>43987.291655092602</v>
      </c>
      <c r="B334" s="166">
        <v>-42.650009709366309</v>
      </c>
      <c r="C334" s="166">
        <v>3.2602713820981979</v>
      </c>
    </row>
    <row r="335" spans="1:3">
      <c r="A335" s="167">
        <v>43986.291655092602</v>
      </c>
      <c r="B335" s="166">
        <v>-50.333354909702898</v>
      </c>
      <c r="C335" s="166">
        <v>0.62273211446908683</v>
      </c>
    </row>
    <row r="336" spans="1:3">
      <c r="A336" s="167">
        <v>43985.291655092602</v>
      </c>
      <c r="B336" s="166">
        <v>-52.825425593889584</v>
      </c>
      <c r="C336" s="166">
        <v>0.96296731958220727</v>
      </c>
    </row>
    <row r="337" spans="1:3">
      <c r="A337" s="167">
        <v>43984.291655092602</v>
      </c>
      <c r="B337" s="166">
        <v>-58.929380542429925</v>
      </c>
      <c r="C337" s="166">
        <v>-0.39645325962241396</v>
      </c>
    </row>
    <row r="338" spans="1:3">
      <c r="A338" s="167">
        <v>43983.291655092602</v>
      </c>
      <c r="B338" s="166">
        <v>-60.126869053013145</v>
      </c>
      <c r="C338" s="166">
        <v>-1.2075948346489254</v>
      </c>
    </row>
    <row r="339" spans="1:3">
      <c r="A339" s="167">
        <v>43980.291655092602</v>
      </c>
      <c r="B339" s="166">
        <v>-62.651304291539901</v>
      </c>
      <c r="C339" s="166">
        <v>-1.5770549952671542</v>
      </c>
    </row>
    <row r="340" spans="1:3">
      <c r="A340" s="167">
        <v>43979.291655092602</v>
      </c>
      <c r="B340" s="166">
        <v>-61.324357563596344</v>
      </c>
      <c r="C340" s="166">
        <v>-2.0481724581759004</v>
      </c>
    </row>
    <row r="341" spans="1:3">
      <c r="A341" s="167">
        <v>43978.291655092602</v>
      </c>
      <c r="B341" s="166">
        <v>-59.097676224998388</v>
      </c>
      <c r="C341" s="166">
        <v>-1.8412565708979682</v>
      </c>
    </row>
    <row r="342" spans="1:3">
      <c r="A342" s="167">
        <v>43977.291655092602</v>
      </c>
      <c r="B342" s="166">
        <v>-61.648003106997216</v>
      </c>
      <c r="C342" s="166">
        <v>-3.2756860954392653</v>
      </c>
    </row>
    <row r="343" spans="1:3">
      <c r="A343" s="167">
        <v>43973.291655092602</v>
      </c>
      <c r="B343" s="166">
        <v>-64.664379571493299</v>
      </c>
      <c r="C343" s="166">
        <v>-4.4496715577912758</v>
      </c>
    </row>
    <row r="344" spans="1:3">
      <c r="A344" s="167">
        <v>43972.291655092602</v>
      </c>
      <c r="B344" s="166">
        <v>-63.751699139102854</v>
      </c>
      <c r="C344" s="166">
        <v>-4.6742732528279252</v>
      </c>
    </row>
    <row r="345" spans="1:3">
      <c r="A345" s="167">
        <v>43971.291655092602</v>
      </c>
      <c r="B345" s="166">
        <v>-63.965305197747426</v>
      </c>
      <c r="C345" s="166">
        <v>-3.927232299125329</v>
      </c>
    </row>
    <row r="346" spans="1:3">
      <c r="A346" s="167">
        <v>43970.291655092602</v>
      </c>
      <c r="B346" s="166">
        <v>-63.188555893585338</v>
      </c>
      <c r="C346" s="166">
        <v>-5.5008229277415301</v>
      </c>
    </row>
    <row r="347" spans="1:3">
      <c r="A347" s="167">
        <v>43969.291655092602</v>
      </c>
      <c r="B347" s="166">
        <v>-63.162664250113281</v>
      </c>
      <c r="C347" s="166">
        <v>-4.4996004388720161</v>
      </c>
    </row>
    <row r="348" spans="1:3">
      <c r="A348" s="167">
        <v>43966.291655092602</v>
      </c>
      <c r="B348" s="166">
        <v>-66.781021425334984</v>
      </c>
      <c r="C348" s="166">
        <v>-7.4161336843074794</v>
      </c>
    </row>
    <row r="349" spans="1:3">
      <c r="A349" s="167">
        <v>43965.291655092602</v>
      </c>
      <c r="B349" s="166">
        <v>-66.63214447537058</v>
      </c>
      <c r="C349" s="166">
        <v>-7.7780155728142395</v>
      </c>
    </row>
    <row r="350" spans="1:3">
      <c r="A350" s="167">
        <v>43964.291655092602</v>
      </c>
      <c r="B350" s="166">
        <v>-66.87811508835523</v>
      </c>
      <c r="C350" s="166">
        <v>-8.8290161395671483</v>
      </c>
    </row>
    <row r="351" spans="1:3">
      <c r="A351" s="167">
        <v>43963.291655092602</v>
      </c>
      <c r="B351" s="166">
        <v>-64.696744125833391</v>
      </c>
      <c r="C351" s="166">
        <v>-7.2085765074548496</v>
      </c>
    </row>
    <row r="352" spans="1:3">
      <c r="A352" s="167">
        <v>43962.291655092602</v>
      </c>
      <c r="B352" s="166">
        <v>-64.347206938960454</v>
      </c>
      <c r="C352" s="166">
        <v>-5.2621243885504878</v>
      </c>
    </row>
    <row r="353" spans="1:3">
      <c r="A353" s="167">
        <v>43959.291655092602</v>
      </c>
      <c r="B353" s="166">
        <v>-62.444171143763349</v>
      </c>
      <c r="C353" s="166">
        <v>-5.2788769276021954</v>
      </c>
    </row>
    <row r="354" spans="1:3">
      <c r="A354" s="167">
        <v>43958.291655092602</v>
      </c>
      <c r="B354" s="166">
        <v>-63.104408052301117</v>
      </c>
      <c r="C354" s="166">
        <v>-6.8505510901380777</v>
      </c>
    </row>
    <row r="355" spans="1:3">
      <c r="A355" s="167">
        <v>43957.291655092602</v>
      </c>
      <c r="B355" s="166">
        <v>-63.919994821671303</v>
      </c>
      <c r="C355" s="166">
        <v>-7.9100365584476133</v>
      </c>
    </row>
    <row r="356" spans="1:3">
      <c r="A356" s="167">
        <v>43956.291655092602</v>
      </c>
      <c r="B356" s="166">
        <v>-60.806524694154973</v>
      </c>
      <c r="C356" s="166">
        <v>-7.2629568032554443</v>
      </c>
    </row>
    <row r="357" spans="1:3">
      <c r="A357" s="167">
        <v>43955.291655092602</v>
      </c>
      <c r="B357" s="166">
        <v>-59.2141886206227</v>
      </c>
      <c r="C357" s="166">
        <v>-8.0937237317688258</v>
      </c>
    </row>
    <row r="358" spans="1:3">
      <c r="A358" s="167">
        <v>43952.291655092602</v>
      </c>
      <c r="B358" s="166">
        <v>-59.091203314130361</v>
      </c>
      <c r="C358" s="166">
        <v>-8.482785650139034</v>
      </c>
    </row>
    <row r="359" spans="1:3">
      <c r="A359" s="167">
        <v>43951.291655092602</v>
      </c>
      <c r="B359" s="166">
        <v>-56.780374134248177</v>
      </c>
      <c r="C359" s="166">
        <v>-5.8405860200145945</v>
      </c>
    </row>
    <row r="360" spans="1:3">
      <c r="A360" s="167">
        <v>43950.291655092602</v>
      </c>
      <c r="B360" s="166">
        <v>-55.466373228040659</v>
      </c>
      <c r="C360" s="166">
        <v>-4.9652506998119961</v>
      </c>
    </row>
    <row r="361" spans="1:3">
      <c r="A361" s="167">
        <v>43949.291655092602</v>
      </c>
      <c r="B361" s="166">
        <v>-59.007055472846147</v>
      </c>
      <c r="C361" s="166">
        <v>-7.4260176317633411</v>
      </c>
    </row>
    <row r="362" spans="1:3">
      <c r="A362" s="167">
        <v>43948.291655092602</v>
      </c>
      <c r="B362" s="166">
        <v>-62.9814227458088</v>
      </c>
      <c r="C362" s="166">
        <v>-6.9382154505728701</v>
      </c>
    </row>
    <row r="363" spans="1:3">
      <c r="A363" s="167">
        <v>43945.291655092602</v>
      </c>
      <c r="B363" s="166">
        <v>-66.67098194057867</v>
      </c>
      <c r="C363" s="166">
        <v>-8.287683937703445</v>
      </c>
    </row>
    <row r="364" spans="1:3">
      <c r="A364" s="167">
        <v>43944.291655092602</v>
      </c>
      <c r="B364" s="166">
        <v>-65.596478736487796</v>
      </c>
      <c r="C364" s="166">
        <v>-9.5467216461516671</v>
      </c>
    </row>
    <row r="365" spans="1:3">
      <c r="A365" s="167">
        <v>43943.291655092602</v>
      </c>
      <c r="B365" s="166">
        <v>-66.043109586380993</v>
      </c>
      <c r="C365" s="166">
        <v>-9.497639774390306</v>
      </c>
    </row>
    <row r="366" spans="1:3">
      <c r="A366" s="167">
        <v>43942.291655092602</v>
      </c>
      <c r="B366" s="166">
        <v>-65.331089390899081</v>
      </c>
      <c r="C366" s="166">
        <v>-11.526407423007278</v>
      </c>
    </row>
    <row r="367" spans="1:3">
      <c r="A367" s="167">
        <v>43941.291655092602</v>
      </c>
      <c r="B367" s="166">
        <v>-65.156320797462627</v>
      </c>
      <c r="C367" s="166">
        <v>-8.7268357669546237</v>
      </c>
    </row>
    <row r="368" spans="1:3">
      <c r="A368" s="167">
        <v>43938.291655092602</v>
      </c>
      <c r="B368" s="166">
        <v>-63.674024208686646</v>
      </c>
      <c r="C368" s="166">
        <v>-7.0647998590761087</v>
      </c>
    </row>
    <row r="369" spans="1:3">
      <c r="A369" s="167">
        <v>43937.291655092602</v>
      </c>
      <c r="B369" s="166">
        <v>-65.628843290827888</v>
      </c>
      <c r="C369" s="166">
        <v>-9.4899591348970418</v>
      </c>
    </row>
    <row r="370" spans="1:3">
      <c r="A370" s="167">
        <v>43936.291655092602</v>
      </c>
      <c r="B370" s="166">
        <v>-60.372839665997809</v>
      </c>
      <c r="C370" s="166">
        <v>-10.013391998716896</v>
      </c>
    </row>
    <row r="371" spans="1:3">
      <c r="A371" s="167">
        <v>43935.291655092602</v>
      </c>
      <c r="B371" s="166">
        <v>-56.146028869182466</v>
      </c>
      <c r="C371" s="166">
        <v>-7.9863219289258867</v>
      </c>
    </row>
    <row r="372" spans="1:3">
      <c r="A372" s="167">
        <v>43934.291655092602</v>
      </c>
      <c r="B372" s="166">
        <v>-57.731892031846726</v>
      </c>
      <c r="C372" s="166">
        <v>-10.716084895115635</v>
      </c>
    </row>
    <row r="373" spans="1:3">
      <c r="A373" s="167">
        <v>43930.291655092602</v>
      </c>
      <c r="B373" s="166">
        <v>-55.874166612725737</v>
      </c>
      <c r="C373" s="166">
        <v>-9.8046930289653709</v>
      </c>
    </row>
    <row r="374" spans="1:3">
      <c r="A374" s="167">
        <v>43929.291655092602</v>
      </c>
      <c r="B374" s="166">
        <v>-59.278917729302876</v>
      </c>
      <c r="C374" s="166">
        <v>-11.092715826356295</v>
      </c>
    </row>
    <row r="375" spans="1:3">
      <c r="A375" s="167">
        <v>43928.291655092602</v>
      </c>
      <c r="B375" s="166">
        <v>-60.592918635510394</v>
      </c>
      <c r="C375" s="166">
        <v>-14.020765636302173</v>
      </c>
    </row>
    <row r="376" spans="1:3">
      <c r="A376" s="167">
        <v>43927.291655092602</v>
      </c>
      <c r="B376" s="166">
        <v>-65.007443847498223</v>
      </c>
      <c r="C376" s="166">
        <v>-13.882614491211813</v>
      </c>
    </row>
    <row r="377" spans="1:3">
      <c r="A377" s="167">
        <v>43924.291655092602</v>
      </c>
      <c r="B377" s="166">
        <v>-69.758560424622956</v>
      </c>
      <c r="C377" s="166">
        <v>-19.541538407389037</v>
      </c>
    </row>
    <row r="378" spans="1:3">
      <c r="A378" s="167">
        <v>43923.291655092602</v>
      </c>
      <c r="B378" s="166">
        <v>-71.512719269855666</v>
      </c>
      <c r="C378" s="166">
        <v>-18.304769160017674</v>
      </c>
    </row>
    <row r="379" spans="1:3">
      <c r="A379" s="167">
        <v>43922.291655092602</v>
      </c>
      <c r="B379" s="166">
        <v>-69.551427276846411</v>
      </c>
      <c r="C379" s="166">
        <v>-20.128138511418598</v>
      </c>
    </row>
    <row r="380" spans="1:3">
      <c r="A380" s="167">
        <v>43921.291655092602</v>
      </c>
      <c r="B380" s="166">
        <v>-64.489610978056845</v>
      </c>
      <c r="C380" s="166">
        <v>-16.43970584951489</v>
      </c>
    </row>
    <row r="381" spans="1:3">
      <c r="A381" s="167">
        <v>43920.291655092602</v>
      </c>
      <c r="B381" s="166">
        <v>-63.576930545666386</v>
      </c>
      <c r="C381" s="166">
        <v>-15.080059922465196</v>
      </c>
    </row>
    <row r="382" spans="1:3">
      <c r="A382" s="167">
        <v>43917.291655092602</v>
      </c>
      <c r="B382" s="166">
        <v>-62.347077480743089</v>
      </c>
      <c r="C382" s="166">
        <v>-17.833819231333162</v>
      </c>
    </row>
    <row r="383" spans="1:3">
      <c r="A383" s="167">
        <v>43916.291655092602</v>
      </c>
      <c r="B383" s="166">
        <v>-59.80322350961228</v>
      </c>
      <c r="C383" s="166">
        <v>-14.969445603469945</v>
      </c>
    </row>
    <row r="384" spans="1:3">
      <c r="A384" s="167">
        <v>43915.291655092602</v>
      </c>
      <c r="B384" s="166">
        <v>-59.64787364877985</v>
      </c>
      <c r="C384" s="166">
        <v>-19.964744192084346</v>
      </c>
    </row>
    <row r="385" spans="1:3">
      <c r="A385" s="167">
        <v>43914.291655092602</v>
      </c>
      <c r="B385" s="166">
        <v>-64.573758819341066</v>
      </c>
      <c r="C385" s="166">
        <v>-20.877359554487604</v>
      </c>
    </row>
    <row r="386" spans="1:3">
      <c r="A386" s="167">
        <v>43913.291655092602</v>
      </c>
      <c r="B386" s="166">
        <v>-67.531879086024986</v>
      </c>
      <c r="C386" s="166">
        <v>-27.664595689404905</v>
      </c>
    </row>
    <row r="387" spans="1:3">
      <c r="A387" s="167">
        <v>43910.291655092602</v>
      </c>
      <c r="B387" s="166">
        <v>-68.839407081364484</v>
      </c>
      <c r="C387" s="166">
        <v>-25.481632512373967</v>
      </c>
    </row>
    <row r="388" spans="1:3">
      <c r="A388" s="167">
        <v>43909.291655092602</v>
      </c>
      <c r="B388" s="166">
        <v>-63.919994821671303</v>
      </c>
      <c r="C388" s="166">
        <v>-22.104088764493937</v>
      </c>
    </row>
    <row r="389" spans="1:3">
      <c r="A389" s="167">
        <v>43908.291655092602</v>
      </c>
      <c r="B389" s="166">
        <v>-70.923684380866078</v>
      </c>
      <c r="C389" s="166">
        <v>-22.469140902906759</v>
      </c>
    </row>
    <row r="390" spans="1:3">
      <c r="A390" s="167">
        <v>43907.291655092602</v>
      </c>
      <c r="B390" s="166">
        <v>-61.900446630849899</v>
      </c>
      <c r="C390" s="166">
        <v>-18.230686850335786</v>
      </c>
    </row>
    <row r="391" spans="1:3">
      <c r="A391" s="167">
        <v>43906.291655092602</v>
      </c>
      <c r="B391" s="166">
        <v>-57.414719399313867</v>
      </c>
      <c r="C391" s="166">
        <v>-22.855851529124124</v>
      </c>
    </row>
    <row r="392" spans="1:3">
      <c r="A392" s="167">
        <v>43903.291655092602</v>
      </c>
      <c r="B392" s="166">
        <v>-41.892679137808273</v>
      </c>
      <c r="C392" s="166">
        <v>-12.352170541664348</v>
      </c>
    </row>
    <row r="393" spans="1:3">
      <c r="A393" s="167">
        <v>43902.291655092602</v>
      </c>
      <c r="B393" s="166">
        <v>-45.957667162923173</v>
      </c>
      <c r="C393" s="166">
        <v>-19.800418676780655</v>
      </c>
    </row>
    <row r="394" spans="1:3">
      <c r="A394" s="167">
        <v>43901.291655092602</v>
      </c>
      <c r="B394" s="166">
        <v>-34.299954689623931</v>
      </c>
      <c r="C394" s="166">
        <v>-11.370564893631181</v>
      </c>
    </row>
    <row r="395" spans="1:3">
      <c r="A395" s="167">
        <v>43900.291655092602</v>
      </c>
      <c r="B395" s="166">
        <v>-27.865881286814684</v>
      </c>
      <c r="C395" s="166">
        <v>-6.8171200345476386</v>
      </c>
    </row>
    <row r="396" spans="1:3">
      <c r="A396" s="167">
        <v>43899.291655092602</v>
      </c>
      <c r="B396" s="166">
        <v>-33.303126415949251</v>
      </c>
      <c r="C396" s="166">
        <v>-11.20322428958333</v>
      </c>
    </row>
    <row r="397" spans="1:3">
      <c r="A397" s="167">
        <v>43896.249988425901</v>
      </c>
      <c r="B397" s="166">
        <v>-22.933523205385466</v>
      </c>
      <c r="C397" s="166">
        <v>-3.9026701116748712</v>
      </c>
    </row>
    <row r="398" spans="1:3">
      <c r="A398" s="167">
        <v>43895.249988425901</v>
      </c>
      <c r="B398" s="166">
        <v>-22.389798692472006</v>
      </c>
      <c r="C398" s="166">
        <v>-2.2354541462641278</v>
      </c>
    </row>
    <row r="399" spans="1:3">
      <c r="A399" s="167">
        <v>43894.249988425901</v>
      </c>
      <c r="B399" s="166">
        <v>-20.066023690853786</v>
      </c>
      <c r="C399" s="166">
        <v>1.1972538039432201</v>
      </c>
    </row>
    <row r="400" spans="1:3">
      <c r="A400" s="167">
        <v>43893.249988425901</v>
      </c>
      <c r="B400" s="166">
        <v>-20.726260599391551</v>
      </c>
      <c r="C400" s="166">
        <v>-2.9006521625255828</v>
      </c>
    </row>
    <row r="401" spans="1:3">
      <c r="A401" s="167">
        <v>43892.249988425901</v>
      </c>
      <c r="B401" s="166">
        <v>-17.651627937083312</v>
      </c>
      <c r="C401" s="166">
        <v>-9.2204481744142544E-2</v>
      </c>
    </row>
    <row r="402" spans="1:3">
      <c r="A402" s="167">
        <v>43889.249988425901</v>
      </c>
      <c r="B402" s="166">
        <v>-20.331413036442491</v>
      </c>
      <c r="C402" s="166">
        <v>-4.4894054877582628</v>
      </c>
    </row>
    <row r="403" spans="1:3">
      <c r="A403" s="167">
        <v>43888.249988425901</v>
      </c>
      <c r="B403" s="166">
        <v>-18.570781280341777</v>
      </c>
      <c r="C403" s="166">
        <v>-3.6962119980727541</v>
      </c>
    </row>
    <row r="404" spans="1:3">
      <c r="A404" s="167">
        <v>43887.249988425901</v>
      </c>
      <c r="B404" s="166">
        <v>-14.408699592206625</v>
      </c>
      <c r="C404" s="166">
        <v>0.75345642038558391</v>
      </c>
    </row>
    <row r="405" spans="1:3">
      <c r="A405" s="167">
        <v>43886.249988425901</v>
      </c>
      <c r="B405" s="166">
        <v>-12.43446177746133</v>
      </c>
      <c r="C405" s="166">
        <v>1.1354935306793914</v>
      </c>
    </row>
    <row r="406" spans="1:3">
      <c r="A406" s="167">
        <v>43885.249988425901</v>
      </c>
      <c r="B406" s="166">
        <v>-8.8743608000517895</v>
      </c>
      <c r="C406" s="166">
        <v>4.2935000950936821</v>
      </c>
    </row>
    <row r="407" spans="1:3">
      <c r="A407" s="167">
        <v>43882.249988425901</v>
      </c>
      <c r="B407" s="166">
        <v>-7.9228429024532385</v>
      </c>
      <c r="C407" s="166">
        <v>7.909974351542794</v>
      </c>
    </row>
    <row r="408" spans="1:3">
      <c r="A408" s="167">
        <v>43881.249988425901</v>
      </c>
      <c r="B408" s="166">
        <v>-9.0361835717522219</v>
      </c>
      <c r="C408" s="166">
        <v>9.0571943746156762</v>
      </c>
    </row>
    <row r="409" spans="1:3">
      <c r="A409" s="167">
        <v>43880.249988425901</v>
      </c>
      <c r="B409" s="166">
        <v>-11.314648197294334</v>
      </c>
      <c r="C409" s="166">
        <v>9.4749395417507642</v>
      </c>
    </row>
    <row r="410" spans="1:3">
      <c r="A410" s="167">
        <v>43879.249988425901</v>
      </c>
      <c r="B410" s="166">
        <v>-9.9164994498025898</v>
      </c>
      <c r="C410" s="166">
        <v>8.9619811881935476</v>
      </c>
    </row>
    <row r="411" spans="1:3">
      <c r="A411" s="167">
        <v>43875.249988425901</v>
      </c>
      <c r="B411" s="166">
        <v>-10.078322221503024</v>
      </c>
      <c r="C411" s="166">
        <v>9.2811090068182516</v>
      </c>
    </row>
    <row r="412" spans="1:3">
      <c r="A412" s="167">
        <v>43874.249988425901</v>
      </c>
      <c r="B412" s="166">
        <v>-10.246617904071469</v>
      </c>
      <c r="C412" s="166">
        <v>9.0800151147526602</v>
      </c>
    </row>
    <row r="413" spans="1:3">
      <c r="A413" s="167">
        <v>43873.249988425901</v>
      </c>
      <c r="B413" s="166">
        <v>-9.9164994498025898</v>
      </c>
      <c r="C413" s="166">
        <v>9.2583102345209252</v>
      </c>
    </row>
    <row r="414" spans="1:3">
      <c r="A414" s="167">
        <v>43872.249988425901</v>
      </c>
      <c r="B414" s="166">
        <v>-8.0328823872095239</v>
      </c>
      <c r="C414" s="166">
        <v>8.556585871401273</v>
      </c>
    </row>
    <row r="415" spans="1:3">
      <c r="A415" s="167">
        <v>43871.249988425901</v>
      </c>
      <c r="B415" s="166">
        <v>-7.3985371221438321</v>
      </c>
      <c r="C415" s="166">
        <v>8.3738133335181182</v>
      </c>
    </row>
    <row r="416" spans="1:3">
      <c r="A416" s="167">
        <v>43868.249988425901</v>
      </c>
      <c r="B416" s="166">
        <v>-8.7190109392193662</v>
      </c>
      <c r="C416" s="166">
        <v>7.585374457186723</v>
      </c>
    </row>
    <row r="417" spans="1:3">
      <c r="A417" s="167">
        <v>43867.249988425901</v>
      </c>
      <c r="B417" s="166">
        <v>-8.8225775131076407</v>
      </c>
      <c r="C417" s="166">
        <v>8.1697100201540476</v>
      </c>
    </row>
    <row r="418" spans="1:3">
      <c r="A418" s="167">
        <v>43866.249988425901</v>
      </c>
      <c r="B418" s="166">
        <v>-9.0750210369603259</v>
      </c>
      <c r="C418" s="166">
        <v>7.811279001113169</v>
      </c>
    </row>
    <row r="419" spans="1:3">
      <c r="A419" s="167">
        <v>43865.249988425901</v>
      </c>
      <c r="B419" s="166">
        <v>-11.133406692989849</v>
      </c>
      <c r="C419" s="166">
        <v>6.6116329175980697</v>
      </c>
    </row>
    <row r="420" spans="1:3">
      <c r="A420" s="167">
        <v>43864.249988425901</v>
      </c>
      <c r="B420" s="166">
        <v>-14.039743672729626</v>
      </c>
      <c r="C420" s="166">
        <v>5.0383421084607889</v>
      </c>
    </row>
    <row r="421" spans="1:3">
      <c r="A421" s="167">
        <v>43861.249988425901</v>
      </c>
      <c r="B421" s="166">
        <v>-13.813191792349022</v>
      </c>
      <c r="C421" s="166">
        <v>4.2815351540523272</v>
      </c>
    </row>
    <row r="422" spans="1:3">
      <c r="A422" s="167">
        <v>43860.249988425901</v>
      </c>
      <c r="B422" s="166">
        <v>-11.677131205903308</v>
      </c>
      <c r="C422" s="166">
        <v>6.1613002016697749</v>
      </c>
    </row>
    <row r="423" spans="1:3">
      <c r="A423" s="167">
        <v>43859.249988425901</v>
      </c>
      <c r="B423" s="166">
        <v>-9.3598291151530901</v>
      </c>
      <c r="C423" s="166">
        <v>5.8297075868211632</v>
      </c>
    </row>
    <row r="424" spans="1:3">
      <c r="A424" s="167">
        <v>43858.249988425901</v>
      </c>
      <c r="B424" s="166">
        <v>-9.385720758625153</v>
      </c>
      <c r="C424" s="166">
        <v>5.9215523726081134</v>
      </c>
    </row>
    <row r="425" spans="1:3">
      <c r="A425" s="167">
        <v>43857.249988425901</v>
      </c>
      <c r="B425" s="166">
        <v>-8.3241633762703167</v>
      </c>
      <c r="C425" s="166">
        <v>4.867095800431529</v>
      </c>
    </row>
    <row r="426" spans="1:3">
      <c r="A426" s="167">
        <v>43854.249988425901</v>
      </c>
      <c r="B426" s="166">
        <v>-6.259304809372785</v>
      </c>
      <c r="C426" s="166">
        <v>6.5432621127059516</v>
      </c>
    </row>
    <row r="427" spans="1:3">
      <c r="A427" s="167">
        <v>43853.249988425901</v>
      </c>
      <c r="B427" s="166">
        <v>-4.6863874684445648</v>
      </c>
      <c r="C427" s="166">
        <v>7.5154093902450141</v>
      </c>
    </row>
    <row r="428" spans="1:3">
      <c r="A428" s="167">
        <v>43852.249988425901</v>
      </c>
      <c r="B428" s="166">
        <v>-5.4890284160787219</v>
      </c>
      <c r="C428" s="166">
        <v>7.3926860900322202</v>
      </c>
    </row>
    <row r="429" spans="1:3">
      <c r="A429" s="167">
        <v>43851.249988425901</v>
      </c>
      <c r="B429" s="166">
        <v>-3.4824260469933299</v>
      </c>
      <c r="C429" s="166">
        <v>7.3617782658581179</v>
      </c>
    </row>
    <row r="430" spans="1:3">
      <c r="A430" s="167">
        <v>43847.249988425901</v>
      </c>
      <c r="B430" s="166">
        <v>-4.3497961033076562</v>
      </c>
      <c r="C430" s="166">
        <v>7.6473123105040992</v>
      </c>
    </row>
    <row r="431" spans="1:3">
      <c r="A431" s="167">
        <v>43846.249988425901</v>
      </c>
      <c r="B431" s="166">
        <v>-3.8513819664703326</v>
      </c>
      <c r="C431" s="166">
        <v>7.2329438902260526</v>
      </c>
    </row>
    <row r="432" spans="1:3">
      <c r="A432" s="167">
        <v>43845.249988425901</v>
      </c>
      <c r="B432" s="166">
        <v>-4.7834811314648293</v>
      </c>
      <c r="C432" s="166">
        <v>6.3434337143910806</v>
      </c>
    </row>
    <row r="433" spans="1:3">
      <c r="A433" s="167">
        <v>43844.249988425901</v>
      </c>
      <c r="B433" s="166">
        <v>-4.7640623988607764</v>
      </c>
      <c r="C433" s="166">
        <v>6.1449218891590833</v>
      </c>
    </row>
    <row r="434" spans="1:3">
      <c r="A434" s="167">
        <v>43843.249988425901</v>
      </c>
      <c r="B434" s="166">
        <v>-5.9550779985759705</v>
      </c>
      <c r="C434" s="166">
        <v>6.3059614901039955</v>
      </c>
    </row>
    <row r="435" spans="1:3">
      <c r="A435" s="167">
        <v>43840.249988425901</v>
      </c>
      <c r="B435" s="166">
        <v>-6.2787235419768379</v>
      </c>
      <c r="C435" s="166">
        <v>5.569402167326535</v>
      </c>
    </row>
    <row r="436" spans="1:3">
      <c r="A436" s="167">
        <v>43839.249988425901</v>
      </c>
      <c r="B436" s="166">
        <v>-6.6412065505858102</v>
      </c>
      <c r="C436" s="166">
        <v>5.8717882540665274</v>
      </c>
    </row>
    <row r="437" spans="1:3">
      <c r="A437" s="167">
        <v>43838.249988425901</v>
      </c>
      <c r="B437" s="166">
        <v>-5.8838759790277706</v>
      </c>
      <c r="C437" s="166">
        <v>5.1715730562462126</v>
      </c>
    </row>
    <row r="438" spans="1:3">
      <c r="A438" s="167">
        <v>43837.249988425901</v>
      </c>
      <c r="B438" s="166">
        <v>-6.4988025114894299</v>
      </c>
      <c r="C438" s="166">
        <v>4.6587034584116473</v>
      </c>
    </row>
    <row r="439" spans="1:3">
      <c r="A439" s="167">
        <v>43836.249988425901</v>
      </c>
      <c r="B439" s="166">
        <v>-5.4242993073985337</v>
      </c>
      <c r="C439" s="166">
        <v>4.9529115156898316</v>
      </c>
    </row>
    <row r="440" spans="1:3">
      <c r="A440" s="167">
        <v>43833.249988425901</v>
      </c>
      <c r="B440" s="166">
        <v>-5.9162405333678647</v>
      </c>
      <c r="C440" s="166">
        <v>4.5832484069230963</v>
      </c>
    </row>
    <row r="441" spans="1:3">
      <c r="A441" s="167">
        <v>43832.249988425901</v>
      </c>
      <c r="B441" s="166">
        <v>-6.0845362159363097</v>
      </c>
      <c r="C441" s="166">
        <v>5.3268175243693365</v>
      </c>
    </row>
    <row r="442" spans="1:3">
      <c r="A442" s="167">
        <v>43830.249988425901</v>
      </c>
      <c r="B442" s="166">
        <v>-3.5795197100135936</v>
      </c>
      <c r="C442" s="166">
        <v>4.4517740566772313</v>
      </c>
    </row>
    <row r="443" spans="1:3">
      <c r="A443" s="167">
        <v>43829.249988425901</v>
      </c>
      <c r="B443" s="166">
        <v>-4.4663084989319728</v>
      </c>
      <c r="C443" s="166">
        <v>4.1449560267763168</v>
      </c>
    </row>
    <row r="444" spans="1:3">
      <c r="A444" s="167">
        <v>43826.249988425901</v>
      </c>
      <c r="B444" s="166">
        <v>-4.4663084989319728</v>
      </c>
      <c r="C444" s="166">
        <v>4.7504534954828035</v>
      </c>
    </row>
    <row r="445" spans="1:3">
      <c r="A445" s="167">
        <v>43825.249988425901</v>
      </c>
      <c r="B445" s="166">
        <v>-5.0941808531296546</v>
      </c>
      <c r="C445" s="166">
        <v>4.7467930502091891</v>
      </c>
    </row>
    <row r="446" spans="1:3">
      <c r="A446" s="167">
        <v>43823.249988425901</v>
      </c>
      <c r="B446" s="166">
        <v>-5.6443782769111257</v>
      </c>
      <c r="C446" s="166">
        <v>4.2123286365828259</v>
      </c>
    </row>
    <row r="447" spans="1:3">
      <c r="A447" s="167">
        <v>43822.249988425901</v>
      </c>
      <c r="B447" s="166">
        <v>-6.1622111463525213</v>
      </c>
      <c r="C447" s="166">
        <v>4.2328319772962777</v>
      </c>
    </row>
    <row r="448" spans="1:3">
      <c r="A448" s="167">
        <v>43819.249988425901</v>
      </c>
      <c r="B448" s="166">
        <v>-5.8256197812156127</v>
      </c>
      <c r="C448" s="166">
        <v>4.1427826261511855</v>
      </c>
    </row>
    <row r="449" spans="1:3">
      <c r="A449" s="167">
        <v>43818.249988425901</v>
      </c>
      <c r="B449" s="166">
        <v>-5.9162405333678647</v>
      </c>
      <c r="C449" s="166">
        <v>3.6301485957101325</v>
      </c>
    </row>
    <row r="450" spans="1:3">
      <c r="A450" s="167">
        <v>43817.249988425901</v>
      </c>
      <c r="B450" s="166">
        <v>-6.5635316201695995</v>
      </c>
      <c r="C450" s="166">
        <v>3.1702086070731799</v>
      </c>
    </row>
    <row r="451" spans="1:3">
      <c r="A451" s="167">
        <v>43816.249988425901</v>
      </c>
      <c r="B451" s="166">
        <v>-6.3628713832610604</v>
      </c>
      <c r="C451" s="166">
        <v>3.2147122694766712</v>
      </c>
    </row>
    <row r="452" spans="1:3">
      <c r="A452" s="167">
        <v>43815.249988425901</v>
      </c>
      <c r="B452" s="166">
        <v>-5.767363583403454</v>
      </c>
      <c r="C452" s="166">
        <v>3.18013316651124</v>
      </c>
    </row>
    <row r="453" spans="1:3">
      <c r="A453" s="167">
        <v>43812.249988425901</v>
      </c>
      <c r="B453" s="166">
        <v>-6.5635316201695995</v>
      </c>
      <c r="C453" s="166">
        <v>2.4478743618744296</v>
      </c>
    </row>
    <row r="454" spans="1:3">
      <c r="A454" s="167">
        <v>43811.249988425901</v>
      </c>
      <c r="B454" s="166">
        <v>-6.7836105896821914</v>
      </c>
      <c r="C454" s="166">
        <v>2.4404234693846165</v>
      </c>
    </row>
    <row r="455" spans="1:3">
      <c r="A455" s="167">
        <v>43810.249988425901</v>
      </c>
      <c r="B455" s="166">
        <v>-5.8838759790277706</v>
      </c>
      <c r="C455" s="166">
        <v>1.5693676954615081</v>
      </c>
    </row>
    <row r="456" spans="1:3">
      <c r="A456" s="167">
        <v>43809.249988425901</v>
      </c>
      <c r="B456" s="166">
        <v>-3.5277364230694652</v>
      </c>
      <c r="C456" s="166">
        <v>1.2749021043982494</v>
      </c>
    </row>
    <row r="457" spans="1:3">
      <c r="A457" s="167">
        <v>43808.249988425901</v>
      </c>
      <c r="B457" s="166">
        <v>-3.0422681079681642</v>
      </c>
      <c r="C457" s="166">
        <v>1.3862077195353768</v>
      </c>
    </row>
    <row r="458" spans="1:3">
      <c r="A458" s="167">
        <v>43805.249988425901</v>
      </c>
      <c r="B458" s="166">
        <v>-4.0455692925108417</v>
      </c>
      <c r="C458" s="166">
        <v>1.7078814923109857</v>
      </c>
    </row>
    <row r="459" spans="1:3">
      <c r="A459" s="167">
        <v>43804.249988425901</v>
      </c>
      <c r="B459" s="166">
        <v>-3.8772736099423968</v>
      </c>
      <c r="C459" s="166">
        <v>0.78703904314144046</v>
      </c>
    </row>
    <row r="460" spans="1:3">
      <c r="A460" s="167">
        <v>43803.249988425901</v>
      </c>
      <c r="B460" s="166">
        <v>-3.4630073143892952</v>
      </c>
      <c r="C460" s="166">
        <v>0.63598457032019329</v>
      </c>
    </row>
    <row r="461" spans="1:3">
      <c r="A461" s="167">
        <v>43802.249988425901</v>
      </c>
      <c r="B461" s="166">
        <v>-4.1232442229270534</v>
      </c>
      <c r="C461" s="166">
        <v>3.7538397139179232E-3</v>
      </c>
    </row>
    <row r="462" spans="1:3">
      <c r="A462" s="167">
        <v>43801.249988425901</v>
      </c>
      <c r="B462" s="166">
        <v>-3.6442488186937636</v>
      </c>
      <c r="C462" s="166">
        <v>0.67210661328873578</v>
      </c>
    </row>
    <row r="463" spans="1:3">
      <c r="A463" s="167">
        <v>43798.249988425901</v>
      </c>
      <c r="B463" s="166">
        <v>-2.1231147647096904</v>
      </c>
      <c r="C463" s="166">
        <v>1.5484808041603935</v>
      </c>
    </row>
    <row r="464" spans="1:3">
      <c r="A464" s="167">
        <v>43796.249988425901</v>
      </c>
      <c r="B464" s="166">
        <v>-2.1166418538416791</v>
      </c>
      <c r="C464" s="166">
        <v>1.957374974478943</v>
      </c>
    </row>
    <row r="465" spans="1:6">
      <c r="A465" s="167">
        <v>43795.249988425901</v>
      </c>
      <c r="B465" s="166">
        <v>-2.4273415755065053</v>
      </c>
      <c r="C465" s="166">
        <v>1.5335842294168527</v>
      </c>
    </row>
    <row r="466" spans="1:6">
      <c r="A466" s="167">
        <v>43794.249988425901</v>
      </c>
      <c r="B466" s="166">
        <v>-3.398278205709107</v>
      </c>
      <c r="C466" s="166">
        <v>1.311248227651068</v>
      </c>
    </row>
    <row r="467" spans="1:6">
      <c r="A467" s="167">
        <v>43791.249988425901</v>
      </c>
      <c r="B467" s="166">
        <v>-4.3951064793837915</v>
      </c>
      <c r="C467" s="166">
        <v>0.55619378846407419</v>
      </c>
    </row>
    <row r="468" spans="1:6">
      <c r="A468" s="167">
        <v>43790.249988425901</v>
      </c>
      <c r="B468" s="166">
        <v>-5.1653828726778546</v>
      </c>
      <c r="C468" s="166">
        <v>0.33791860926633077</v>
      </c>
    </row>
    <row r="469" spans="1:6">
      <c r="A469" s="167">
        <v>43789.249988425901</v>
      </c>
      <c r="B469" s="166">
        <v>-4.0520422033788721</v>
      </c>
      <c r="C469" s="166">
        <v>0.49702313028015038</v>
      </c>
    </row>
    <row r="470" spans="1:6">
      <c r="A470" s="167">
        <v>43788.249988425901</v>
      </c>
      <c r="B470" s="166">
        <v>-2.3626124668263353</v>
      </c>
      <c r="C470" s="166">
        <v>0.87603420931799869</v>
      </c>
    </row>
    <row r="471" spans="1:6">
      <c r="A471" s="167">
        <v>43787.249988425901</v>
      </c>
      <c r="B471" s="166">
        <v>-0.50488704770535375</v>
      </c>
      <c r="C471" s="166">
        <v>0.93573908410317996</v>
      </c>
    </row>
    <row r="472" spans="1:6">
      <c r="A472" s="167">
        <v>43784.249988425901</v>
      </c>
      <c r="B472" s="166">
        <v>-0.31717263253285588</v>
      </c>
      <c r="C472" s="166">
        <v>0.88505817677680754</v>
      </c>
    </row>
    <row r="473" spans="1:6">
      <c r="A473" s="167">
        <v>43783.249988425901</v>
      </c>
      <c r="B473" s="166">
        <v>-0.59550779985760627</v>
      </c>
      <c r="C473" s="166">
        <v>0.11471795474704394</v>
      </c>
    </row>
    <row r="474" spans="1:6">
      <c r="A474" s="167">
        <v>43782.249988425901</v>
      </c>
      <c r="B474" s="166">
        <v>-9.7093663020263885E-2</v>
      </c>
      <c r="C474" s="166">
        <v>3.0731032397681993E-2</v>
      </c>
    </row>
    <row r="475" spans="1:6">
      <c r="A475" s="167">
        <v>43781.249988425901</v>
      </c>
      <c r="B475" s="166">
        <v>-0.57608906725355347</v>
      </c>
      <c r="C475" s="166">
        <v>-4.0276530482894535E-2</v>
      </c>
    </row>
    <row r="476" spans="1:6">
      <c r="A476" s="167">
        <v>43780.249988425901</v>
      </c>
      <c r="B476" s="166">
        <v>0.60198071072559933</v>
      </c>
      <c r="C476" s="166">
        <v>-0.19656058222449629</v>
      </c>
    </row>
    <row r="477" spans="1:6">
      <c r="A477" s="167">
        <v>43777.249988425901</v>
      </c>
      <c r="B477" s="166">
        <v>0</v>
      </c>
      <c r="C477" s="166">
        <v>0</v>
      </c>
    </row>
    <row r="478" spans="1:6">
      <c r="A478" s="535" t="s">
        <v>933</v>
      </c>
      <c r="B478" s="535"/>
      <c r="C478" s="535"/>
      <c r="D478" s="535"/>
      <c r="E478" s="535"/>
      <c r="F478" s="535"/>
    </row>
  </sheetData>
  <mergeCells count="34">
    <mergeCell ref="A36:F36"/>
    <mergeCell ref="A40:F40"/>
    <mergeCell ref="A41:F41"/>
    <mergeCell ref="A478:F478"/>
    <mergeCell ref="A30:F30"/>
    <mergeCell ref="A31:F31"/>
    <mergeCell ref="A32:F32"/>
    <mergeCell ref="A33:F33"/>
    <mergeCell ref="A34:F34"/>
    <mergeCell ref="A35:F35"/>
    <mergeCell ref="A29:F29"/>
    <mergeCell ref="A18:F18"/>
    <mergeCell ref="A19:F19"/>
    <mergeCell ref="A20:F20"/>
    <mergeCell ref="A21:F21"/>
    <mergeCell ref="A22:F22"/>
    <mergeCell ref="A23:F23"/>
    <mergeCell ref="A24:F24"/>
    <mergeCell ref="A25:F25"/>
    <mergeCell ref="A26:F26"/>
    <mergeCell ref="A27:F27"/>
    <mergeCell ref="A28:F28"/>
    <mergeCell ref="A17:F17"/>
    <mergeCell ref="A1:D1"/>
    <mergeCell ref="A3:F3"/>
    <mergeCell ref="A4:F4"/>
    <mergeCell ref="A5:F5"/>
    <mergeCell ref="A10:F10"/>
    <mergeCell ref="A11:F11"/>
    <mergeCell ref="A12:F12"/>
    <mergeCell ref="A13:F13"/>
    <mergeCell ref="A14:F14"/>
    <mergeCell ref="A15:F15"/>
    <mergeCell ref="A16:F16"/>
  </mergeCells>
  <phoneticPr fontId="45" type="noConversion"/>
  <pageMargins left="0.7" right="0.7" top="0.75" bottom="0.75" header="0.3" footer="0.3"/>
  <pageSetup orientation="landscape"/>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EF24-F4AD-2945-8D2A-4596AB8821D6}">
  <dimension ref="A1:T109"/>
  <sheetViews>
    <sheetView zoomScale="85" zoomScaleNormal="85" workbookViewId="0">
      <pane xSplit="1" ySplit="1" topLeftCell="J2" activePane="bottomRight" state="frozen"/>
      <selection pane="topRight" activeCell="B1" sqref="B1"/>
      <selection pane="bottomLeft" activeCell="A2" sqref="A2"/>
      <selection pane="bottomRight" activeCell="U9" sqref="U9"/>
    </sheetView>
  </sheetViews>
  <sheetFormatPr defaultColWidth="10.58203125" defaultRowHeight="14"/>
  <cols>
    <col min="1" max="1" width="26.08203125" customWidth="1"/>
    <col min="2" max="4" width="17.5" customWidth="1"/>
    <col min="5" max="20" width="19" customWidth="1"/>
    <col min="249" max="249" width="48.58203125" customWidth="1"/>
    <col min="250" max="260" width="17.5" customWidth="1"/>
    <col min="261" max="276" width="19" customWidth="1"/>
    <col min="505" max="505" width="48.58203125" customWidth="1"/>
    <col min="506" max="516" width="17.5" customWidth="1"/>
    <col min="517" max="532" width="19" customWidth="1"/>
    <col min="761" max="761" width="48.58203125" customWidth="1"/>
    <col min="762" max="772" width="17.5" customWidth="1"/>
    <col min="773" max="788" width="19" customWidth="1"/>
    <col min="1017" max="1017" width="48.58203125" customWidth="1"/>
    <col min="1018" max="1028" width="17.5" customWidth="1"/>
    <col min="1029" max="1044" width="19" customWidth="1"/>
    <col min="1273" max="1273" width="48.58203125" customWidth="1"/>
    <col min="1274" max="1284" width="17.5" customWidth="1"/>
    <col min="1285" max="1300" width="19" customWidth="1"/>
    <col min="1529" max="1529" width="48.58203125" customWidth="1"/>
    <col min="1530" max="1540" width="17.5" customWidth="1"/>
    <col min="1541" max="1556" width="19" customWidth="1"/>
    <col min="1785" max="1785" width="48.58203125" customWidth="1"/>
    <col min="1786" max="1796" width="17.5" customWidth="1"/>
    <col min="1797" max="1812" width="19" customWidth="1"/>
    <col min="2041" max="2041" width="48.58203125" customWidth="1"/>
    <col min="2042" max="2052" width="17.5" customWidth="1"/>
    <col min="2053" max="2068" width="19" customWidth="1"/>
    <col min="2297" max="2297" width="48.58203125" customWidth="1"/>
    <col min="2298" max="2308" width="17.5" customWidth="1"/>
    <col min="2309" max="2324" width="19" customWidth="1"/>
    <col min="2553" max="2553" width="48.58203125" customWidth="1"/>
    <col min="2554" max="2564" width="17.5" customWidth="1"/>
    <col min="2565" max="2580" width="19" customWidth="1"/>
    <col min="2809" max="2809" width="48.58203125" customWidth="1"/>
    <col min="2810" max="2820" width="17.5" customWidth="1"/>
    <col min="2821" max="2836" width="19" customWidth="1"/>
    <col min="3065" max="3065" width="48.58203125" customWidth="1"/>
    <col min="3066" max="3076" width="17.5" customWidth="1"/>
    <col min="3077" max="3092" width="19" customWidth="1"/>
    <col min="3321" max="3321" width="48.58203125" customWidth="1"/>
    <col min="3322" max="3332" width="17.5" customWidth="1"/>
    <col min="3333" max="3348" width="19" customWidth="1"/>
    <col min="3577" max="3577" width="48.58203125" customWidth="1"/>
    <col min="3578" max="3588" width="17.5" customWidth="1"/>
    <col min="3589" max="3604" width="19" customWidth="1"/>
    <col min="3833" max="3833" width="48.58203125" customWidth="1"/>
    <col min="3834" max="3844" width="17.5" customWidth="1"/>
    <col min="3845" max="3860" width="19" customWidth="1"/>
    <col min="4089" max="4089" width="48.58203125" customWidth="1"/>
    <col min="4090" max="4100" width="17.5" customWidth="1"/>
    <col min="4101" max="4116" width="19" customWidth="1"/>
    <col min="4345" max="4345" width="48.58203125" customWidth="1"/>
    <col min="4346" max="4356" width="17.5" customWidth="1"/>
    <col min="4357" max="4372" width="19" customWidth="1"/>
    <col min="4601" max="4601" width="48.58203125" customWidth="1"/>
    <col min="4602" max="4612" width="17.5" customWidth="1"/>
    <col min="4613" max="4628" width="19" customWidth="1"/>
    <col min="4857" max="4857" width="48.58203125" customWidth="1"/>
    <col min="4858" max="4868" width="17.5" customWidth="1"/>
    <col min="4869" max="4884" width="19" customWidth="1"/>
    <col min="5113" max="5113" width="48.58203125" customWidth="1"/>
    <col min="5114" max="5124" width="17.5" customWidth="1"/>
    <col min="5125" max="5140" width="19" customWidth="1"/>
    <col min="5369" max="5369" width="48.58203125" customWidth="1"/>
    <col min="5370" max="5380" width="17.5" customWidth="1"/>
    <col min="5381" max="5396" width="19" customWidth="1"/>
    <col min="5625" max="5625" width="48.58203125" customWidth="1"/>
    <col min="5626" max="5636" width="17.5" customWidth="1"/>
    <col min="5637" max="5652" width="19" customWidth="1"/>
    <col min="5881" max="5881" width="48.58203125" customWidth="1"/>
    <col min="5882" max="5892" width="17.5" customWidth="1"/>
    <col min="5893" max="5908" width="19" customWidth="1"/>
    <col min="6137" max="6137" width="48.58203125" customWidth="1"/>
    <col min="6138" max="6148" width="17.5" customWidth="1"/>
    <col min="6149" max="6164" width="19" customWidth="1"/>
    <col min="6393" max="6393" width="48.58203125" customWidth="1"/>
    <col min="6394" max="6404" width="17.5" customWidth="1"/>
    <col min="6405" max="6420" width="19" customWidth="1"/>
    <col min="6649" max="6649" width="48.58203125" customWidth="1"/>
    <col min="6650" max="6660" width="17.5" customWidth="1"/>
    <col min="6661" max="6676" width="19" customWidth="1"/>
    <col min="6905" max="6905" width="48.58203125" customWidth="1"/>
    <col min="6906" max="6916" width="17.5" customWidth="1"/>
    <col min="6917" max="6932" width="19" customWidth="1"/>
    <col min="7161" max="7161" width="48.58203125" customWidth="1"/>
    <col min="7162" max="7172" width="17.5" customWidth="1"/>
    <col min="7173" max="7188" width="19" customWidth="1"/>
    <col min="7417" max="7417" width="48.58203125" customWidth="1"/>
    <col min="7418" max="7428" width="17.5" customWidth="1"/>
    <col min="7429" max="7444" width="19" customWidth="1"/>
    <col min="7673" max="7673" width="48.58203125" customWidth="1"/>
    <col min="7674" max="7684" width="17.5" customWidth="1"/>
    <col min="7685" max="7700" width="19" customWidth="1"/>
    <col min="7929" max="7929" width="48.58203125" customWidth="1"/>
    <col min="7930" max="7940" width="17.5" customWidth="1"/>
    <col min="7941" max="7956" width="19" customWidth="1"/>
    <col min="8185" max="8185" width="48.58203125" customWidth="1"/>
    <col min="8186" max="8196" width="17.5" customWidth="1"/>
    <col min="8197" max="8212" width="19" customWidth="1"/>
    <col min="8441" max="8441" width="48.58203125" customWidth="1"/>
    <col min="8442" max="8452" width="17.5" customWidth="1"/>
    <col min="8453" max="8468" width="19" customWidth="1"/>
    <col min="8697" max="8697" width="48.58203125" customWidth="1"/>
    <col min="8698" max="8708" width="17.5" customWidth="1"/>
    <col min="8709" max="8724" width="19" customWidth="1"/>
    <col min="8953" max="8953" width="48.58203125" customWidth="1"/>
    <col min="8954" max="8964" width="17.5" customWidth="1"/>
    <col min="8965" max="8980" width="19" customWidth="1"/>
    <col min="9209" max="9209" width="48.58203125" customWidth="1"/>
    <col min="9210" max="9220" width="17.5" customWidth="1"/>
    <col min="9221" max="9236" width="19" customWidth="1"/>
    <col min="9465" max="9465" width="48.58203125" customWidth="1"/>
    <col min="9466" max="9476" width="17.5" customWidth="1"/>
    <col min="9477" max="9492" width="19" customWidth="1"/>
    <col min="9721" max="9721" width="48.58203125" customWidth="1"/>
    <col min="9722" max="9732" width="17.5" customWidth="1"/>
    <col min="9733" max="9748" width="19" customWidth="1"/>
    <col min="9977" max="9977" width="48.58203125" customWidth="1"/>
    <col min="9978" max="9988" width="17.5" customWidth="1"/>
    <col min="9989" max="10004" width="19" customWidth="1"/>
    <col min="10233" max="10233" width="48.58203125" customWidth="1"/>
    <col min="10234" max="10244" width="17.5" customWidth="1"/>
    <col min="10245" max="10260" width="19" customWidth="1"/>
    <col min="10489" max="10489" width="48.58203125" customWidth="1"/>
    <col min="10490" max="10500" width="17.5" customWidth="1"/>
    <col min="10501" max="10516" width="19" customWidth="1"/>
    <col min="10745" max="10745" width="48.58203125" customWidth="1"/>
    <col min="10746" max="10756" width="17.5" customWidth="1"/>
    <col min="10757" max="10772" width="19" customWidth="1"/>
    <col min="11001" max="11001" width="48.58203125" customWidth="1"/>
    <col min="11002" max="11012" width="17.5" customWidth="1"/>
    <col min="11013" max="11028" width="19" customWidth="1"/>
    <col min="11257" max="11257" width="48.58203125" customWidth="1"/>
    <col min="11258" max="11268" width="17.5" customWidth="1"/>
    <col min="11269" max="11284" width="19" customWidth="1"/>
    <col min="11513" max="11513" width="48.58203125" customWidth="1"/>
    <col min="11514" max="11524" width="17.5" customWidth="1"/>
    <col min="11525" max="11540" width="19" customWidth="1"/>
    <col min="11769" max="11769" width="48.58203125" customWidth="1"/>
    <col min="11770" max="11780" width="17.5" customWidth="1"/>
    <col min="11781" max="11796" width="19" customWidth="1"/>
    <col min="12025" max="12025" width="48.58203125" customWidth="1"/>
    <col min="12026" max="12036" width="17.5" customWidth="1"/>
    <col min="12037" max="12052" width="19" customWidth="1"/>
    <col min="12281" max="12281" width="48.58203125" customWidth="1"/>
    <col min="12282" max="12292" width="17.5" customWidth="1"/>
    <col min="12293" max="12308" width="19" customWidth="1"/>
    <col min="12537" max="12537" width="48.58203125" customWidth="1"/>
    <col min="12538" max="12548" width="17.5" customWidth="1"/>
    <col min="12549" max="12564" width="19" customWidth="1"/>
    <col min="12793" max="12793" width="48.58203125" customWidth="1"/>
    <col min="12794" max="12804" width="17.5" customWidth="1"/>
    <col min="12805" max="12820" width="19" customWidth="1"/>
    <col min="13049" max="13049" width="48.58203125" customWidth="1"/>
    <col min="13050" max="13060" width="17.5" customWidth="1"/>
    <col min="13061" max="13076" width="19" customWidth="1"/>
    <col min="13305" max="13305" width="48.58203125" customWidth="1"/>
    <col min="13306" max="13316" width="17.5" customWidth="1"/>
    <col min="13317" max="13332" width="19" customWidth="1"/>
    <col min="13561" max="13561" width="48.58203125" customWidth="1"/>
    <col min="13562" max="13572" width="17.5" customWidth="1"/>
    <col min="13573" max="13588" width="19" customWidth="1"/>
    <col min="13817" max="13817" width="48.58203125" customWidth="1"/>
    <col min="13818" max="13828" width="17.5" customWidth="1"/>
    <col min="13829" max="13844" width="19" customWidth="1"/>
    <col min="14073" max="14073" width="48.58203125" customWidth="1"/>
    <col min="14074" max="14084" width="17.5" customWidth="1"/>
    <col min="14085" max="14100" width="19" customWidth="1"/>
    <col min="14329" max="14329" width="48.58203125" customWidth="1"/>
    <col min="14330" max="14340" width="17.5" customWidth="1"/>
    <col min="14341" max="14356" width="19" customWidth="1"/>
    <col min="14585" max="14585" width="48.58203125" customWidth="1"/>
    <col min="14586" max="14596" width="17.5" customWidth="1"/>
    <col min="14597" max="14612" width="19" customWidth="1"/>
    <col min="14841" max="14841" width="48.58203125" customWidth="1"/>
    <col min="14842" max="14852" width="17.5" customWidth="1"/>
    <col min="14853" max="14868" width="19" customWidth="1"/>
    <col min="15097" max="15097" width="48.58203125" customWidth="1"/>
    <col min="15098" max="15108" width="17.5" customWidth="1"/>
    <col min="15109" max="15124" width="19" customWidth="1"/>
    <col min="15353" max="15353" width="48.58203125" customWidth="1"/>
    <col min="15354" max="15364" width="17.5" customWidth="1"/>
    <col min="15365" max="15380" width="19" customWidth="1"/>
    <col min="15609" max="15609" width="48.58203125" customWidth="1"/>
    <col min="15610" max="15620" width="17.5" customWidth="1"/>
    <col min="15621" max="15636" width="19" customWidth="1"/>
    <col min="15865" max="15865" width="48.58203125" customWidth="1"/>
    <col min="15866" max="15876" width="17.5" customWidth="1"/>
    <col min="15877" max="15892" width="19" customWidth="1"/>
    <col min="16121" max="16121" width="48.58203125" customWidth="1"/>
    <col min="16122" max="16132" width="17.5" customWidth="1"/>
    <col min="16133" max="16148" width="19" customWidth="1"/>
  </cols>
  <sheetData>
    <row r="1" spans="1:20" ht="14.5" thickBot="1">
      <c r="A1" s="34"/>
      <c r="B1" t="s">
        <v>949</v>
      </c>
      <c r="C1" t="s">
        <v>950</v>
      </c>
      <c r="D1" t="s">
        <v>951</v>
      </c>
      <c r="E1" t="s">
        <v>952</v>
      </c>
      <c r="F1" t="s">
        <v>953</v>
      </c>
      <c r="G1" t="s">
        <v>954</v>
      </c>
      <c r="H1" t="s">
        <v>955</v>
      </c>
      <c r="I1" t="s">
        <v>956</v>
      </c>
      <c r="J1" t="s">
        <v>957</v>
      </c>
      <c r="K1" t="s">
        <v>958</v>
      </c>
      <c r="L1">
        <v>2011</v>
      </c>
      <c r="M1">
        <v>2012</v>
      </c>
      <c r="N1">
        <v>2013</v>
      </c>
      <c r="O1">
        <v>2014</v>
      </c>
      <c r="P1">
        <v>2015</v>
      </c>
      <c r="Q1">
        <v>2016</v>
      </c>
      <c r="R1">
        <v>2017</v>
      </c>
      <c r="S1">
        <v>2018</v>
      </c>
      <c r="T1">
        <v>2019</v>
      </c>
    </row>
    <row r="2" spans="1:20">
      <c r="A2" s="44" t="s">
        <v>968</v>
      </c>
      <c r="B2" s="45" t="s">
        <v>37</v>
      </c>
      <c r="C2" s="45" t="s">
        <v>37</v>
      </c>
      <c r="D2" s="45" t="s">
        <v>37</v>
      </c>
      <c r="E2" s="48">
        <v>2194649</v>
      </c>
      <c r="F2" s="48">
        <v>2393759</v>
      </c>
      <c r="G2" s="48">
        <v>2901953</v>
      </c>
      <c r="H2" s="48">
        <v>3082053</v>
      </c>
      <c r="I2" s="48">
        <v>2987055</v>
      </c>
      <c r="J2" s="48">
        <v>3025879</v>
      </c>
      <c r="K2" s="48">
        <v>3377635</v>
      </c>
      <c r="L2" s="48">
        <v>3471270</v>
      </c>
      <c r="M2" s="48">
        <v>4050264</v>
      </c>
      <c r="N2" s="48">
        <v>4170249</v>
      </c>
      <c r="O2" s="48">
        <v>4630780</v>
      </c>
      <c r="P2" s="48">
        <v>4905273</v>
      </c>
      <c r="Q2" s="48">
        <v>5217613</v>
      </c>
      <c r="R2" s="48">
        <v>5451675</v>
      </c>
      <c r="S2" s="48">
        <v>5568958</v>
      </c>
      <c r="T2" s="48">
        <v>5513459</v>
      </c>
    </row>
    <row r="3" spans="1:20">
      <c r="A3" s="44" t="s">
        <v>969</v>
      </c>
      <c r="B3" s="45" t="s">
        <v>37</v>
      </c>
      <c r="C3" s="45" t="s">
        <v>37</v>
      </c>
      <c r="D3" s="45" t="s">
        <v>37</v>
      </c>
      <c r="E3" s="48">
        <v>2130714</v>
      </c>
      <c r="F3" s="48">
        <v>2302656</v>
      </c>
      <c r="G3" s="48">
        <v>2763056</v>
      </c>
      <c r="H3" s="48">
        <v>2931801</v>
      </c>
      <c r="I3" s="48">
        <v>2935194</v>
      </c>
      <c r="J3" s="48">
        <v>2994306</v>
      </c>
      <c r="K3" s="48">
        <v>3281860</v>
      </c>
      <c r="L3" s="48">
        <v>3356570</v>
      </c>
      <c r="M3" s="48">
        <v>3866501</v>
      </c>
      <c r="N3" s="48">
        <v>3962928</v>
      </c>
      <c r="O3" s="48">
        <v>4407161</v>
      </c>
      <c r="P3" s="48">
        <v>4730803</v>
      </c>
      <c r="Q3" s="48">
        <v>5037799</v>
      </c>
      <c r="R3" s="48">
        <v>5282343</v>
      </c>
      <c r="S3" s="48">
        <v>5446365</v>
      </c>
      <c r="T3" s="48">
        <v>5435326</v>
      </c>
    </row>
    <row r="4" spans="1:20" s="21" customFormat="1">
      <c r="A4" s="173" t="s">
        <v>970</v>
      </c>
      <c r="B4" s="52">
        <v>4</v>
      </c>
      <c r="C4" s="52">
        <v>3</v>
      </c>
      <c r="D4" s="52">
        <v>2.27</v>
      </c>
      <c r="E4" s="52">
        <v>2</v>
      </c>
      <c r="F4" s="52">
        <v>6</v>
      </c>
      <c r="G4" s="52">
        <v>5</v>
      </c>
      <c r="H4" s="52">
        <v>5</v>
      </c>
      <c r="I4" s="52">
        <v>4.4000000000000004</v>
      </c>
      <c r="J4" s="52">
        <v>-0.8</v>
      </c>
      <c r="K4" s="52">
        <v>0.4</v>
      </c>
      <c r="L4" s="52">
        <v>1.3</v>
      </c>
      <c r="M4" s="52">
        <v>7.5</v>
      </c>
      <c r="N4" s="52">
        <v>3.5</v>
      </c>
      <c r="O4" s="52">
        <v>4</v>
      </c>
      <c r="P4" s="52">
        <v>2.2999999999999998</v>
      </c>
      <c r="Q4" s="52">
        <v>3.4</v>
      </c>
      <c r="R4" s="52">
        <v>1.7</v>
      </c>
      <c r="S4" s="52">
        <v>4.4000000000000004</v>
      </c>
      <c r="T4" s="52">
        <v>-0.8</v>
      </c>
    </row>
    <row r="5" spans="1:20">
      <c r="A5" s="44" t="s">
        <v>971</v>
      </c>
      <c r="B5" s="45" t="s">
        <v>37</v>
      </c>
      <c r="C5" s="45" t="s">
        <v>37</v>
      </c>
      <c r="D5" s="45" t="s">
        <v>37</v>
      </c>
      <c r="E5" s="48">
        <v>2194649</v>
      </c>
      <c r="F5" s="48">
        <v>2393759</v>
      </c>
      <c r="G5" s="48">
        <v>2901953</v>
      </c>
      <c r="H5" s="48">
        <v>3082053</v>
      </c>
      <c r="I5" s="48">
        <v>2987055</v>
      </c>
      <c r="J5" s="48">
        <v>3025879</v>
      </c>
      <c r="K5" s="48">
        <v>3377635</v>
      </c>
      <c r="L5" s="48">
        <v>3471270</v>
      </c>
      <c r="M5" s="48">
        <v>4050264</v>
      </c>
      <c r="N5" s="48">
        <v>4170249</v>
      </c>
      <c r="O5" s="48">
        <v>4630780</v>
      </c>
      <c r="P5" s="48">
        <v>4905273</v>
      </c>
      <c r="Q5" s="48">
        <v>5217613</v>
      </c>
      <c r="R5" s="48">
        <v>5451675</v>
      </c>
      <c r="S5" s="48">
        <v>5568958</v>
      </c>
      <c r="T5" s="48">
        <v>5513459</v>
      </c>
    </row>
    <row r="6" spans="1:20">
      <c r="A6" s="44" t="s">
        <v>972</v>
      </c>
      <c r="B6" s="45" t="s">
        <v>37</v>
      </c>
      <c r="C6" s="45" t="s">
        <v>37</v>
      </c>
      <c r="D6" s="45" t="s">
        <v>37</v>
      </c>
      <c r="E6" s="48">
        <v>2130714</v>
      </c>
      <c r="F6" s="48">
        <v>2302656</v>
      </c>
      <c r="G6" s="48">
        <v>2763056</v>
      </c>
      <c r="H6" s="48">
        <v>2931801</v>
      </c>
      <c r="I6" s="48">
        <v>2935194</v>
      </c>
      <c r="J6" s="48">
        <v>2994306</v>
      </c>
      <c r="K6" s="48">
        <v>3281860</v>
      </c>
      <c r="L6" s="48">
        <v>3356570</v>
      </c>
      <c r="M6" s="48">
        <v>3866501</v>
      </c>
      <c r="N6" s="48">
        <v>3962928</v>
      </c>
      <c r="O6" s="48">
        <v>4407161</v>
      </c>
      <c r="P6" s="48">
        <v>4730803</v>
      </c>
      <c r="Q6" s="48">
        <v>5037799</v>
      </c>
      <c r="R6" s="48">
        <v>5282343</v>
      </c>
      <c r="S6" s="48">
        <v>5446365</v>
      </c>
      <c r="T6" s="48">
        <v>5435326</v>
      </c>
    </row>
    <row r="7" spans="1:20" s="21" customFormat="1">
      <c r="A7" s="50" t="s">
        <v>973</v>
      </c>
      <c r="B7" s="52">
        <v>4</v>
      </c>
      <c r="C7" s="51" t="s">
        <v>37</v>
      </c>
      <c r="D7" s="51" t="s">
        <v>37</v>
      </c>
      <c r="E7" s="52">
        <v>3</v>
      </c>
      <c r="F7" s="52">
        <v>4</v>
      </c>
      <c r="G7" s="52">
        <v>5.03</v>
      </c>
      <c r="H7" s="52">
        <v>5.12</v>
      </c>
      <c r="I7" s="52">
        <v>1.77</v>
      </c>
      <c r="J7" s="52">
        <v>1.1000000000000001</v>
      </c>
      <c r="K7" s="52">
        <v>2.9</v>
      </c>
      <c r="L7" s="52">
        <v>3.4</v>
      </c>
      <c r="M7" s="52">
        <v>4.8</v>
      </c>
      <c r="N7" s="52">
        <v>5.2</v>
      </c>
      <c r="O7" s="52">
        <v>5.0999999999999996</v>
      </c>
      <c r="P7" s="52">
        <v>3.7</v>
      </c>
      <c r="Q7" s="52">
        <v>3.6</v>
      </c>
      <c r="R7" s="52">
        <v>3.2</v>
      </c>
      <c r="S7" s="52">
        <v>2.2999999999999998</v>
      </c>
      <c r="T7" s="52">
        <v>1.4</v>
      </c>
    </row>
    <row r="8" spans="1:20" s="21" customFormat="1">
      <c r="A8" s="50" t="s">
        <v>974</v>
      </c>
      <c r="B8" s="52">
        <v>4</v>
      </c>
      <c r="C8" s="52">
        <v>3</v>
      </c>
      <c r="D8" s="52">
        <v>2.27</v>
      </c>
      <c r="E8" s="52">
        <v>2</v>
      </c>
      <c r="F8" s="52">
        <v>6</v>
      </c>
      <c r="G8" s="52">
        <v>5</v>
      </c>
      <c r="H8" s="52">
        <v>5</v>
      </c>
      <c r="I8" s="52">
        <v>4.4000000000000004</v>
      </c>
      <c r="J8" s="52">
        <v>-0.8</v>
      </c>
      <c r="K8" s="52">
        <v>0.4</v>
      </c>
      <c r="L8" s="52">
        <v>1.3</v>
      </c>
      <c r="M8" s="52">
        <v>7.5</v>
      </c>
      <c r="N8" s="52">
        <v>3.5</v>
      </c>
      <c r="O8" s="52">
        <v>4</v>
      </c>
      <c r="P8" s="52">
        <v>2.2999999999999998</v>
      </c>
      <c r="Q8" s="52">
        <v>3.4</v>
      </c>
      <c r="R8" s="52">
        <v>1.7</v>
      </c>
      <c r="S8" s="52">
        <v>4.4000000000000004</v>
      </c>
      <c r="T8" s="52">
        <v>-0.8</v>
      </c>
    </row>
    <row r="9" spans="1:20" s="21" customFormat="1">
      <c r="A9" s="50" t="s">
        <v>975</v>
      </c>
      <c r="B9" s="52"/>
      <c r="C9" s="51"/>
      <c r="D9" s="51"/>
      <c r="E9" s="52"/>
      <c r="F9" s="52"/>
      <c r="G9" s="52"/>
      <c r="H9" s="52"/>
      <c r="I9" s="52"/>
      <c r="J9" s="52"/>
      <c r="K9" s="52"/>
      <c r="L9" s="52"/>
      <c r="M9" s="52"/>
      <c r="N9" s="52"/>
      <c r="O9">
        <v>1.6</v>
      </c>
      <c r="P9">
        <v>0.2</v>
      </c>
      <c r="Q9">
        <v>2.1</v>
      </c>
      <c r="R9">
        <v>-1.2</v>
      </c>
      <c r="S9">
        <v>-3</v>
      </c>
      <c r="T9">
        <v>-5.2</v>
      </c>
    </row>
    <row r="10" spans="1:20" s="21" customFormat="1">
      <c r="A10" s="50" t="s">
        <v>976</v>
      </c>
      <c r="B10" s="52"/>
      <c r="C10" s="51"/>
      <c r="D10" s="51"/>
      <c r="E10" s="52"/>
      <c r="F10" s="52"/>
      <c r="G10" s="52"/>
      <c r="H10" s="52"/>
      <c r="I10" s="52"/>
      <c r="J10" s="52"/>
      <c r="K10" s="52"/>
      <c r="L10">
        <v>1</v>
      </c>
      <c r="M10">
        <v>1.8</v>
      </c>
      <c r="N10">
        <v>2.6</v>
      </c>
      <c r="O10">
        <v>3.1</v>
      </c>
      <c r="P10">
        <v>2.6</v>
      </c>
      <c r="Q10">
        <v>2.2999999999999998</v>
      </c>
      <c r="R10">
        <v>-0.5</v>
      </c>
      <c r="S10">
        <v>0.3</v>
      </c>
      <c r="T10">
        <v>-5.5</v>
      </c>
    </row>
    <row r="11" spans="1:20" s="21" customFormat="1">
      <c r="A11" s="50"/>
      <c r="B11" s="52"/>
      <c r="C11" s="51"/>
      <c r="D11" s="51"/>
      <c r="E11" s="52"/>
      <c r="F11" s="52"/>
      <c r="G11" s="52"/>
      <c r="H11" s="52"/>
      <c r="I11" s="52"/>
      <c r="J11" s="52"/>
      <c r="K11" s="52"/>
      <c r="L11" s="52"/>
      <c r="M11" s="52"/>
      <c r="N11" s="52"/>
      <c r="O11"/>
      <c r="P11"/>
      <c r="Q11"/>
      <c r="R11"/>
      <c r="S11"/>
      <c r="T11"/>
    </row>
    <row r="12" spans="1:20" s="53" customFormat="1">
      <c r="A12" s="173" t="s">
        <v>977</v>
      </c>
      <c r="B12" s="174" t="s">
        <v>37</v>
      </c>
      <c r="C12" s="175">
        <v>88.3</v>
      </c>
      <c r="D12" s="175">
        <v>87.8</v>
      </c>
      <c r="E12" s="175">
        <v>87.1</v>
      </c>
      <c r="F12" s="175">
        <v>89.1</v>
      </c>
      <c r="G12" s="175">
        <v>89.1</v>
      </c>
      <c r="H12" s="175">
        <v>90.2</v>
      </c>
      <c r="I12" s="175">
        <v>90.4</v>
      </c>
      <c r="J12" s="175">
        <v>89</v>
      </c>
      <c r="K12" s="175">
        <v>88.8</v>
      </c>
      <c r="L12" s="175">
        <v>88.8</v>
      </c>
      <c r="M12" s="175">
        <v>90.3</v>
      </c>
      <c r="N12" s="175">
        <v>91.1</v>
      </c>
      <c r="O12" s="175">
        <v>95.4</v>
      </c>
      <c r="P12" s="175">
        <v>95.3</v>
      </c>
      <c r="Q12" s="175">
        <v>94.7</v>
      </c>
      <c r="R12" s="175">
        <v>95</v>
      </c>
      <c r="S12" s="175">
        <v>94.7</v>
      </c>
      <c r="T12" s="175">
        <v>94.3</v>
      </c>
    </row>
    <row r="13" spans="1:20">
      <c r="A13" s="44" t="s">
        <v>978</v>
      </c>
      <c r="B13" s="45" t="s">
        <v>37</v>
      </c>
      <c r="C13" s="49">
        <v>87.9</v>
      </c>
      <c r="D13" s="49">
        <v>88.2</v>
      </c>
      <c r="E13" s="49">
        <v>86.6</v>
      </c>
      <c r="F13" s="49">
        <v>87.4</v>
      </c>
      <c r="G13" s="49">
        <v>89.1</v>
      </c>
      <c r="H13" s="49">
        <v>89.1</v>
      </c>
      <c r="I13" s="49">
        <v>90.3</v>
      </c>
      <c r="J13" s="49">
        <v>90.5</v>
      </c>
      <c r="K13" s="49">
        <v>89.4</v>
      </c>
      <c r="L13" s="49">
        <v>88.8</v>
      </c>
      <c r="M13" s="49">
        <v>88.8</v>
      </c>
      <c r="N13" s="49">
        <v>90.4</v>
      </c>
      <c r="O13" s="49">
        <v>96.3</v>
      </c>
      <c r="P13" s="49">
        <v>94.7</v>
      </c>
      <c r="Q13" s="49">
        <v>95.2</v>
      </c>
      <c r="R13" s="49">
        <v>94.7</v>
      </c>
      <c r="S13" s="49">
        <v>95.7</v>
      </c>
      <c r="T13" s="49">
        <v>94.9</v>
      </c>
    </row>
    <row r="14" spans="1:20" s="21" customFormat="1">
      <c r="A14" s="50" t="s">
        <v>979</v>
      </c>
      <c r="B14" s="51"/>
      <c r="C14" s="52"/>
      <c r="D14" s="52"/>
      <c r="E14" s="52"/>
      <c r="F14" s="52"/>
      <c r="G14" s="52"/>
      <c r="H14" s="52"/>
      <c r="I14" s="52"/>
      <c r="J14" s="52"/>
      <c r="K14" s="52"/>
      <c r="L14" s="54">
        <v>94.5</v>
      </c>
      <c r="M14" s="54">
        <v>94.6</v>
      </c>
      <c r="N14" s="54">
        <v>95.3</v>
      </c>
      <c r="O14" s="54">
        <v>96.9</v>
      </c>
      <c r="P14" s="54">
        <v>97.1</v>
      </c>
      <c r="Q14" s="54">
        <v>96.1</v>
      </c>
      <c r="R14" s="54">
        <v>95.6</v>
      </c>
      <c r="S14" s="54">
        <v>95.9</v>
      </c>
      <c r="T14" s="54">
        <v>95.1</v>
      </c>
    </row>
    <row r="15" spans="1:20" s="21" customFormat="1">
      <c r="A15" s="50" t="s">
        <v>977</v>
      </c>
      <c r="B15" s="51" t="s">
        <v>37</v>
      </c>
      <c r="C15" s="52">
        <v>88.3</v>
      </c>
      <c r="D15" s="52">
        <v>87.8</v>
      </c>
      <c r="E15" s="52">
        <v>87.1</v>
      </c>
      <c r="F15" s="52">
        <v>89.1</v>
      </c>
      <c r="G15" s="52">
        <v>89.1</v>
      </c>
      <c r="H15" s="52">
        <v>90.2</v>
      </c>
      <c r="I15" s="52">
        <v>90.4</v>
      </c>
      <c r="J15" s="52">
        <v>89</v>
      </c>
      <c r="K15" s="52">
        <v>88.8</v>
      </c>
      <c r="L15" s="55">
        <v>88.8</v>
      </c>
      <c r="M15" s="55">
        <v>90.3</v>
      </c>
      <c r="N15" s="55">
        <v>91.1</v>
      </c>
      <c r="O15" s="55">
        <v>95.4</v>
      </c>
      <c r="P15" s="55">
        <v>95.3</v>
      </c>
      <c r="Q15" s="55">
        <v>94.7</v>
      </c>
      <c r="R15" s="55">
        <v>95</v>
      </c>
      <c r="S15" s="55">
        <v>94.7</v>
      </c>
      <c r="T15" s="55">
        <v>94.3</v>
      </c>
    </row>
    <row r="16" spans="1:20" s="21" customFormat="1">
      <c r="A16" s="50" t="s">
        <v>980</v>
      </c>
      <c r="B16" s="51"/>
      <c r="C16" s="52"/>
      <c r="D16" s="52"/>
      <c r="E16" s="52"/>
      <c r="F16" s="52"/>
      <c r="G16" s="52"/>
      <c r="H16" s="52"/>
      <c r="I16" s="52"/>
      <c r="J16" s="52"/>
      <c r="K16" s="52"/>
      <c r="L16" s="55"/>
      <c r="M16" s="55"/>
      <c r="N16" s="55"/>
      <c r="O16" s="55"/>
      <c r="P16" s="7">
        <v>93.4</v>
      </c>
      <c r="Q16" s="7">
        <v>94</v>
      </c>
      <c r="R16" s="7">
        <v>93.1</v>
      </c>
      <c r="S16" s="7">
        <v>93.9</v>
      </c>
      <c r="T16" s="7">
        <v>93.4</v>
      </c>
    </row>
    <row r="17" spans="1:20" s="21" customFormat="1">
      <c r="A17" s="50" t="s">
        <v>981</v>
      </c>
      <c r="B17" s="51"/>
      <c r="C17" s="52"/>
      <c r="D17" s="52"/>
      <c r="E17" s="52"/>
      <c r="F17" s="52"/>
      <c r="G17" s="52"/>
      <c r="H17" s="52"/>
      <c r="I17" s="52"/>
      <c r="J17" s="52"/>
      <c r="K17" s="52"/>
      <c r="L17" s="7">
        <v>93</v>
      </c>
      <c r="M17" s="7">
        <v>94.3</v>
      </c>
      <c r="N17" s="7">
        <v>95</v>
      </c>
      <c r="O17" s="7">
        <v>96.7</v>
      </c>
      <c r="P17" s="7">
        <v>95.4</v>
      </c>
      <c r="Q17" s="7">
        <v>95.9</v>
      </c>
      <c r="R17" s="7">
        <v>95.9</v>
      </c>
      <c r="S17" s="7">
        <v>92.7</v>
      </c>
      <c r="T17" s="7">
        <v>92.6</v>
      </c>
    </row>
    <row r="18" spans="1:20" s="21" customFormat="1">
      <c r="A18" s="50"/>
      <c r="B18" s="51"/>
      <c r="C18" s="52"/>
      <c r="D18" s="52"/>
      <c r="E18" s="52"/>
      <c r="F18" s="52"/>
      <c r="G18" s="52"/>
      <c r="H18" s="52"/>
      <c r="I18" s="52"/>
      <c r="J18" s="52"/>
      <c r="K18" s="52"/>
      <c r="L18" s="7"/>
      <c r="M18" s="7"/>
      <c r="N18" s="7"/>
      <c r="O18" s="7"/>
      <c r="P18" s="7"/>
      <c r="Q18" s="7"/>
      <c r="R18" s="7"/>
      <c r="S18" s="7"/>
      <c r="T18" s="7"/>
    </row>
    <row r="19" spans="1:20" s="21" customFormat="1">
      <c r="A19" s="188" t="s">
        <v>982</v>
      </c>
      <c r="B19" s="51"/>
      <c r="C19" s="52"/>
      <c r="D19" s="52"/>
      <c r="E19" s="52"/>
      <c r="F19" s="52"/>
      <c r="G19" s="52"/>
      <c r="H19" s="52"/>
      <c r="I19" s="52"/>
      <c r="J19" s="52"/>
      <c r="K19" s="52"/>
      <c r="L19" s="7"/>
      <c r="M19" s="7"/>
      <c r="N19" s="7"/>
      <c r="O19" s="7"/>
      <c r="P19" s="7"/>
      <c r="Q19" s="7"/>
      <c r="R19" s="7"/>
      <c r="S19" s="7"/>
      <c r="T19" s="7"/>
    </row>
    <row r="20" spans="1:20" s="21" customFormat="1">
      <c r="A20" s="50"/>
      <c r="B20" s="51"/>
      <c r="C20" s="52"/>
      <c r="D20" s="52"/>
      <c r="E20" s="52"/>
      <c r="F20" s="52"/>
      <c r="G20" s="52"/>
      <c r="H20" s="52"/>
      <c r="I20" s="52"/>
      <c r="J20" s="52"/>
      <c r="K20" s="52"/>
      <c r="L20" s="7"/>
      <c r="M20" s="7"/>
      <c r="N20" s="7"/>
      <c r="O20" s="7"/>
      <c r="P20" s="7"/>
      <c r="Q20" s="7"/>
      <c r="R20" s="7"/>
      <c r="S20" s="7"/>
      <c r="T20" s="7"/>
    </row>
    <row r="21" spans="1:20" s="21" customFormat="1">
      <c r="A21" s="50"/>
      <c r="B21" s="51"/>
      <c r="C21" s="52"/>
      <c r="D21" s="52"/>
      <c r="E21" s="52"/>
      <c r="F21" s="52"/>
      <c r="G21" s="52"/>
      <c r="H21" s="52"/>
      <c r="I21" s="52"/>
      <c r="J21" s="52"/>
      <c r="K21" s="52"/>
      <c r="L21" s="7"/>
      <c r="M21" s="7"/>
      <c r="N21" s="7"/>
      <c r="O21" s="7"/>
      <c r="P21" s="7"/>
      <c r="Q21" s="7"/>
      <c r="R21" s="7"/>
      <c r="S21" s="7"/>
      <c r="T21" s="7"/>
    </row>
    <row r="22" spans="1:20">
      <c r="A22" s="44"/>
      <c r="B22" s="45"/>
      <c r="C22" s="49"/>
      <c r="D22" s="49"/>
      <c r="E22" s="49"/>
      <c r="F22" s="49"/>
      <c r="G22" s="49"/>
      <c r="H22" s="49"/>
      <c r="I22" s="49"/>
      <c r="J22" s="49"/>
      <c r="K22" s="49"/>
      <c r="L22" s="49"/>
      <c r="M22" s="49"/>
      <c r="N22" s="49"/>
      <c r="O22" s="49"/>
      <c r="P22" s="49"/>
      <c r="Q22" s="49"/>
      <c r="R22" s="49"/>
      <c r="S22" s="49"/>
      <c r="T22" s="49"/>
    </row>
    <row r="23" spans="1:20">
      <c r="A23" s="44" t="s">
        <v>983</v>
      </c>
      <c r="B23" s="45">
        <v>668068</v>
      </c>
      <c r="C23" s="45">
        <v>819982</v>
      </c>
      <c r="D23" s="45">
        <v>937754</v>
      </c>
      <c r="E23" s="45">
        <v>1050011</v>
      </c>
      <c r="F23" s="45">
        <v>1148128</v>
      </c>
      <c r="G23" s="45">
        <v>1352810</v>
      </c>
      <c r="H23" s="45">
        <v>1536212</v>
      </c>
      <c r="I23" s="45">
        <v>2158979</v>
      </c>
      <c r="J23" s="45">
        <v>2158872</v>
      </c>
      <c r="K23" s="45">
        <v>2382453</v>
      </c>
      <c r="L23" s="45">
        <v>2586680</v>
      </c>
      <c r="M23" s="45">
        <v>2818269</v>
      </c>
      <c r="N23" s="45">
        <v>3114468</v>
      </c>
      <c r="O23" s="45">
        <v>3635585</v>
      </c>
      <c r="P23" s="45">
        <v>4141630</v>
      </c>
      <c r="Q23" s="45">
        <v>4639187</v>
      </c>
      <c r="R23" s="45">
        <v>5125133</v>
      </c>
      <c r="S23" s="45">
        <v>6129353</v>
      </c>
      <c r="T23" s="45">
        <v>6808895</v>
      </c>
    </row>
    <row r="24" spans="1:20">
      <c r="A24" s="44" t="s">
        <v>711</v>
      </c>
      <c r="B24" s="46">
        <v>37256</v>
      </c>
      <c r="C24" s="46">
        <v>37621</v>
      </c>
      <c r="D24" s="46">
        <v>37986</v>
      </c>
      <c r="E24" s="46">
        <v>38352</v>
      </c>
      <c r="F24" s="46">
        <v>38717</v>
      </c>
      <c r="G24" s="46">
        <v>39082</v>
      </c>
      <c r="H24" s="46">
        <v>39447</v>
      </c>
      <c r="I24" s="46">
        <v>39813</v>
      </c>
      <c r="J24" s="46">
        <v>40178</v>
      </c>
      <c r="K24" s="46">
        <v>40543</v>
      </c>
      <c r="L24" s="46">
        <v>40908</v>
      </c>
      <c r="M24" s="46">
        <v>41274</v>
      </c>
      <c r="N24" s="46">
        <v>41639</v>
      </c>
      <c r="O24" s="46">
        <v>42004</v>
      </c>
      <c r="P24" s="46">
        <v>42369</v>
      </c>
      <c r="Q24" s="46">
        <v>42735</v>
      </c>
      <c r="R24" s="46">
        <v>43100</v>
      </c>
      <c r="S24" s="46">
        <v>43465</v>
      </c>
      <c r="T24" s="46">
        <v>43830</v>
      </c>
    </row>
    <row r="25" spans="1:20">
      <c r="A25" s="44" t="s">
        <v>984</v>
      </c>
      <c r="B25" s="45" t="s">
        <v>34</v>
      </c>
      <c r="C25" s="45" t="s">
        <v>34</v>
      </c>
      <c r="D25" s="45" t="s">
        <v>34</v>
      </c>
      <c r="E25" s="45" t="s">
        <v>34</v>
      </c>
      <c r="F25" s="45" t="s">
        <v>34</v>
      </c>
      <c r="G25" s="45" t="s">
        <v>34</v>
      </c>
      <c r="H25" s="45" t="s">
        <v>34</v>
      </c>
      <c r="I25" s="45" t="s">
        <v>35</v>
      </c>
      <c r="J25" s="45" t="s">
        <v>34</v>
      </c>
      <c r="K25" s="45" t="s">
        <v>34</v>
      </c>
      <c r="L25" s="45" t="s">
        <v>34</v>
      </c>
      <c r="M25" s="45" t="s">
        <v>34</v>
      </c>
      <c r="N25" s="45" t="s">
        <v>34</v>
      </c>
      <c r="O25" s="45" t="s">
        <v>34</v>
      </c>
      <c r="P25" s="45" t="s">
        <v>34</v>
      </c>
      <c r="Q25" s="45" t="s">
        <v>34</v>
      </c>
      <c r="R25" s="45" t="s">
        <v>34</v>
      </c>
      <c r="S25" s="45" t="s">
        <v>34</v>
      </c>
      <c r="T25" s="45" t="s">
        <v>34</v>
      </c>
    </row>
    <row r="26" spans="1:20">
      <c r="A26" s="44" t="s">
        <v>30</v>
      </c>
      <c r="B26" s="45"/>
      <c r="C26" s="45"/>
      <c r="D26" s="45"/>
      <c r="E26" s="45"/>
      <c r="F26" s="45"/>
      <c r="G26" s="45"/>
      <c r="H26" s="45"/>
      <c r="I26" s="45"/>
      <c r="J26" s="45"/>
      <c r="K26" s="45"/>
      <c r="L26" s="45"/>
      <c r="M26" s="45"/>
      <c r="N26" s="45"/>
      <c r="O26" s="45"/>
      <c r="P26" s="45"/>
      <c r="Q26" s="45"/>
      <c r="R26" s="45"/>
      <c r="S26" s="45"/>
      <c r="T26" s="45"/>
    </row>
    <row r="27" spans="1:20">
      <c r="A27" s="44" t="s">
        <v>985</v>
      </c>
      <c r="B27" s="45"/>
      <c r="C27" s="45"/>
      <c r="D27" s="45"/>
      <c r="E27" s="45"/>
      <c r="F27" s="45"/>
      <c r="G27" s="45"/>
      <c r="H27" s="45"/>
      <c r="I27" s="45"/>
      <c r="J27" s="45"/>
      <c r="K27" s="45"/>
      <c r="L27" s="45"/>
      <c r="M27" s="45"/>
      <c r="N27" s="45"/>
      <c r="O27" s="45"/>
      <c r="P27" s="45"/>
      <c r="Q27" s="45"/>
      <c r="R27" s="45"/>
      <c r="S27" s="45"/>
      <c r="T27" s="45"/>
    </row>
    <row r="28" spans="1:20">
      <c r="A28" s="44" t="s">
        <v>36</v>
      </c>
      <c r="B28" s="45" t="s">
        <v>37</v>
      </c>
      <c r="C28" s="45" t="s">
        <v>37</v>
      </c>
      <c r="D28" s="45" t="s">
        <v>37</v>
      </c>
      <c r="E28" s="45" t="s">
        <v>37</v>
      </c>
      <c r="F28" s="45" t="s">
        <v>37</v>
      </c>
      <c r="G28" s="45" t="s">
        <v>37</v>
      </c>
      <c r="H28" s="45" t="s">
        <v>37</v>
      </c>
      <c r="I28" s="46">
        <v>39814</v>
      </c>
      <c r="J28" s="45" t="s">
        <v>37</v>
      </c>
      <c r="K28" s="45" t="s">
        <v>37</v>
      </c>
      <c r="L28" s="45" t="s">
        <v>37</v>
      </c>
      <c r="M28" s="45" t="s">
        <v>37</v>
      </c>
      <c r="N28" s="45" t="s">
        <v>37</v>
      </c>
      <c r="O28" s="45" t="s">
        <v>37</v>
      </c>
      <c r="P28" s="45" t="s">
        <v>37</v>
      </c>
      <c r="Q28" s="45" t="s">
        <v>37</v>
      </c>
      <c r="R28" s="45" t="s">
        <v>37</v>
      </c>
      <c r="S28" s="45" t="s">
        <v>37</v>
      </c>
      <c r="T28" s="45" t="s">
        <v>37</v>
      </c>
    </row>
    <row r="29" spans="1:20" ht="42">
      <c r="A29" s="44" t="s">
        <v>986</v>
      </c>
      <c r="B29" s="47" t="s">
        <v>37</v>
      </c>
      <c r="C29" s="47" t="s">
        <v>987</v>
      </c>
      <c r="D29" s="47" t="s">
        <v>987</v>
      </c>
      <c r="E29" s="47" t="s">
        <v>987</v>
      </c>
      <c r="F29" s="47" t="s">
        <v>987</v>
      </c>
      <c r="G29" s="47" t="s">
        <v>987</v>
      </c>
      <c r="H29" s="47" t="s">
        <v>987</v>
      </c>
      <c r="I29" s="47" t="s">
        <v>987</v>
      </c>
      <c r="J29" s="47" t="s">
        <v>987</v>
      </c>
      <c r="K29" s="47" t="s">
        <v>987</v>
      </c>
      <c r="L29" s="47" t="s">
        <v>987</v>
      </c>
      <c r="M29" s="47" t="s">
        <v>987</v>
      </c>
      <c r="N29" s="47" t="s">
        <v>987</v>
      </c>
      <c r="O29" s="47" t="s">
        <v>987</v>
      </c>
      <c r="P29" s="47" t="s">
        <v>987</v>
      </c>
      <c r="Q29" s="47" t="s">
        <v>988</v>
      </c>
      <c r="R29" s="47" t="s">
        <v>988</v>
      </c>
      <c r="S29" s="47" t="s">
        <v>988</v>
      </c>
      <c r="T29" s="47" t="s">
        <v>988</v>
      </c>
    </row>
    <row r="30" spans="1:20">
      <c r="A30" s="44" t="s">
        <v>989</v>
      </c>
      <c r="B30" s="45" t="s">
        <v>37</v>
      </c>
      <c r="C30" s="45" t="s">
        <v>37</v>
      </c>
      <c r="D30" s="48">
        <v>309131</v>
      </c>
      <c r="E30" s="48">
        <v>438943</v>
      </c>
      <c r="F30" s="48">
        <v>477985</v>
      </c>
      <c r="G30" s="48">
        <v>496646</v>
      </c>
      <c r="H30" s="48">
        <v>538693</v>
      </c>
      <c r="I30" s="48">
        <v>574531</v>
      </c>
      <c r="J30" s="48">
        <v>582691</v>
      </c>
      <c r="K30" s="48">
        <v>579788</v>
      </c>
      <c r="L30" s="48">
        <v>587067</v>
      </c>
      <c r="M30" s="48">
        <v>630842</v>
      </c>
      <c r="N30" s="48">
        <v>675435</v>
      </c>
      <c r="O30" s="48">
        <v>588621</v>
      </c>
      <c r="P30" s="48">
        <v>596766</v>
      </c>
      <c r="Q30" s="48">
        <v>613486</v>
      </c>
      <c r="R30" s="48">
        <v>623996</v>
      </c>
      <c r="S30" s="48">
        <v>757785</v>
      </c>
      <c r="T30" s="48">
        <v>768249</v>
      </c>
    </row>
    <row r="31" spans="1:20">
      <c r="A31" s="44" t="s">
        <v>990</v>
      </c>
      <c r="B31" s="45" t="s">
        <v>37</v>
      </c>
      <c r="C31" s="45" t="s">
        <v>37</v>
      </c>
      <c r="D31" s="48">
        <v>302282</v>
      </c>
      <c r="E31" s="48">
        <v>431073</v>
      </c>
      <c r="F31" s="48">
        <v>450881</v>
      </c>
      <c r="G31" s="48">
        <v>472792</v>
      </c>
      <c r="H31" s="48">
        <v>513083</v>
      </c>
      <c r="I31" s="48">
        <v>550225</v>
      </c>
      <c r="J31" s="48">
        <v>587377</v>
      </c>
      <c r="K31" s="48">
        <v>577532</v>
      </c>
      <c r="L31" s="48">
        <v>579788</v>
      </c>
      <c r="M31" s="48">
        <v>587067</v>
      </c>
      <c r="N31" s="48">
        <v>652537</v>
      </c>
      <c r="O31" s="48">
        <v>565995</v>
      </c>
      <c r="P31" s="48">
        <v>583193</v>
      </c>
      <c r="Q31" s="48">
        <v>593254</v>
      </c>
      <c r="R31" s="48">
        <v>613486</v>
      </c>
      <c r="S31" s="48">
        <v>726068</v>
      </c>
      <c r="T31" s="48">
        <v>774255</v>
      </c>
    </row>
    <row r="32" spans="1:20" s="21" customFormat="1">
      <c r="A32" s="50" t="s">
        <v>991</v>
      </c>
      <c r="B32" s="51" t="s">
        <v>37</v>
      </c>
      <c r="C32" s="52">
        <v>3</v>
      </c>
      <c r="D32" s="52">
        <v>2.27</v>
      </c>
      <c r="E32" s="52">
        <v>2</v>
      </c>
      <c r="F32" s="52">
        <v>6</v>
      </c>
      <c r="G32" s="52">
        <v>5</v>
      </c>
      <c r="H32" s="52">
        <v>5</v>
      </c>
      <c r="I32" s="52">
        <v>4.4000000000000004</v>
      </c>
      <c r="J32" s="52">
        <v>-0.8</v>
      </c>
      <c r="K32" s="52">
        <v>0.4</v>
      </c>
      <c r="L32" s="52">
        <v>1.3</v>
      </c>
      <c r="M32" s="52">
        <v>7.5</v>
      </c>
      <c r="N32" s="52">
        <v>3.5</v>
      </c>
      <c r="O32" s="52">
        <v>4</v>
      </c>
      <c r="P32" s="52">
        <v>2.2999999999999998</v>
      </c>
      <c r="Q32" s="52">
        <v>3.4</v>
      </c>
      <c r="R32" s="52">
        <v>1.7</v>
      </c>
      <c r="S32" s="52">
        <v>4.4000000000000004</v>
      </c>
      <c r="T32" s="52">
        <v>-0.8</v>
      </c>
    </row>
    <row r="33" spans="1:20">
      <c r="A33" s="44" t="s">
        <v>992</v>
      </c>
      <c r="B33" s="45" t="s">
        <v>37</v>
      </c>
      <c r="C33" s="45" t="s">
        <v>37</v>
      </c>
      <c r="D33" s="45" t="s">
        <v>37</v>
      </c>
      <c r="E33" s="45" t="s">
        <v>37</v>
      </c>
      <c r="F33" s="45" t="s">
        <v>37</v>
      </c>
      <c r="G33" s="45" t="s">
        <v>37</v>
      </c>
      <c r="H33" s="45" t="s">
        <v>37</v>
      </c>
      <c r="I33" s="45" t="s">
        <v>37</v>
      </c>
      <c r="J33" s="45" t="s">
        <v>37</v>
      </c>
      <c r="K33" s="45" t="s">
        <v>37</v>
      </c>
      <c r="L33" s="45" t="s">
        <v>37</v>
      </c>
      <c r="M33" s="45" t="s">
        <v>37</v>
      </c>
      <c r="N33" s="45" t="s">
        <v>37</v>
      </c>
      <c r="O33" s="45" t="s">
        <v>37</v>
      </c>
      <c r="P33" s="45" t="s">
        <v>37</v>
      </c>
      <c r="Q33" s="45" t="s">
        <v>37</v>
      </c>
      <c r="R33" s="45" t="s">
        <v>37</v>
      </c>
      <c r="S33" s="45" t="s">
        <v>37</v>
      </c>
      <c r="T33" s="45" t="s">
        <v>37</v>
      </c>
    </row>
    <row r="34" spans="1:20">
      <c r="A34" s="44" t="s">
        <v>993</v>
      </c>
      <c r="B34" s="45" t="s">
        <v>37</v>
      </c>
      <c r="C34" s="45" t="s">
        <v>37</v>
      </c>
      <c r="D34" s="45" t="s">
        <v>37</v>
      </c>
      <c r="E34" s="45" t="s">
        <v>37</v>
      </c>
      <c r="F34" s="45" t="s">
        <v>37</v>
      </c>
      <c r="G34" s="45" t="s">
        <v>37</v>
      </c>
      <c r="H34" s="45" t="s">
        <v>37</v>
      </c>
      <c r="I34" s="45" t="s">
        <v>37</v>
      </c>
      <c r="J34" s="45" t="s">
        <v>37</v>
      </c>
      <c r="K34" s="45" t="s">
        <v>37</v>
      </c>
      <c r="L34" s="45" t="s">
        <v>37</v>
      </c>
      <c r="M34" s="45" t="s">
        <v>37</v>
      </c>
      <c r="N34" s="45" t="s">
        <v>37</v>
      </c>
      <c r="O34" s="45" t="s">
        <v>37</v>
      </c>
      <c r="P34" s="45" t="s">
        <v>37</v>
      </c>
      <c r="Q34" s="45" t="s">
        <v>37</v>
      </c>
      <c r="R34" s="45" t="s">
        <v>37</v>
      </c>
      <c r="S34" s="45" t="s">
        <v>37</v>
      </c>
      <c r="T34" s="45" t="s">
        <v>37</v>
      </c>
    </row>
    <row r="35" spans="1:20">
      <c r="A35" s="44" t="s">
        <v>994</v>
      </c>
      <c r="B35" s="45" t="s">
        <v>37</v>
      </c>
      <c r="C35" s="45" t="s">
        <v>37</v>
      </c>
      <c r="D35" s="45" t="s">
        <v>37</v>
      </c>
      <c r="E35" s="45" t="s">
        <v>37</v>
      </c>
      <c r="F35" s="45" t="s">
        <v>37</v>
      </c>
      <c r="G35" s="45" t="s">
        <v>37</v>
      </c>
      <c r="H35" s="45" t="s">
        <v>37</v>
      </c>
      <c r="I35" s="45" t="s">
        <v>37</v>
      </c>
      <c r="J35" s="45" t="s">
        <v>37</v>
      </c>
      <c r="K35" s="45" t="s">
        <v>37</v>
      </c>
      <c r="L35" s="45" t="s">
        <v>37</v>
      </c>
      <c r="M35" s="45" t="s">
        <v>37</v>
      </c>
      <c r="N35" s="45" t="s">
        <v>37</v>
      </c>
      <c r="O35" s="45" t="s">
        <v>37</v>
      </c>
      <c r="P35" s="45" t="s">
        <v>37</v>
      </c>
      <c r="Q35" s="45" t="s">
        <v>37</v>
      </c>
      <c r="R35" s="45" t="s">
        <v>37</v>
      </c>
      <c r="S35" s="45" t="s">
        <v>37</v>
      </c>
      <c r="T35" s="45" t="s">
        <v>37</v>
      </c>
    </row>
    <row r="36" spans="1:20">
      <c r="A36" s="44" t="s">
        <v>995</v>
      </c>
      <c r="B36" s="45" t="s">
        <v>37</v>
      </c>
      <c r="C36" s="45" t="s">
        <v>37</v>
      </c>
      <c r="D36" s="45" t="s">
        <v>37</v>
      </c>
      <c r="E36" s="45" t="s">
        <v>37</v>
      </c>
      <c r="F36" s="45" t="s">
        <v>37</v>
      </c>
      <c r="G36" s="45" t="s">
        <v>37</v>
      </c>
      <c r="H36" s="45" t="s">
        <v>37</v>
      </c>
      <c r="I36" s="45" t="s">
        <v>37</v>
      </c>
      <c r="J36" s="45" t="s">
        <v>37</v>
      </c>
      <c r="K36" s="45" t="s">
        <v>37</v>
      </c>
      <c r="L36" s="45" t="s">
        <v>37</v>
      </c>
      <c r="M36" s="45" t="s">
        <v>37</v>
      </c>
      <c r="N36" s="45" t="s">
        <v>37</v>
      </c>
      <c r="O36" s="45" t="s">
        <v>37</v>
      </c>
      <c r="P36" s="45" t="s">
        <v>37</v>
      </c>
      <c r="Q36" s="45" t="s">
        <v>37</v>
      </c>
      <c r="R36" s="45" t="s">
        <v>37</v>
      </c>
      <c r="S36" s="45" t="s">
        <v>37</v>
      </c>
      <c r="T36" s="45" t="s">
        <v>37</v>
      </c>
    </row>
    <row r="37" spans="1:20">
      <c r="A37" s="44" t="s">
        <v>996</v>
      </c>
      <c r="B37" s="45" t="s">
        <v>37</v>
      </c>
      <c r="C37" s="45" t="s">
        <v>37</v>
      </c>
      <c r="D37" s="45" t="s">
        <v>37</v>
      </c>
      <c r="E37" s="45" t="s">
        <v>37</v>
      </c>
      <c r="F37" s="45" t="s">
        <v>37</v>
      </c>
      <c r="G37" s="45" t="s">
        <v>37</v>
      </c>
      <c r="H37" s="45" t="s">
        <v>37</v>
      </c>
      <c r="I37" s="45" t="s">
        <v>37</v>
      </c>
      <c r="J37" s="45" t="s">
        <v>37</v>
      </c>
      <c r="K37" s="45" t="s">
        <v>37</v>
      </c>
      <c r="L37" s="45" t="s">
        <v>37</v>
      </c>
      <c r="M37" s="45" t="s">
        <v>37</v>
      </c>
      <c r="N37" s="45" t="s">
        <v>37</v>
      </c>
      <c r="O37" s="45" t="s">
        <v>37</v>
      </c>
      <c r="P37" s="45" t="s">
        <v>37</v>
      </c>
      <c r="Q37" s="45" t="s">
        <v>37</v>
      </c>
      <c r="R37" s="45" t="s">
        <v>37</v>
      </c>
      <c r="S37" s="45" t="s">
        <v>37</v>
      </c>
      <c r="T37" s="45" t="s">
        <v>37</v>
      </c>
    </row>
    <row r="38" spans="1:20">
      <c r="A38" s="44" t="s">
        <v>997</v>
      </c>
      <c r="B38" s="45" t="s">
        <v>37</v>
      </c>
      <c r="C38" s="45" t="s">
        <v>37</v>
      </c>
      <c r="D38" s="45" t="s">
        <v>37</v>
      </c>
      <c r="E38" s="45" t="s">
        <v>37</v>
      </c>
      <c r="F38" s="45" t="s">
        <v>37</v>
      </c>
      <c r="G38" s="45" t="s">
        <v>37</v>
      </c>
      <c r="H38" s="45" t="s">
        <v>37</v>
      </c>
      <c r="I38" s="45" t="s">
        <v>37</v>
      </c>
      <c r="J38" s="45" t="s">
        <v>37</v>
      </c>
      <c r="K38" s="45" t="s">
        <v>37</v>
      </c>
      <c r="L38" s="45" t="s">
        <v>37</v>
      </c>
      <c r="M38" s="45" t="s">
        <v>37</v>
      </c>
      <c r="N38" s="45" t="s">
        <v>37</v>
      </c>
      <c r="O38" s="45" t="s">
        <v>37</v>
      </c>
      <c r="P38" s="45" t="s">
        <v>37</v>
      </c>
      <c r="Q38" s="45" t="s">
        <v>37</v>
      </c>
      <c r="R38" s="45" t="s">
        <v>37</v>
      </c>
      <c r="S38" s="45" t="s">
        <v>37</v>
      </c>
      <c r="T38" s="45" t="s">
        <v>37</v>
      </c>
    </row>
    <row r="39" spans="1:20">
      <c r="A39" s="44" t="s">
        <v>998</v>
      </c>
      <c r="B39" s="45" t="s">
        <v>37</v>
      </c>
      <c r="C39" s="45" t="s">
        <v>37</v>
      </c>
      <c r="D39" s="45" t="s">
        <v>37</v>
      </c>
      <c r="E39" s="45" t="s">
        <v>37</v>
      </c>
      <c r="F39" s="45" t="s">
        <v>37</v>
      </c>
      <c r="G39" s="45" t="s">
        <v>37</v>
      </c>
      <c r="H39" s="45" t="s">
        <v>37</v>
      </c>
      <c r="I39" s="45" t="s">
        <v>37</v>
      </c>
      <c r="J39" s="45" t="s">
        <v>37</v>
      </c>
      <c r="K39" s="45" t="s">
        <v>37</v>
      </c>
      <c r="L39" s="45" t="s">
        <v>37</v>
      </c>
      <c r="M39" s="45" t="s">
        <v>37</v>
      </c>
      <c r="N39" s="45" t="s">
        <v>37</v>
      </c>
      <c r="O39" s="45" t="s">
        <v>37</v>
      </c>
      <c r="P39" s="45" t="s">
        <v>37</v>
      </c>
      <c r="Q39" s="48">
        <v>61.07</v>
      </c>
      <c r="R39" s="48">
        <v>61.66</v>
      </c>
      <c r="S39" s="48">
        <v>57.51</v>
      </c>
      <c r="T39" s="48">
        <v>56.12</v>
      </c>
    </row>
    <row r="40" spans="1:20">
      <c r="A40" s="44" t="s">
        <v>999</v>
      </c>
      <c r="B40" s="45" t="s">
        <v>37</v>
      </c>
      <c r="C40" s="45" t="s">
        <v>37</v>
      </c>
      <c r="D40" s="45" t="s">
        <v>37</v>
      </c>
      <c r="E40" s="45" t="s">
        <v>37</v>
      </c>
      <c r="F40" s="45" t="s">
        <v>37</v>
      </c>
      <c r="G40" s="45" t="s">
        <v>37</v>
      </c>
      <c r="H40" s="45" t="s">
        <v>37</v>
      </c>
      <c r="I40" s="45" t="s">
        <v>37</v>
      </c>
      <c r="J40" s="45" t="s">
        <v>37</v>
      </c>
      <c r="K40" s="45" t="s">
        <v>37</v>
      </c>
      <c r="L40" s="45" t="s">
        <v>37</v>
      </c>
      <c r="M40" s="45" t="s">
        <v>37</v>
      </c>
      <c r="N40" s="45" t="s">
        <v>37</v>
      </c>
      <c r="O40" s="45" t="s">
        <v>37</v>
      </c>
      <c r="P40" s="45" t="s">
        <v>37</v>
      </c>
      <c r="Q40" s="48">
        <v>59.41</v>
      </c>
      <c r="R40" s="48">
        <v>61.07</v>
      </c>
      <c r="S40" s="48">
        <v>55.36</v>
      </c>
      <c r="T40" s="48">
        <v>55.24</v>
      </c>
    </row>
    <row r="41" spans="1:20">
      <c r="A41" s="44" t="s">
        <v>1000</v>
      </c>
      <c r="B41" s="45" t="s">
        <v>37</v>
      </c>
      <c r="C41" s="45" t="s">
        <v>37</v>
      </c>
      <c r="D41" s="45" t="s">
        <v>37</v>
      </c>
      <c r="E41" s="45" t="s">
        <v>37</v>
      </c>
      <c r="F41" s="45" t="s">
        <v>37</v>
      </c>
      <c r="G41" s="45" t="s">
        <v>37</v>
      </c>
      <c r="H41" s="45" t="s">
        <v>37</v>
      </c>
      <c r="I41" s="45" t="s">
        <v>37</v>
      </c>
      <c r="J41" s="45" t="s">
        <v>37</v>
      </c>
      <c r="K41" s="45" t="s">
        <v>37</v>
      </c>
      <c r="L41" s="45" t="s">
        <v>37</v>
      </c>
      <c r="M41" s="45" t="s">
        <v>37</v>
      </c>
      <c r="N41" s="45" t="s">
        <v>37</v>
      </c>
      <c r="O41" s="45" t="s">
        <v>37</v>
      </c>
      <c r="P41" s="45" t="s">
        <v>37</v>
      </c>
      <c r="Q41" s="49">
        <v>2.8</v>
      </c>
      <c r="R41" s="49">
        <v>1</v>
      </c>
      <c r="S41" s="49">
        <v>3.9</v>
      </c>
      <c r="T41" s="49">
        <v>1.6</v>
      </c>
    </row>
    <row r="42" spans="1:20">
      <c r="A42" s="44" t="s">
        <v>1001</v>
      </c>
      <c r="B42" s="45" t="s">
        <v>37</v>
      </c>
      <c r="C42" s="49">
        <v>88.3</v>
      </c>
      <c r="D42" s="49">
        <v>87.8</v>
      </c>
      <c r="E42" s="49">
        <v>87.1</v>
      </c>
      <c r="F42" s="49">
        <v>89.1</v>
      </c>
      <c r="G42" s="49">
        <v>89.1</v>
      </c>
      <c r="H42" s="49">
        <v>90.2</v>
      </c>
      <c r="I42" s="49">
        <v>90.4</v>
      </c>
      <c r="J42" s="49">
        <v>89</v>
      </c>
      <c r="K42" s="49">
        <v>88.8</v>
      </c>
      <c r="L42" s="49">
        <v>88.8</v>
      </c>
      <c r="M42" s="49">
        <v>90.3</v>
      </c>
      <c r="N42" s="49">
        <v>91.1</v>
      </c>
      <c r="O42" s="49">
        <v>95.4</v>
      </c>
      <c r="P42" s="49">
        <v>95.3</v>
      </c>
      <c r="Q42" s="49">
        <v>94.7</v>
      </c>
      <c r="R42" s="49">
        <v>95</v>
      </c>
      <c r="S42" s="49">
        <v>94.7</v>
      </c>
      <c r="T42" s="49">
        <v>94.3</v>
      </c>
    </row>
    <row r="43" spans="1:20">
      <c r="A43" s="44" t="s">
        <v>1002</v>
      </c>
      <c r="B43" s="45" t="s">
        <v>37</v>
      </c>
      <c r="C43" s="49">
        <v>87.9</v>
      </c>
      <c r="D43" s="49">
        <v>88.2</v>
      </c>
      <c r="E43" s="49">
        <v>86.6</v>
      </c>
      <c r="F43" s="49">
        <v>87.4</v>
      </c>
      <c r="G43" s="49">
        <v>89.1</v>
      </c>
      <c r="H43" s="49">
        <v>89.1</v>
      </c>
      <c r="I43" s="49">
        <v>90.3</v>
      </c>
      <c r="J43" s="49">
        <v>90.5</v>
      </c>
      <c r="K43" s="49">
        <v>89.4</v>
      </c>
      <c r="L43" s="49">
        <v>88.8</v>
      </c>
      <c r="M43" s="49">
        <v>88.8</v>
      </c>
      <c r="N43" s="49">
        <v>90.4</v>
      </c>
      <c r="O43" s="49">
        <v>96.3</v>
      </c>
      <c r="P43" s="49">
        <v>94.7</v>
      </c>
      <c r="Q43" s="49">
        <v>95.2</v>
      </c>
      <c r="R43" s="49">
        <v>94.7</v>
      </c>
      <c r="S43" s="49">
        <v>95.7</v>
      </c>
      <c r="T43" s="49">
        <v>94.9</v>
      </c>
    </row>
    <row r="44" spans="1:20">
      <c r="A44" s="44" t="s">
        <v>1003</v>
      </c>
      <c r="B44" s="45" t="s">
        <v>37</v>
      </c>
      <c r="C44" s="45" t="s">
        <v>37</v>
      </c>
      <c r="D44" s="45" t="s">
        <v>37</v>
      </c>
      <c r="E44" s="45" t="s">
        <v>37</v>
      </c>
      <c r="F44" s="45" t="s">
        <v>37</v>
      </c>
      <c r="G44" s="45" t="s">
        <v>37</v>
      </c>
      <c r="H44" s="45" t="s">
        <v>37</v>
      </c>
      <c r="I44" s="45" t="s">
        <v>37</v>
      </c>
      <c r="J44" s="45" t="s">
        <v>37</v>
      </c>
      <c r="K44" s="45" t="s">
        <v>37</v>
      </c>
      <c r="L44" s="45" t="s">
        <v>37</v>
      </c>
      <c r="M44" s="45" t="s">
        <v>37</v>
      </c>
      <c r="N44" s="45" t="s">
        <v>37</v>
      </c>
      <c r="O44" s="45" t="s">
        <v>37</v>
      </c>
      <c r="P44" s="45" t="s">
        <v>37</v>
      </c>
      <c r="Q44" s="45" t="s">
        <v>37</v>
      </c>
      <c r="R44" s="45" t="s">
        <v>37</v>
      </c>
      <c r="S44" s="45" t="s">
        <v>37</v>
      </c>
      <c r="T44" s="45" t="s">
        <v>37</v>
      </c>
    </row>
    <row r="45" spans="1:20">
      <c r="A45" s="44" t="s">
        <v>1004</v>
      </c>
      <c r="B45" s="45" t="s">
        <v>37</v>
      </c>
      <c r="C45" s="45" t="s">
        <v>37</v>
      </c>
      <c r="D45" s="45" t="s">
        <v>37</v>
      </c>
      <c r="E45" s="45" t="s">
        <v>37</v>
      </c>
      <c r="F45" s="45" t="s">
        <v>37</v>
      </c>
      <c r="G45" s="45" t="s">
        <v>37</v>
      </c>
      <c r="H45" s="45" t="s">
        <v>37</v>
      </c>
      <c r="I45" s="45" t="s">
        <v>37</v>
      </c>
      <c r="J45" s="45" t="s">
        <v>37</v>
      </c>
      <c r="K45" s="45" t="s">
        <v>37</v>
      </c>
      <c r="L45" s="45" t="s">
        <v>37</v>
      </c>
      <c r="M45" s="45" t="s">
        <v>37</v>
      </c>
      <c r="N45" s="45" t="s">
        <v>37</v>
      </c>
      <c r="O45" s="45" t="s">
        <v>37</v>
      </c>
      <c r="P45" s="45" t="s">
        <v>37</v>
      </c>
      <c r="Q45" s="45" t="s">
        <v>37</v>
      </c>
      <c r="R45" s="45" t="s">
        <v>37</v>
      </c>
      <c r="S45" s="45" t="s">
        <v>37</v>
      </c>
      <c r="T45" s="45" t="s">
        <v>37</v>
      </c>
    </row>
    <row r="46" spans="1:20">
      <c r="A46" s="44" t="s">
        <v>1005</v>
      </c>
      <c r="B46" s="45" t="s">
        <v>37</v>
      </c>
      <c r="C46" s="45" t="s">
        <v>37</v>
      </c>
      <c r="D46" s="45" t="s">
        <v>37</v>
      </c>
      <c r="E46" s="45" t="s">
        <v>37</v>
      </c>
      <c r="F46" s="45" t="s">
        <v>37</v>
      </c>
      <c r="G46" s="45" t="s">
        <v>37</v>
      </c>
      <c r="H46" s="45" t="s">
        <v>37</v>
      </c>
      <c r="I46" s="45" t="s">
        <v>37</v>
      </c>
      <c r="J46" s="45" t="s">
        <v>37</v>
      </c>
      <c r="K46" s="45" t="s">
        <v>37</v>
      </c>
      <c r="L46" s="45" t="s">
        <v>37</v>
      </c>
      <c r="M46" s="45" t="s">
        <v>37</v>
      </c>
      <c r="N46" s="45" t="s">
        <v>37</v>
      </c>
      <c r="O46" s="45" t="s">
        <v>37</v>
      </c>
      <c r="P46" s="45" t="s">
        <v>37</v>
      </c>
      <c r="Q46" s="45" t="s">
        <v>37</v>
      </c>
      <c r="R46" s="45" t="s">
        <v>37</v>
      </c>
      <c r="S46" s="45" t="s">
        <v>37</v>
      </c>
      <c r="T46" s="45" t="s">
        <v>37</v>
      </c>
    </row>
    <row r="47" spans="1:20">
      <c r="A47" s="44" t="s">
        <v>1006</v>
      </c>
      <c r="B47" s="45" t="s">
        <v>37</v>
      </c>
      <c r="C47" s="45" t="s">
        <v>37</v>
      </c>
      <c r="D47" s="45" t="s">
        <v>37</v>
      </c>
      <c r="E47" s="45" t="s">
        <v>37</v>
      </c>
      <c r="F47" s="45" t="s">
        <v>37</v>
      </c>
      <c r="G47" s="45" t="s">
        <v>37</v>
      </c>
      <c r="H47" s="45" t="s">
        <v>37</v>
      </c>
      <c r="I47" s="45" t="s">
        <v>37</v>
      </c>
      <c r="J47" s="45" t="s">
        <v>37</v>
      </c>
      <c r="K47" s="45" t="s">
        <v>37</v>
      </c>
      <c r="L47" s="45" t="s">
        <v>37</v>
      </c>
      <c r="M47" s="45" t="s">
        <v>37</v>
      </c>
      <c r="N47" s="45" t="s">
        <v>37</v>
      </c>
      <c r="O47" s="45" t="s">
        <v>37</v>
      </c>
      <c r="P47" s="45" t="s">
        <v>37</v>
      </c>
      <c r="Q47" s="45" t="s">
        <v>37</v>
      </c>
      <c r="R47" s="45" t="s">
        <v>37</v>
      </c>
      <c r="S47" s="45" t="s">
        <v>37</v>
      </c>
      <c r="T47" s="45" t="s">
        <v>37</v>
      </c>
    </row>
    <row r="48" spans="1:20">
      <c r="A48" s="44" t="s">
        <v>30</v>
      </c>
      <c r="B48" s="45"/>
      <c r="C48" s="45"/>
      <c r="D48" s="45"/>
      <c r="E48" s="45"/>
      <c r="F48" s="45"/>
      <c r="G48" s="45"/>
      <c r="H48" s="45"/>
      <c r="I48" s="45"/>
      <c r="J48" s="45"/>
      <c r="K48" s="45"/>
      <c r="L48" s="45"/>
      <c r="M48" s="45"/>
      <c r="N48" s="45"/>
      <c r="O48" s="45"/>
      <c r="P48" s="45"/>
      <c r="Q48" s="45"/>
      <c r="R48" s="45"/>
      <c r="S48" s="45"/>
      <c r="T48" s="45"/>
    </row>
    <row r="49" spans="1:20">
      <c r="A49" s="44" t="s">
        <v>1007</v>
      </c>
      <c r="B49" s="45" t="s">
        <v>37</v>
      </c>
      <c r="C49" s="45" t="s">
        <v>37</v>
      </c>
      <c r="D49" s="45" t="s">
        <v>37</v>
      </c>
      <c r="E49" s="45" t="s">
        <v>37</v>
      </c>
      <c r="F49" s="45" t="s">
        <v>37</v>
      </c>
      <c r="G49" s="45" t="s">
        <v>37</v>
      </c>
      <c r="H49" s="45" t="s">
        <v>37</v>
      </c>
      <c r="I49" s="45" t="s">
        <v>37</v>
      </c>
      <c r="J49" s="45" t="s">
        <v>37</v>
      </c>
      <c r="K49" s="45" t="s">
        <v>37</v>
      </c>
      <c r="L49" s="45" t="s">
        <v>37</v>
      </c>
      <c r="M49" s="45" t="s">
        <v>37</v>
      </c>
      <c r="N49" s="45" t="s">
        <v>37</v>
      </c>
      <c r="O49" s="45" t="s">
        <v>37</v>
      </c>
      <c r="P49" s="45" t="s">
        <v>37</v>
      </c>
      <c r="Q49" s="45" t="s">
        <v>37</v>
      </c>
      <c r="R49" s="45" t="s">
        <v>37</v>
      </c>
      <c r="S49" s="45" t="s">
        <v>37</v>
      </c>
      <c r="T49" s="45" t="s">
        <v>37</v>
      </c>
    </row>
    <row r="50" spans="1:20">
      <c r="A50" s="44" t="s">
        <v>1008</v>
      </c>
      <c r="B50" s="45" t="s">
        <v>37</v>
      </c>
      <c r="C50" s="45" t="s">
        <v>37</v>
      </c>
      <c r="D50" s="45" t="s">
        <v>37</v>
      </c>
      <c r="E50" s="45" t="s">
        <v>37</v>
      </c>
      <c r="F50" s="45" t="s">
        <v>37</v>
      </c>
      <c r="G50" s="45" t="s">
        <v>37</v>
      </c>
      <c r="H50" s="45" t="s">
        <v>37</v>
      </c>
      <c r="I50" s="45" t="s">
        <v>37</v>
      </c>
      <c r="J50" s="45" t="s">
        <v>37</v>
      </c>
      <c r="K50" s="45" t="s">
        <v>37</v>
      </c>
      <c r="L50" s="45" t="s">
        <v>37</v>
      </c>
      <c r="M50" s="45" t="s">
        <v>37</v>
      </c>
      <c r="N50" s="45" t="s">
        <v>37</v>
      </c>
      <c r="O50" s="45" t="s">
        <v>37</v>
      </c>
      <c r="P50" s="45" t="s">
        <v>37</v>
      </c>
      <c r="Q50" s="45" t="s">
        <v>37</v>
      </c>
      <c r="R50" s="45" t="s">
        <v>37</v>
      </c>
      <c r="S50" s="45" t="s">
        <v>37</v>
      </c>
      <c r="T50" s="45" t="s">
        <v>37</v>
      </c>
    </row>
    <row r="51" spans="1:20">
      <c r="A51" s="44" t="s">
        <v>1009</v>
      </c>
      <c r="B51" s="45" t="s">
        <v>37</v>
      </c>
      <c r="C51" s="45" t="s">
        <v>37</v>
      </c>
      <c r="D51" s="45" t="s">
        <v>37</v>
      </c>
      <c r="E51" s="45" t="s">
        <v>37</v>
      </c>
      <c r="F51" s="45" t="s">
        <v>37</v>
      </c>
      <c r="G51" s="45" t="s">
        <v>37</v>
      </c>
      <c r="H51" s="45" t="s">
        <v>37</v>
      </c>
      <c r="I51" s="45" t="s">
        <v>37</v>
      </c>
      <c r="J51" s="45" t="s">
        <v>37</v>
      </c>
      <c r="K51" s="45" t="s">
        <v>37</v>
      </c>
      <c r="L51" s="45" t="s">
        <v>37</v>
      </c>
      <c r="M51" s="45" t="s">
        <v>37</v>
      </c>
      <c r="N51" s="45" t="s">
        <v>37</v>
      </c>
      <c r="O51" s="45" t="s">
        <v>37</v>
      </c>
      <c r="P51" s="45" t="s">
        <v>37</v>
      </c>
      <c r="Q51" s="45" t="s">
        <v>37</v>
      </c>
      <c r="R51" s="45" t="s">
        <v>37</v>
      </c>
      <c r="S51" s="45" t="s">
        <v>37</v>
      </c>
      <c r="T51" s="45" t="s">
        <v>37</v>
      </c>
    </row>
    <row r="52" spans="1:20">
      <c r="A52" s="44" t="s">
        <v>1010</v>
      </c>
      <c r="B52" s="45" t="s">
        <v>37</v>
      </c>
      <c r="C52" s="45" t="s">
        <v>37</v>
      </c>
      <c r="D52" s="45" t="s">
        <v>37</v>
      </c>
      <c r="E52" s="45" t="s">
        <v>37</v>
      </c>
      <c r="F52" s="45" t="s">
        <v>37</v>
      </c>
      <c r="G52" s="45" t="s">
        <v>37</v>
      </c>
      <c r="H52" s="45" t="s">
        <v>37</v>
      </c>
      <c r="I52" s="45" t="s">
        <v>37</v>
      </c>
      <c r="J52" s="45" t="s">
        <v>37</v>
      </c>
      <c r="K52" s="45" t="s">
        <v>37</v>
      </c>
      <c r="L52" s="45" t="s">
        <v>37</v>
      </c>
      <c r="M52" s="45" t="s">
        <v>37</v>
      </c>
      <c r="N52" s="45" t="s">
        <v>37</v>
      </c>
      <c r="O52" s="45" t="s">
        <v>37</v>
      </c>
      <c r="P52" s="45" t="s">
        <v>37</v>
      </c>
      <c r="Q52" s="45" t="s">
        <v>37</v>
      </c>
      <c r="R52" s="45" t="s">
        <v>37</v>
      </c>
      <c r="S52" s="45" t="s">
        <v>37</v>
      </c>
      <c r="T52" s="45" t="s">
        <v>37</v>
      </c>
    </row>
    <row r="53" spans="1:20">
      <c r="A53" s="44" t="s">
        <v>1011</v>
      </c>
      <c r="B53" s="45" t="s">
        <v>37</v>
      </c>
      <c r="C53" s="45" t="s">
        <v>37</v>
      </c>
      <c r="D53" s="45" t="s">
        <v>37</v>
      </c>
      <c r="E53" s="45" t="s">
        <v>37</v>
      </c>
      <c r="F53" s="45" t="s">
        <v>37</v>
      </c>
      <c r="G53" s="45" t="s">
        <v>37</v>
      </c>
      <c r="H53" s="45" t="s">
        <v>37</v>
      </c>
      <c r="I53" s="45" t="s">
        <v>37</v>
      </c>
      <c r="J53" s="45" t="s">
        <v>37</v>
      </c>
      <c r="K53" s="45" t="s">
        <v>37</v>
      </c>
      <c r="L53" s="45" t="s">
        <v>37</v>
      </c>
      <c r="M53" s="45" t="s">
        <v>37</v>
      </c>
      <c r="N53" s="45" t="s">
        <v>37</v>
      </c>
      <c r="O53" s="45" t="s">
        <v>37</v>
      </c>
      <c r="P53" s="45" t="s">
        <v>37</v>
      </c>
      <c r="Q53" s="45" t="s">
        <v>37</v>
      </c>
      <c r="R53" s="45" t="s">
        <v>37</v>
      </c>
      <c r="S53" s="45" t="s">
        <v>37</v>
      </c>
      <c r="T53" s="45" t="s">
        <v>37</v>
      </c>
    </row>
    <row r="54" spans="1:20">
      <c r="A54" s="44" t="s">
        <v>1012</v>
      </c>
      <c r="B54" s="45" t="s">
        <v>37</v>
      </c>
      <c r="C54" s="45" t="s">
        <v>37</v>
      </c>
      <c r="D54" s="45" t="s">
        <v>37</v>
      </c>
      <c r="E54" s="45" t="s">
        <v>37</v>
      </c>
      <c r="F54" s="45" t="s">
        <v>37</v>
      </c>
      <c r="G54" s="45" t="s">
        <v>37</v>
      </c>
      <c r="H54" s="45" t="s">
        <v>37</v>
      </c>
      <c r="I54" s="45" t="s">
        <v>37</v>
      </c>
      <c r="J54" s="45" t="s">
        <v>37</v>
      </c>
      <c r="K54" s="45" t="s">
        <v>37</v>
      </c>
      <c r="L54" s="45" t="s">
        <v>37</v>
      </c>
      <c r="M54" s="45" t="s">
        <v>37</v>
      </c>
      <c r="N54" s="45" t="s">
        <v>37</v>
      </c>
      <c r="O54" s="45" t="s">
        <v>37</v>
      </c>
      <c r="P54" s="45" t="s">
        <v>37</v>
      </c>
      <c r="Q54" s="45" t="s">
        <v>37</v>
      </c>
      <c r="R54" s="45" t="s">
        <v>37</v>
      </c>
      <c r="S54" s="45" t="s">
        <v>37</v>
      </c>
      <c r="T54" s="45" t="s">
        <v>37</v>
      </c>
    </row>
    <row r="55" spans="1:20">
      <c r="A55" s="329"/>
    </row>
    <row r="56" spans="1:20">
      <c r="A56" s="534" t="s">
        <v>228</v>
      </c>
    </row>
    <row r="57" spans="1:20">
      <c r="A57" s="533"/>
    </row>
    <row r="58" spans="1:20">
      <c r="A58" s="533"/>
    </row>
    <row r="59" spans="1:20">
      <c r="A59" s="533"/>
    </row>
    <row r="60" spans="1:20">
      <c r="A60" s="11"/>
    </row>
    <row r="61" spans="1:20" ht="30" customHeight="1">
      <c r="A61" s="533" t="s">
        <v>1013</v>
      </c>
      <c r="B61" s="533"/>
      <c r="C61" s="533"/>
      <c r="D61" s="533"/>
      <c r="E61" s="533"/>
      <c r="F61" s="533"/>
      <c r="G61" s="533"/>
      <c r="H61" s="533"/>
      <c r="I61" s="533"/>
      <c r="J61" s="533"/>
      <c r="K61" s="533"/>
      <c r="L61" s="533"/>
      <c r="M61" s="533"/>
      <c r="N61" s="533"/>
      <c r="O61" s="533"/>
      <c r="P61" s="533"/>
      <c r="Q61" s="533"/>
      <c r="R61" s="533"/>
      <c r="S61" s="533"/>
      <c r="T61" s="533"/>
    </row>
    <row r="62" spans="1:20">
      <c r="A62" s="44" t="s">
        <v>1014</v>
      </c>
    </row>
    <row r="64" spans="1:20">
      <c r="A64" s="44" t="s">
        <v>1015</v>
      </c>
    </row>
    <row r="65" spans="1:20">
      <c r="A65" s="44" t="s">
        <v>232</v>
      </c>
    </row>
    <row r="66" spans="1:20">
      <c r="A66" s="44" t="s">
        <v>233</v>
      </c>
    </row>
    <row r="67" spans="1:20">
      <c r="A67" s="44" t="s">
        <v>1016</v>
      </c>
    </row>
    <row r="68" spans="1:20">
      <c r="A68" s="534"/>
      <c r="B68" s="533"/>
      <c r="C68" s="533"/>
      <c r="D68" s="533"/>
      <c r="E68" s="533"/>
      <c r="F68" s="533"/>
      <c r="G68" s="533"/>
      <c r="H68" s="533"/>
      <c r="I68" s="533"/>
      <c r="J68" s="533"/>
      <c r="K68" s="533"/>
      <c r="L68" s="533"/>
      <c r="M68" s="533"/>
      <c r="N68" s="533"/>
      <c r="O68" s="533"/>
      <c r="P68" s="533"/>
      <c r="Q68" s="533"/>
      <c r="R68" s="533"/>
      <c r="S68" s="533"/>
      <c r="T68" s="533"/>
    </row>
    <row r="69" spans="1:20" ht="30" customHeight="1">
      <c r="A69" s="533" t="s">
        <v>1017</v>
      </c>
      <c r="B69" s="533"/>
      <c r="C69" s="533"/>
      <c r="D69" s="533"/>
      <c r="E69" s="533"/>
      <c r="F69" s="533"/>
      <c r="G69" s="533"/>
      <c r="H69" s="533"/>
      <c r="I69" s="533"/>
      <c r="J69" s="533"/>
      <c r="K69" s="533"/>
      <c r="L69" s="533"/>
      <c r="M69" s="533"/>
      <c r="N69" s="533"/>
      <c r="O69" s="533"/>
      <c r="P69" s="533"/>
      <c r="Q69" s="533"/>
      <c r="R69" s="533"/>
      <c r="S69" s="533"/>
      <c r="T69" s="533"/>
    </row>
    <row r="70" spans="1:20">
      <c r="A70" s="44" t="s">
        <v>1018</v>
      </c>
    </row>
    <row r="72" spans="1:20">
      <c r="A72" s="44" t="s">
        <v>1015</v>
      </c>
    </row>
    <row r="73" spans="1:20">
      <c r="A73" s="44" t="s">
        <v>232</v>
      </c>
    </row>
    <row r="74" spans="1:20">
      <c r="A74" s="44" t="s">
        <v>233</v>
      </c>
    </row>
    <row r="75" spans="1:20">
      <c r="A75" s="44" t="s">
        <v>1016</v>
      </c>
    </row>
    <row r="76" spans="1:20">
      <c r="A76" s="534"/>
      <c r="B76" s="533"/>
      <c r="C76" s="533"/>
      <c r="D76" s="533"/>
      <c r="E76" s="533"/>
      <c r="F76" s="533"/>
      <c r="G76" s="533"/>
      <c r="H76" s="533"/>
      <c r="I76" s="533"/>
      <c r="J76" s="533"/>
      <c r="K76" s="533"/>
      <c r="L76" s="533"/>
      <c r="M76" s="533"/>
      <c r="N76" s="533"/>
      <c r="O76" s="533"/>
      <c r="P76" s="533"/>
      <c r="Q76" s="533"/>
      <c r="R76" s="533"/>
      <c r="S76" s="533"/>
      <c r="T76" s="533"/>
    </row>
    <row r="77" spans="1:20" ht="14.5" thickBot="1">
      <c r="A77" s="34"/>
      <c r="B77" t="s">
        <v>949</v>
      </c>
      <c r="C77" t="s">
        <v>950</v>
      </c>
      <c r="D77" t="s">
        <v>951</v>
      </c>
      <c r="E77" t="s">
        <v>952</v>
      </c>
      <c r="F77" t="s">
        <v>953</v>
      </c>
      <c r="G77" t="s">
        <v>954</v>
      </c>
      <c r="H77" t="s">
        <v>955</v>
      </c>
      <c r="I77" t="s">
        <v>956</v>
      </c>
      <c r="J77" t="s">
        <v>957</v>
      </c>
      <c r="K77" t="s">
        <v>958</v>
      </c>
      <c r="L77" t="s">
        <v>959</v>
      </c>
      <c r="M77" t="s">
        <v>960</v>
      </c>
      <c r="N77" t="s">
        <v>961</v>
      </c>
      <c r="O77" t="s">
        <v>962</v>
      </c>
      <c r="P77" t="s">
        <v>963</v>
      </c>
      <c r="Q77" t="s">
        <v>964</v>
      </c>
      <c r="R77" t="s">
        <v>965</v>
      </c>
      <c r="S77" t="s">
        <v>966</v>
      </c>
      <c r="T77" t="s">
        <v>967</v>
      </c>
    </row>
    <row r="78" spans="1:20">
      <c r="A78" s="44" t="s">
        <v>983</v>
      </c>
      <c r="B78" s="45">
        <v>668040</v>
      </c>
      <c r="C78" s="45">
        <v>812821</v>
      </c>
      <c r="D78" s="45">
        <v>937604</v>
      </c>
      <c r="E78" s="45">
        <v>1050685</v>
      </c>
      <c r="F78" s="45">
        <v>1147834</v>
      </c>
      <c r="G78" s="45">
        <v>1351915</v>
      </c>
      <c r="H78" s="45">
        <v>2037889</v>
      </c>
      <c r="I78" s="45">
        <v>2037756</v>
      </c>
      <c r="J78" s="45">
        <v>2156829</v>
      </c>
      <c r="K78" s="45">
        <v>2379469</v>
      </c>
      <c r="L78" s="45">
        <v>2584296</v>
      </c>
      <c r="M78" s="45">
        <v>2811853</v>
      </c>
      <c r="N78" s="45">
        <v>3099565</v>
      </c>
      <c r="O78" s="45">
        <v>3612817</v>
      </c>
      <c r="P78" s="45">
        <v>4125219</v>
      </c>
      <c r="Q78" s="45">
        <v>4623919</v>
      </c>
      <c r="R78" s="45">
        <v>5112928</v>
      </c>
      <c r="S78" s="45">
        <v>6108619</v>
      </c>
      <c r="T78" s="45">
        <v>6509151</v>
      </c>
    </row>
    <row r="79" spans="1:20">
      <c r="A79" s="44" t="s">
        <v>711</v>
      </c>
      <c r="B79" s="46">
        <v>37256</v>
      </c>
      <c r="C79" s="46">
        <v>37621</v>
      </c>
      <c r="D79" s="46">
        <v>37986</v>
      </c>
      <c r="E79" s="46">
        <v>38352</v>
      </c>
      <c r="F79" s="46">
        <v>38717</v>
      </c>
      <c r="G79" s="46">
        <v>39082</v>
      </c>
      <c r="H79" s="46">
        <v>39447</v>
      </c>
      <c r="I79" s="46">
        <v>39813</v>
      </c>
      <c r="J79" s="46">
        <v>40178</v>
      </c>
      <c r="K79" s="46">
        <v>40543</v>
      </c>
      <c r="L79" s="46">
        <v>40908</v>
      </c>
      <c r="M79" s="46">
        <v>41274</v>
      </c>
      <c r="N79" s="46">
        <v>41639</v>
      </c>
      <c r="O79" s="46">
        <v>42004</v>
      </c>
      <c r="P79" s="46">
        <v>42369</v>
      </c>
      <c r="Q79" s="46">
        <v>42735</v>
      </c>
      <c r="R79" s="46">
        <v>43100</v>
      </c>
      <c r="S79" s="46">
        <v>43465</v>
      </c>
      <c r="T79" s="46">
        <v>43830</v>
      </c>
    </row>
    <row r="80" spans="1:20">
      <c r="A80" s="44" t="s">
        <v>984</v>
      </c>
      <c r="B80" s="45" t="s">
        <v>34</v>
      </c>
      <c r="C80" s="45" t="s">
        <v>34</v>
      </c>
      <c r="D80" s="45" t="s">
        <v>34</v>
      </c>
      <c r="E80" s="45" t="s">
        <v>34</v>
      </c>
      <c r="F80" s="45" t="s">
        <v>34</v>
      </c>
      <c r="G80" s="45" t="s">
        <v>34</v>
      </c>
      <c r="H80" s="45" t="s">
        <v>35</v>
      </c>
      <c r="I80" s="45" t="s">
        <v>35</v>
      </c>
      <c r="J80" s="45" t="s">
        <v>34</v>
      </c>
      <c r="K80" s="45" t="s">
        <v>34</v>
      </c>
      <c r="L80" s="45" t="s">
        <v>34</v>
      </c>
      <c r="M80" s="45" t="s">
        <v>34</v>
      </c>
      <c r="N80" s="45" t="s">
        <v>34</v>
      </c>
      <c r="O80" s="45" t="s">
        <v>34</v>
      </c>
      <c r="P80" s="45" t="s">
        <v>34</v>
      </c>
      <c r="Q80" s="45" t="s">
        <v>34</v>
      </c>
      <c r="R80" s="45" t="s">
        <v>34</v>
      </c>
      <c r="S80" s="45" t="s">
        <v>34</v>
      </c>
      <c r="T80" s="45" t="s">
        <v>34</v>
      </c>
    </row>
    <row r="81" spans="1:20">
      <c r="A81" s="44" t="s">
        <v>30</v>
      </c>
      <c r="B81" s="45"/>
      <c r="C81" s="45"/>
      <c r="D81" s="45"/>
      <c r="E81" s="45"/>
      <c r="F81" s="45"/>
      <c r="G81" s="45"/>
      <c r="H81" s="45"/>
      <c r="I81" s="45"/>
      <c r="J81" s="45"/>
      <c r="K81" s="45"/>
      <c r="L81" s="45"/>
      <c r="M81" s="45"/>
      <c r="N81" s="45"/>
      <c r="O81" s="45"/>
      <c r="P81" s="45"/>
      <c r="Q81" s="45"/>
      <c r="R81" s="45"/>
      <c r="S81" s="45"/>
      <c r="T81" s="45"/>
    </row>
    <row r="82" spans="1:20">
      <c r="A82" s="44" t="s">
        <v>985</v>
      </c>
      <c r="B82" s="45"/>
      <c r="C82" s="45"/>
      <c r="D82" s="45"/>
      <c r="E82" s="45"/>
      <c r="F82" s="45"/>
      <c r="G82" s="45"/>
      <c r="H82" s="45"/>
      <c r="I82" s="45"/>
      <c r="J82" s="45"/>
      <c r="K82" s="45"/>
      <c r="L82" s="45"/>
      <c r="M82" s="45"/>
      <c r="N82" s="45"/>
      <c r="O82" s="45"/>
      <c r="P82" s="45"/>
      <c r="Q82" s="45"/>
      <c r="R82" s="45"/>
      <c r="S82" s="45"/>
      <c r="T82" s="45"/>
    </row>
    <row r="83" spans="1:20">
      <c r="A83" s="44" t="s">
        <v>36</v>
      </c>
      <c r="B83" s="45" t="s">
        <v>37</v>
      </c>
      <c r="C83" s="45" t="s">
        <v>37</v>
      </c>
      <c r="D83" s="45" t="s">
        <v>37</v>
      </c>
      <c r="E83" s="45" t="s">
        <v>37</v>
      </c>
      <c r="F83" s="45" t="s">
        <v>37</v>
      </c>
      <c r="G83" s="45" t="s">
        <v>37</v>
      </c>
      <c r="H83" s="46">
        <v>39814</v>
      </c>
      <c r="I83" s="46">
        <v>39814</v>
      </c>
      <c r="J83" s="45" t="s">
        <v>37</v>
      </c>
      <c r="K83" s="45" t="s">
        <v>37</v>
      </c>
      <c r="L83" s="45" t="s">
        <v>37</v>
      </c>
      <c r="M83" s="45" t="s">
        <v>37</v>
      </c>
      <c r="N83" s="45" t="s">
        <v>37</v>
      </c>
      <c r="O83" s="45" t="s">
        <v>37</v>
      </c>
      <c r="P83" s="45" t="s">
        <v>37</v>
      </c>
      <c r="Q83" s="45" t="s">
        <v>37</v>
      </c>
      <c r="R83" s="45" t="s">
        <v>37</v>
      </c>
      <c r="S83" s="45" t="s">
        <v>37</v>
      </c>
      <c r="T83" s="45" t="s">
        <v>37</v>
      </c>
    </row>
    <row r="84" spans="1:20" ht="25.5" customHeight="1">
      <c r="A84" s="44" t="s">
        <v>986</v>
      </c>
      <c r="B84" s="47" t="s">
        <v>37</v>
      </c>
      <c r="C84" s="47" t="s">
        <v>37</v>
      </c>
      <c r="D84" s="47" t="s">
        <v>37</v>
      </c>
      <c r="E84" s="47" t="s">
        <v>1019</v>
      </c>
      <c r="F84" s="47" t="s">
        <v>1019</v>
      </c>
      <c r="G84" s="47" t="s">
        <v>1019</v>
      </c>
      <c r="H84" s="47" t="s">
        <v>1019</v>
      </c>
      <c r="I84" s="47" t="s">
        <v>1019</v>
      </c>
      <c r="J84" s="47" t="s">
        <v>1019</v>
      </c>
      <c r="K84" s="47" t="s">
        <v>1019</v>
      </c>
      <c r="L84" s="47" t="s">
        <v>1019</v>
      </c>
      <c r="M84" s="47" t="s">
        <v>1019</v>
      </c>
      <c r="N84" s="47" t="s">
        <v>1019</v>
      </c>
      <c r="O84" s="47" t="s">
        <v>988</v>
      </c>
      <c r="P84" s="47" t="s">
        <v>988</v>
      </c>
      <c r="Q84" s="47" t="s">
        <v>988</v>
      </c>
      <c r="R84" s="47" t="s">
        <v>988</v>
      </c>
      <c r="S84" s="47" t="s">
        <v>988</v>
      </c>
      <c r="T84" s="47" t="s">
        <v>988</v>
      </c>
    </row>
    <row r="85" spans="1:20">
      <c r="A85" s="44" t="s">
        <v>989</v>
      </c>
      <c r="B85" s="45" t="s">
        <v>37</v>
      </c>
      <c r="C85" s="45" t="s">
        <v>37</v>
      </c>
      <c r="D85" s="45" t="s">
        <v>37</v>
      </c>
      <c r="E85" s="48">
        <v>2194649</v>
      </c>
      <c r="F85" s="48">
        <v>2393759</v>
      </c>
      <c r="G85" s="48">
        <v>2901953</v>
      </c>
      <c r="H85" s="48">
        <v>3082053</v>
      </c>
      <c r="I85" s="48">
        <v>2987055</v>
      </c>
      <c r="J85" s="48">
        <v>3025879</v>
      </c>
      <c r="K85" s="48">
        <v>3377635</v>
      </c>
      <c r="L85" s="48">
        <v>3471270</v>
      </c>
      <c r="M85" s="48">
        <v>4050264</v>
      </c>
      <c r="N85" s="48">
        <v>4170249</v>
      </c>
      <c r="O85" s="48">
        <v>4630780</v>
      </c>
      <c r="P85" s="48">
        <v>4905273</v>
      </c>
      <c r="Q85" s="48">
        <v>5217613</v>
      </c>
      <c r="R85" s="48">
        <v>5451675</v>
      </c>
      <c r="S85" s="48">
        <v>5568958</v>
      </c>
      <c r="T85" s="48">
        <v>5513459</v>
      </c>
    </row>
    <row r="86" spans="1:20">
      <c r="A86" s="44" t="s">
        <v>990</v>
      </c>
      <c r="B86" s="45" t="s">
        <v>37</v>
      </c>
      <c r="C86" s="45" t="s">
        <v>37</v>
      </c>
      <c r="D86" s="45" t="s">
        <v>37</v>
      </c>
      <c r="E86" s="48">
        <v>2130714</v>
      </c>
      <c r="F86" s="48">
        <v>2302656</v>
      </c>
      <c r="G86" s="48">
        <v>2763056</v>
      </c>
      <c r="H86" s="48">
        <v>2931801</v>
      </c>
      <c r="I86" s="48">
        <v>2935194</v>
      </c>
      <c r="J86" s="48">
        <v>2994306</v>
      </c>
      <c r="K86" s="48">
        <v>3281860</v>
      </c>
      <c r="L86" s="48">
        <v>3356570</v>
      </c>
      <c r="M86" s="48">
        <v>3866501</v>
      </c>
      <c r="N86" s="48">
        <v>3962928</v>
      </c>
      <c r="O86" s="48">
        <v>4407161</v>
      </c>
      <c r="P86" s="48">
        <v>4730803</v>
      </c>
      <c r="Q86" s="48">
        <v>5037799</v>
      </c>
      <c r="R86" s="48">
        <v>5282343</v>
      </c>
      <c r="S86" s="48">
        <v>5446365</v>
      </c>
      <c r="T86" s="48">
        <v>5435326</v>
      </c>
    </row>
    <row r="87" spans="1:20">
      <c r="A87" s="44" t="s">
        <v>991</v>
      </c>
      <c r="B87" s="49">
        <v>4</v>
      </c>
      <c r="C87" s="45" t="s">
        <v>37</v>
      </c>
      <c r="D87" s="45" t="s">
        <v>37</v>
      </c>
      <c r="E87" s="49">
        <v>3</v>
      </c>
      <c r="F87" s="49">
        <v>4</v>
      </c>
      <c r="G87" s="49">
        <v>5.03</v>
      </c>
      <c r="H87" s="49">
        <v>5.12</v>
      </c>
      <c r="I87" s="49">
        <v>1.77</v>
      </c>
      <c r="J87" s="49">
        <v>1.1000000000000001</v>
      </c>
      <c r="K87" s="49">
        <v>2.9</v>
      </c>
      <c r="L87" s="49">
        <v>3.4</v>
      </c>
      <c r="M87" s="49">
        <v>4.8</v>
      </c>
      <c r="N87" s="49">
        <v>5.2</v>
      </c>
      <c r="O87" s="49">
        <v>5.0999999999999996</v>
      </c>
      <c r="P87" s="49">
        <v>3.7</v>
      </c>
      <c r="Q87" s="49">
        <v>3.6</v>
      </c>
      <c r="R87" s="49">
        <v>3.2</v>
      </c>
      <c r="S87" s="49">
        <v>2.2999999999999998</v>
      </c>
      <c r="T87" s="49">
        <v>1.4</v>
      </c>
    </row>
    <row r="88" spans="1:20">
      <c r="A88" s="44" t="s">
        <v>992</v>
      </c>
      <c r="B88" s="45" t="s">
        <v>37</v>
      </c>
      <c r="C88" s="45" t="s">
        <v>37</v>
      </c>
      <c r="D88" s="45" t="s">
        <v>37</v>
      </c>
      <c r="E88" s="45" t="s">
        <v>37</v>
      </c>
      <c r="F88" s="45" t="s">
        <v>37</v>
      </c>
      <c r="G88" s="45" t="s">
        <v>37</v>
      </c>
      <c r="H88" s="45" t="s">
        <v>37</v>
      </c>
      <c r="I88" s="45" t="s">
        <v>37</v>
      </c>
      <c r="J88" s="45" t="s">
        <v>37</v>
      </c>
      <c r="K88" s="45" t="s">
        <v>37</v>
      </c>
      <c r="L88" s="45" t="s">
        <v>37</v>
      </c>
      <c r="M88" s="45" t="s">
        <v>37</v>
      </c>
      <c r="N88" s="45" t="s">
        <v>37</v>
      </c>
      <c r="O88" s="45" t="s">
        <v>37</v>
      </c>
      <c r="P88" s="45" t="s">
        <v>37</v>
      </c>
      <c r="Q88" s="45" t="s">
        <v>37</v>
      </c>
      <c r="R88" s="45" t="s">
        <v>37</v>
      </c>
      <c r="S88" s="45" t="s">
        <v>37</v>
      </c>
      <c r="T88" s="45" t="s">
        <v>37</v>
      </c>
    </row>
    <row r="89" spans="1:20">
      <c r="A89" s="44" t="s">
        <v>993</v>
      </c>
      <c r="B89" s="45" t="s">
        <v>37</v>
      </c>
      <c r="C89" s="45" t="s">
        <v>37</v>
      </c>
      <c r="D89" s="45" t="s">
        <v>37</v>
      </c>
      <c r="E89" s="45" t="s">
        <v>37</v>
      </c>
      <c r="F89" s="45" t="s">
        <v>37</v>
      </c>
      <c r="G89" s="45" t="s">
        <v>37</v>
      </c>
      <c r="H89" s="45" t="s">
        <v>37</v>
      </c>
      <c r="I89" s="45" t="s">
        <v>37</v>
      </c>
      <c r="J89" s="45" t="s">
        <v>37</v>
      </c>
      <c r="K89" s="45" t="s">
        <v>37</v>
      </c>
      <c r="L89" s="45" t="s">
        <v>37</v>
      </c>
      <c r="M89" s="45" t="s">
        <v>37</v>
      </c>
      <c r="N89" s="45" t="s">
        <v>37</v>
      </c>
      <c r="O89" s="45" t="s">
        <v>37</v>
      </c>
      <c r="P89" s="45" t="s">
        <v>37</v>
      </c>
      <c r="Q89" s="45" t="s">
        <v>37</v>
      </c>
      <c r="R89" s="45" t="s">
        <v>37</v>
      </c>
      <c r="S89" s="45" t="s">
        <v>37</v>
      </c>
      <c r="T89" s="45" t="s">
        <v>37</v>
      </c>
    </row>
    <row r="90" spans="1:20">
      <c r="A90" s="44" t="s">
        <v>994</v>
      </c>
      <c r="B90" s="45" t="s">
        <v>37</v>
      </c>
      <c r="C90" s="45" t="s">
        <v>37</v>
      </c>
      <c r="D90" s="45" t="s">
        <v>37</v>
      </c>
      <c r="E90" s="45" t="s">
        <v>37</v>
      </c>
      <c r="F90" s="45" t="s">
        <v>37</v>
      </c>
      <c r="G90" s="45" t="s">
        <v>37</v>
      </c>
      <c r="H90" s="45" t="s">
        <v>37</v>
      </c>
      <c r="I90" s="45" t="s">
        <v>37</v>
      </c>
      <c r="J90" s="45" t="s">
        <v>37</v>
      </c>
      <c r="K90" s="45" t="s">
        <v>37</v>
      </c>
      <c r="L90" s="45" t="s">
        <v>37</v>
      </c>
      <c r="M90" s="45" t="s">
        <v>37</v>
      </c>
      <c r="N90" s="45" t="s">
        <v>37</v>
      </c>
      <c r="O90" s="45" t="s">
        <v>37</v>
      </c>
      <c r="P90" s="45" t="s">
        <v>37</v>
      </c>
      <c r="Q90" s="45" t="s">
        <v>37</v>
      </c>
      <c r="R90" s="45" t="s">
        <v>37</v>
      </c>
      <c r="S90" s="45" t="s">
        <v>37</v>
      </c>
      <c r="T90" s="45" t="s">
        <v>37</v>
      </c>
    </row>
    <row r="91" spans="1:20">
      <c r="A91" s="44" t="s">
        <v>995</v>
      </c>
      <c r="B91" s="45" t="s">
        <v>37</v>
      </c>
      <c r="C91" s="45" t="s">
        <v>37</v>
      </c>
      <c r="D91" s="45" t="s">
        <v>37</v>
      </c>
      <c r="E91" s="45" t="s">
        <v>37</v>
      </c>
      <c r="F91" s="45" t="s">
        <v>37</v>
      </c>
      <c r="G91" s="45" t="s">
        <v>37</v>
      </c>
      <c r="H91" s="45" t="s">
        <v>37</v>
      </c>
      <c r="I91" s="45" t="s">
        <v>37</v>
      </c>
      <c r="J91" s="45" t="s">
        <v>37</v>
      </c>
      <c r="K91" s="45" t="s">
        <v>37</v>
      </c>
      <c r="L91" s="45" t="s">
        <v>37</v>
      </c>
      <c r="M91" s="45" t="s">
        <v>37</v>
      </c>
      <c r="N91" s="45" t="s">
        <v>37</v>
      </c>
      <c r="O91" s="45" t="s">
        <v>37</v>
      </c>
      <c r="P91" s="45" t="s">
        <v>37</v>
      </c>
      <c r="Q91" s="45" t="s">
        <v>37</v>
      </c>
      <c r="R91" s="45" t="s">
        <v>37</v>
      </c>
      <c r="S91" s="45" t="s">
        <v>37</v>
      </c>
      <c r="T91" s="45" t="s">
        <v>37</v>
      </c>
    </row>
    <row r="92" spans="1:20">
      <c r="A92" s="44" t="s">
        <v>996</v>
      </c>
      <c r="B92" s="45" t="s">
        <v>37</v>
      </c>
      <c r="C92" s="45" t="s">
        <v>37</v>
      </c>
      <c r="D92" s="45" t="s">
        <v>37</v>
      </c>
      <c r="E92" s="45" t="s">
        <v>37</v>
      </c>
      <c r="F92" s="45" t="s">
        <v>37</v>
      </c>
      <c r="G92" s="45" t="s">
        <v>37</v>
      </c>
      <c r="H92" s="45" t="s">
        <v>37</v>
      </c>
      <c r="I92" s="45" t="s">
        <v>37</v>
      </c>
      <c r="J92" s="45" t="s">
        <v>37</v>
      </c>
      <c r="K92" s="45" t="s">
        <v>37</v>
      </c>
      <c r="L92" s="45" t="s">
        <v>37</v>
      </c>
      <c r="M92" s="45" t="s">
        <v>37</v>
      </c>
      <c r="N92" s="45" t="s">
        <v>37</v>
      </c>
      <c r="O92" s="45" t="s">
        <v>37</v>
      </c>
      <c r="P92" s="45" t="s">
        <v>37</v>
      </c>
      <c r="Q92" s="45" t="s">
        <v>37</v>
      </c>
      <c r="R92" s="45" t="s">
        <v>37</v>
      </c>
      <c r="S92" s="45" t="s">
        <v>37</v>
      </c>
      <c r="T92" s="45" t="s">
        <v>37</v>
      </c>
    </row>
    <row r="93" spans="1:20">
      <c r="A93" s="44" t="s">
        <v>997</v>
      </c>
      <c r="B93" s="45" t="s">
        <v>37</v>
      </c>
      <c r="C93" s="45" t="s">
        <v>37</v>
      </c>
      <c r="D93" s="45" t="s">
        <v>37</v>
      </c>
      <c r="E93" s="45" t="s">
        <v>37</v>
      </c>
      <c r="F93" s="45" t="s">
        <v>37</v>
      </c>
      <c r="G93" s="45" t="s">
        <v>37</v>
      </c>
      <c r="H93" s="45" t="s">
        <v>37</v>
      </c>
      <c r="I93" s="45" t="s">
        <v>37</v>
      </c>
      <c r="J93" s="45" t="s">
        <v>37</v>
      </c>
      <c r="K93" s="45" t="s">
        <v>37</v>
      </c>
      <c r="L93" s="45" t="s">
        <v>37</v>
      </c>
      <c r="M93" s="45" t="s">
        <v>37</v>
      </c>
      <c r="N93" s="45" t="s">
        <v>37</v>
      </c>
      <c r="O93" s="45" t="s">
        <v>37</v>
      </c>
      <c r="P93" s="45" t="s">
        <v>37</v>
      </c>
      <c r="Q93" s="45" t="s">
        <v>37</v>
      </c>
      <c r="R93" s="45" t="s">
        <v>37</v>
      </c>
      <c r="S93" s="45" t="s">
        <v>37</v>
      </c>
      <c r="T93" s="45" t="s">
        <v>37</v>
      </c>
    </row>
    <row r="94" spans="1:20">
      <c r="A94" s="44" t="s">
        <v>998</v>
      </c>
      <c r="B94" s="45" t="s">
        <v>37</v>
      </c>
      <c r="C94" s="45" t="s">
        <v>37</v>
      </c>
      <c r="D94" s="45" t="s">
        <v>37</v>
      </c>
      <c r="E94" s="45" t="s">
        <v>37</v>
      </c>
      <c r="F94" s="45" t="s">
        <v>37</v>
      </c>
      <c r="G94" s="45" t="s">
        <v>37</v>
      </c>
      <c r="H94" s="45" t="s">
        <v>37</v>
      </c>
      <c r="I94" s="45" t="s">
        <v>37</v>
      </c>
      <c r="J94" s="45" t="s">
        <v>37</v>
      </c>
      <c r="K94" s="45" t="s">
        <v>37</v>
      </c>
      <c r="L94" s="45" t="s">
        <v>37</v>
      </c>
      <c r="M94" s="45" t="s">
        <v>37</v>
      </c>
      <c r="N94" s="45" t="s">
        <v>37</v>
      </c>
      <c r="O94" s="45" t="s">
        <v>37</v>
      </c>
      <c r="P94" s="45" t="s">
        <v>37</v>
      </c>
      <c r="Q94" s="45" t="s">
        <v>37</v>
      </c>
      <c r="R94" s="45" t="s">
        <v>37</v>
      </c>
      <c r="S94" s="45" t="s">
        <v>37</v>
      </c>
      <c r="T94" s="45" t="s">
        <v>37</v>
      </c>
    </row>
    <row r="95" spans="1:20">
      <c r="A95" s="44" t="s">
        <v>999</v>
      </c>
      <c r="B95" s="45" t="s">
        <v>37</v>
      </c>
      <c r="C95" s="45" t="s">
        <v>37</v>
      </c>
      <c r="D95" s="45" t="s">
        <v>37</v>
      </c>
      <c r="E95" s="45" t="s">
        <v>37</v>
      </c>
      <c r="F95" s="45" t="s">
        <v>37</v>
      </c>
      <c r="G95" s="45" t="s">
        <v>37</v>
      </c>
      <c r="H95" s="45" t="s">
        <v>37</v>
      </c>
      <c r="I95" s="45" t="s">
        <v>37</v>
      </c>
      <c r="J95" s="45" t="s">
        <v>37</v>
      </c>
      <c r="K95" s="45" t="s">
        <v>37</v>
      </c>
      <c r="L95" s="45" t="s">
        <v>37</v>
      </c>
      <c r="M95" s="45" t="s">
        <v>37</v>
      </c>
      <c r="N95" s="45" t="s">
        <v>37</v>
      </c>
      <c r="O95" s="45" t="s">
        <v>37</v>
      </c>
      <c r="P95" s="45" t="s">
        <v>37</v>
      </c>
      <c r="Q95" s="45" t="s">
        <v>37</v>
      </c>
      <c r="R95" s="45" t="s">
        <v>37</v>
      </c>
      <c r="S95" s="45" t="s">
        <v>37</v>
      </c>
      <c r="T95" s="45" t="s">
        <v>37</v>
      </c>
    </row>
    <row r="96" spans="1:20">
      <c r="A96" s="44" t="s">
        <v>1000</v>
      </c>
      <c r="B96" s="45" t="s">
        <v>37</v>
      </c>
      <c r="C96" s="45" t="s">
        <v>37</v>
      </c>
      <c r="D96" s="45" t="s">
        <v>37</v>
      </c>
      <c r="E96" s="45" t="s">
        <v>37</v>
      </c>
      <c r="F96" s="45" t="s">
        <v>37</v>
      </c>
      <c r="G96" s="45" t="s">
        <v>37</v>
      </c>
      <c r="H96" s="45" t="s">
        <v>37</v>
      </c>
      <c r="I96" s="45" t="s">
        <v>37</v>
      </c>
      <c r="J96" s="45" t="s">
        <v>37</v>
      </c>
      <c r="K96" s="45" t="s">
        <v>37</v>
      </c>
      <c r="L96" s="45" t="s">
        <v>37</v>
      </c>
      <c r="M96" s="45" t="s">
        <v>37</v>
      </c>
      <c r="N96" s="45" t="s">
        <v>37</v>
      </c>
      <c r="O96" s="45" t="s">
        <v>37</v>
      </c>
      <c r="P96" s="45" t="s">
        <v>37</v>
      </c>
      <c r="Q96" s="45" t="s">
        <v>37</v>
      </c>
      <c r="R96" s="45" t="s">
        <v>37</v>
      </c>
      <c r="S96" s="45" t="s">
        <v>37</v>
      </c>
      <c r="T96" s="45" t="s">
        <v>37</v>
      </c>
    </row>
    <row r="97" spans="1:20">
      <c r="A97" s="44" t="s">
        <v>1001</v>
      </c>
      <c r="B97" s="45" t="s">
        <v>37</v>
      </c>
      <c r="C97" s="45" t="s">
        <v>37</v>
      </c>
      <c r="D97" s="45" t="s">
        <v>37</v>
      </c>
      <c r="E97" s="45" t="s">
        <v>37</v>
      </c>
      <c r="F97" s="45" t="s">
        <v>37</v>
      </c>
      <c r="G97" s="45" t="s">
        <v>37</v>
      </c>
      <c r="H97" s="45" t="s">
        <v>37</v>
      </c>
      <c r="I97" s="45" t="s">
        <v>37</v>
      </c>
      <c r="J97" s="45" t="s">
        <v>37</v>
      </c>
      <c r="K97" s="45" t="s">
        <v>37</v>
      </c>
      <c r="L97" s="45" t="s">
        <v>37</v>
      </c>
      <c r="M97" s="45" t="s">
        <v>37</v>
      </c>
      <c r="N97" s="45" t="s">
        <v>37</v>
      </c>
      <c r="O97" s="45" t="s">
        <v>37</v>
      </c>
      <c r="P97" s="45" t="s">
        <v>37</v>
      </c>
      <c r="Q97" s="45" t="s">
        <v>37</v>
      </c>
      <c r="R97" s="45" t="s">
        <v>37</v>
      </c>
      <c r="S97" s="45" t="s">
        <v>37</v>
      </c>
      <c r="T97" s="45" t="s">
        <v>37</v>
      </c>
    </row>
    <row r="98" spans="1:20">
      <c r="A98" s="44" t="s">
        <v>1002</v>
      </c>
      <c r="B98" s="45" t="s">
        <v>37</v>
      </c>
      <c r="C98" s="45" t="s">
        <v>37</v>
      </c>
      <c r="D98" s="45" t="s">
        <v>37</v>
      </c>
      <c r="E98" s="45" t="s">
        <v>37</v>
      </c>
      <c r="F98" s="45" t="s">
        <v>37</v>
      </c>
      <c r="G98" s="45" t="s">
        <v>37</v>
      </c>
      <c r="H98" s="45" t="s">
        <v>37</v>
      </c>
      <c r="I98" s="45" t="s">
        <v>37</v>
      </c>
      <c r="J98" s="45" t="s">
        <v>37</v>
      </c>
      <c r="K98" s="45" t="s">
        <v>37</v>
      </c>
      <c r="L98" s="45" t="s">
        <v>37</v>
      </c>
      <c r="M98" s="45" t="s">
        <v>37</v>
      </c>
      <c r="N98" s="45" t="s">
        <v>37</v>
      </c>
      <c r="O98" s="45" t="s">
        <v>37</v>
      </c>
      <c r="P98" s="45" t="s">
        <v>37</v>
      </c>
      <c r="Q98" s="45" t="s">
        <v>37</v>
      </c>
      <c r="R98" s="45" t="s">
        <v>37</v>
      </c>
      <c r="S98" s="45" t="s">
        <v>37</v>
      </c>
      <c r="T98" s="45" t="s">
        <v>37</v>
      </c>
    </row>
    <row r="99" spans="1:20">
      <c r="A99" s="44" t="s">
        <v>1003</v>
      </c>
      <c r="B99" s="45" t="s">
        <v>37</v>
      </c>
      <c r="C99" s="45" t="s">
        <v>37</v>
      </c>
      <c r="D99" s="45" t="s">
        <v>37</v>
      </c>
      <c r="E99" s="45" t="s">
        <v>37</v>
      </c>
      <c r="F99" s="45" t="s">
        <v>37</v>
      </c>
      <c r="G99" s="45" t="s">
        <v>37</v>
      </c>
      <c r="H99" s="45" t="s">
        <v>37</v>
      </c>
      <c r="I99" s="45" t="s">
        <v>37</v>
      </c>
      <c r="J99" s="45" t="s">
        <v>37</v>
      </c>
      <c r="K99" s="45" t="s">
        <v>37</v>
      </c>
      <c r="L99" s="45" t="s">
        <v>37</v>
      </c>
      <c r="M99" s="45" t="s">
        <v>37</v>
      </c>
      <c r="N99" s="45" t="s">
        <v>37</v>
      </c>
      <c r="O99" s="45" t="s">
        <v>37</v>
      </c>
      <c r="P99" s="45" t="s">
        <v>37</v>
      </c>
      <c r="Q99" s="45" t="s">
        <v>37</v>
      </c>
      <c r="R99" s="45" t="s">
        <v>37</v>
      </c>
      <c r="S99" s="45" t="s">
        <v>37</v>
      </c>
      <c r="T99" s="45" t="s">
        <v>37</v>
      </c>
    </row>
    <row r="100" spans="1:20">
      <c r="A100" s="44" t="s">
        <v>1004</v>
      </c>
      <c r="B100" s="45" t="s">
        <v>37</v>
      </c>
      <c r="C100" s="45" t="s">
        <v>37</v>
      </c>
      <c r="D100" s="45" t="s">
        <v>37</v>
      </c>
      <c r="E100" s="45" t="s">
        <v>37</v>
      </c>
      <c r="F100" s="45" t="s">
        <v>37</v>
      </c>
      <c r="G100" s="45" t="s">
        <v>37</v>
      </c>
      <c r="H100" s="45" t="s">
        <v>37</v>
      </c>
      <c r="I100" s="45" t="s">
        <v>37</v>
      </c>
      <c r="J100" s="45" t="s">
        <v>37</v>
      </c>
      <c r="K100" s="45" t="s">
        <v>37</v>
      </c>
      <c r="L100" s="45" t="s">
        <v>37</v>
      </c>
      <c r="M100" s="45" t="s">
        <v>37</v>
      </c>
      <c r="N100" s="45" t="s">
        <v>37</v>
      </c>
      <c r="O100" s="45" t="s">
        <v>37</v>
      </c>
      <c r="P100" s="45" t="s">
        <v>37</v>
      </c>
      <c r="Q100" s="45" t="s">
        <v>37</v>
      </c>
      <c r="R100" s="45" t="s">
        <v>37</v>
      </c>
      <c r="S100" s="45" t="s">
        <v>37</v>
      </c>
      <c r="T100" s="45" t="s">
        <v>37</v>
      </c>
    </row>
    <row r="101" spans="1:20">
      <c r="A101" s="44" t="s">
        <v>1005</v>
      </c>
      <c r="B101" s="45" t="s">
        <v>37</v>
      </c>
      <c r="C101" s="45" t="s">
        <v>37</v>
      </c>
      <c r="D101" s="45" t="s">
        <v>37</v>
      </c>
      <c r="E101" s="45" t="s">
        <v>37</v>
      </c>
      <c r="F101" s="45" t="s">
        <v>37</v>
      </c>
      <c r="G101" s="45" t="s">
        <v>37</v>
      </c>
      <c r="H101" s="45" t="s">
        <v>37</v>
      </c>
      <c r="I101" s="45" t="s">
        <v>37</v>
      </c>
      <c r="J101" s="45" t="s">
        <v>37</v>
      </c>
      <c r="K101" s="45" t="s">
        <v>37</v>
      </c>
      <c r="L101" s="45" t="s">
        <v>37</v>
      </c>
      <c r="M101" s="45" t="s">
        <v>37</v>
      </c>
      <c r="N101" s="45" t="s">
        <v>37</v>
      </c>
      <c r="O101" s="45" t="s">
        <v>37</v>
      </c>
      <c r="P101" s="45" t="s">
        <v>37</v>
      </c>
      <c r="Q101" s="45" t="s">
        <v>37</v>
      </c>
      <c r="R101" s="45" t="s">
        <v>37</v>
      </c>
      <c r="S101" s="45" t="s">
        <v>37</v>
      </c>
      <c r="T101" s="45" t="s">
        <v>37</v>
      </c>
    </row>
    <row r="102" spans="1:20">
      <c r="A102" s="44" t="s">
        <v>1006</v>
      </c>
      <c r="B102" s="45" t="s">
        <v>37</v>
      </c>
      <c r="C102" s="45" t="s">
        <v>37</v>
      </c>
      <c r="D102" s="45" t="s">
        <v>37</v>
      </c>
      <c r="E102" s="45" t="s">
        <v>37</v>
      </c>
      <c r="F102" s="45" t="s">
        <v>37</v>
      </c>
      <c r="G102" s="45" t="s">
        <v>37</v>
      </c>
      <c r="H102" s="45" t="s">
        <v>37</v>
      </c>
      <c r="I102" s="45" t="s">
        <v>37</v>
      </c>
      <c r="J102" s="45" t="s">
        <v>37</v>
      </c>
      <c r="K102" s="45" t="s">
        <v>37</v>
      </c>
      <c r="L102" s="45" t="s">
        <v>37</v>
      </c>
      <c r="M102" s="45" t="s">
        <v>37</v>
      </c>
      <c r="N102" s="45" t="s">
        <v>37</v>
      </c>
      <c r="O102" s="45" t="s">
        <v>37</v>
      </c>
      <c r="P102" s="45" t="s">
        <v>37</v>
      </c>
      <c r="Q102" s="45" t="s">
        <v>37</v>
      </c>
      <c r="R102" s="45" t="s">
        <v>37</v>
      </c>
      <c r="S102" s="45" t="s">
        <v>37</v>
      </c>
      <c r="T102" s="45" t="s">
        <v>37</v>
      </c>
    </row>
    <row r="103" spans="1:20">
      <c r="A103" s="44" t="s">
        <v>30</v>
      </c>
      <c r="B103" s="45"/>
      <c r="C103" s="45"/>
      <c r="D103" s="45"/>
      <c r="E103" s="45"/>
      <c r="F103" s="45"/>
      <c r="G103" s="45"/>
      <c r="H103" s="45"/>
      <c r="I103" s="45"/>
      <c r="J103" s="45"/>
      <c r="K103" s="45"/>
      <c r="L103" s="45"/>
      <c r="M103" s="45"/>
      <c r="N103" s="45"/>
      <c r="O103" s="45"/>
      <c r="P103" s="45"/>
      <c r="Q103" s="45"/>
      <c r="R103" s="45"/>
      <c r="S103" s="45"/>
      <c r="T103" s="45"/>
    </row>
    <row r="104" spans="1:20">
      <c r="A104" s="44" t="s">
        <v>1007</v>
      </c>
      <c r="B104" s="45" t="s">
        <v>37</v>
      </c>
      <c r="C104" s="45" t="s">
        <v>37</v>
      </c>
      <c r="D104" s="45" t="s">
        <v>37</v>
      </c>
      <c r="E104" s="45" t="s">
        <v>37</v>
      </c>
      <c r="F104" s="45" t="s">
        <v>37</v>
      </c>
      <c r="G104" s="45" t="s">
        <v>37</v>
      </c>
      <c r="H104" s="45" t="s">
        <v>37</v>
      </c>
      <c r="I104" s="45" t="s">
        <v>37</v>
      </c>
      <c r="J104" s="45" t="s">
        <v>37</v>
      </c>
      <c r="K104" s="45" t="s">
        <v>37</v>
      </c>
      <c r="L104" s="45" t="s">
        <v>37</v>
      </c>
      <c r="M104" s="45" t="s">
        <v>37</v>
      </c>
      <c r="N104" s="45" t="s">
        <v>37</v>
      </c>
      <c r="O104" s="45" t="s">
        <v>37</v>
      </c>
      <c r="P104" s="45" t="s">
        <v>37</v>
      </c>
      <c r="Q104" s="45" t="s">
        <v>37</v>
      </c>
      <c r="R104" s="45" t="s">
        <v>37</v>
      </c>
      <c r="S104" s="45" t="s">
        <v>37</v>
      </c>
      <c r="T104" s="45" t="s">
        <v>37</v>
      </c>
    </row>
    <row r="105" spans="1:20">
      <c r="A105" s="44" t="s">
        <v>1008</v>
      </c>
      <c r="B105" s="45" t="s">
        <v>37</v>
      </c>
      <c r="C105" s="45" t="s">
        <v>37</v>
      </c>
      <c r="D105" s="45" t="s">
        <v>37</v>
      </c>
      <c r="E105" s="45" t="s">
        <v>37</v>
      </c>
      <c r="F105" s="45" t="s">
        <v>37</v>
      </c>
      <c r="G105" s="45" t="s">
        <v>37</v>
      </c>
      <c r="H105" s="45" t="s">
        <v>37</v>
      </c>
      <c r="I105" s="45" t="s">
        <v>37</v>
      </c>
      <c r="J105" s="45" t="s">
        <v>37</v>
      </c>
      <c r="K105" s="45" t="s">
        <v>37</v>
      </c>
      <c r="L105" s="45" t="s">
        <v>37</v>
      </c>
      <c r="M105" s="45" t="s">
        <v>37</v>
      </c>
      <c r="N105" s="45" t="s">
        <v>37</v>
      </c>
      <c r="O105" s="45" t="s">
        <v>37</v>
      </c>
      <c r="P105" s="45" t="s">
        <v>37</v>
      </c>
      <c r="Q105" s="45" t="s">
        <v>37</v>
      </c>
      <c r="R105" s="45" t="s">
        <v>37</v>
      </c>
      <c r="S105" s="45" t="s">
        <v>37</v>
      </c>
      <c r="T105" s="45" t="s">
        <v>37</v>
      </c>
    </row>
    <row r="106" spans="1:20">
      <c r="A106" s="44" t="s">
        <v>1009</v>
      </c>
      <c r="B106" s="45" t="s">
        <v>37</v>
      </c>
      <c r="C106" s="45" t="s">
        <v>37</v>
      </c>
      <c r="D106" s="45" t="s">
        <v>37</v>
      </c>
      <c r="E106" s="45" t="s">
        <v>37</v>
      </c>
      <c r="F106" s="45" t="s">
        <v>37</v>
      </c>
      <c r="G106" s="45" t="s">
        <v>37</v>
      </c>
      <c r="H106" s="45" t="s">
        <v>37</v>
      </c>
      <c r="I106" s="45" t="s">
        <v>37</v>
      </c>
      <c r="J106" s="45" t="s">
        <v>37</v>
      </c>
      <c r="K106" s="45" t="s">
        <v>37</v>
      </c>
      <c r="L106" s="45" t="s">
        <v>37</v>
      </c>
      <c r="M106" s="45" t="s">
        <v>37</v>
      </c>
      <c r="N106" s="45" t="s">
        <v>37</v>
      </c>
      <c r="O106" s="45" t="s">
        <v>37</v>
      </c>
      <c r="P106" s="45" t="s">
        <v>37</v>
      </c>
      <c r="Q106" s="45" t="s">
        <v>37</v>
      </c>
      <c r="R106" s="45" t="s">
        <v>37</v>
      </c>
      <c r="S106" s="45" t="s">
        <v>37</v>
      </c>
      <c r="T106" s="45" t="s">
        <v>37</v>
      </c>
    </row>
    <row r="107" spans="1:20">
      <c r="A107" s="44" t="s">
        <v>1010</v>
      </c>
      <c r="B107" s="45" t="s">
        <v>37</v>
      </c>
      <c r="C107" s="45" t="s">
        <v>37</v>
      </c>
      <c r="D107" s="45" t="s">
        <v>37</v>
      </c>
      <c r="E107" s="45" t="s">
        <v>37</v>
      </c>
      <c r="F107" s="45" t="s">
        <v>37</v>
      </c>
      <c r="G107" s="45" t="s">
        <v>37</v>
      </c>
      <c r="H107" s="45" t="s">
        <v>37</v>
      </c>
      <c r="I107" s="45" t="s">
        <v>37</v>
      </c>
      <c r="J107" s="45" t="s">
        <v>37</v>
      </c>
      <c r="K107" s="45" t="s">
        <v>37</v>
      </c>
      <c r="L107" s="45" t="s">
        <v>37</v>
      </c>
      <c r="M107" s="45" t="s">
        <v>37</v>
      </c>
      <c r="N107" s="45" t="s">
        <v>37</v>
      </c>
      <c r="O107" s="45" t="s">
        <v>37</v>
      </c>
      <c r="P107" s="45" t="s">
        <v>37</v>
      </c>
      <c r="Q107" s="45" t="s">
        <v>37</v>
      </c>
      <c r="R107" s="45" t="s">
        <v>37</v>
      </c>
      <c r="S107" s="45" t="s">
        <v>37</v>
      </c>
      <c r="T107" s="45" t="s">
        <v>37</v>
      </c>
    </row>
    <row r="108" spans="1:20">
      <c r="A108" s="44" t="s">
        <v>1011</v>
      </c>
      <c r="B108" s="45" t="s">
        <v>37</v>
      </c>
      <c r="C108" s="45" t="s">
        <v>37</v>
      </c>
      <c r="D108" s="45" t="s">
        <v>37</v>
      </c>
      <c r="E108" s="45" t="s">
        <v>37</v>
      </c>
      <c r="F108" s="45" t="s">
        <v>37</v>
      </c>
      <c r="G108" s="45" t="s">
        <v>37</v>
      </c>
      <c r="H108" s="45" t="s">
        <v>37</v>
      </c>
      <c r="I108" s="45" t="s">
        <v>37</v>
      </c>
      <c r="J108" s="45" t="s">
        <v>37</v>
      </c>
      <c r="K108" s="45" t="s">
        <v>37</v>
      </c>
      <c r="L108" s="45" t="s">
        <v>37</v>
      </c>
      <c r="M108" s="45" t="s">
        <v>37</v>
      </c>
      <c r="N108" s="45" t="s">
        <v>37</v>
      </c>
      <c r="O108" s="45" t="s">
        <v>37</v>
      </c>
      <c r="P108" s="45" t="s">
        <v>37</v>
      </c>
      <c r="Q108" s="45" t="s">
        <v>37</v>
      </c>
      <c r="R108" s="45" t="s">
        <v>37</v>
      </c>
      <c r="S108" s="45" t="s">
        <v>37</v>
      </c>
      <c r="T108" s="45" t="s">
        <v>37</v>
      </c>
    </row>
    <row r="109" spans="1:20">
      <c r="A109" s="44" t="s">
        <v>1012</v>
      </c>
      <c r="B109" s="45" t="s">
        <v>37</v>
      </c>
      <c r="C109" s="45" t="s">
        <v>37</v>
      </c>
      <c r="D109" s="45" t="s">
        <v>37</v>
      </c>
      <c r="E109" s="45" t="s">
        <v>37</v>
      </c>
      <c r="F109" s="45" t="s">
        <v>37</v>
      </c>
      <c r="G109" s="45" t="s">
        <v>37</v>
      </c>
      <c r="H109" s="45" t="s">
        <v>37</v>
      </c>
      <c r="I109" s="45" t="s">
        <v>37</v>
      </c>
      <c r="J109" s="45" t="s">
        <v>37</v>
      </c>
      <c r="K109" s="45" t="s">
        <v>37</v>
      </c>
      <c r="L109" s="45" t="s">
        <v>37</v>
      </c>
      <c r="M109" s="45" t="s">
        <v>37</v>
      </c>
      <c r="N109" s="45" t="s">
        <v>37</v>
      </c>
      <c r="O109" s="45" t="s">
        <v>37</v>
      </c>
      <c r="P109" s="45" t="s">
        <v>37</v>
      </c>
      <c r="Q109" s="45" t="s">
        <v>37</v>
      </c>
      <c r="R109" s="45" t="s">
        <v>37</v>
      </c>
      <c r="S109" s="45" t="s">
        <v>37</v>
      </c>
      <c r="T109" s="45" t="s">
        <v>37</v>
      </c>
    </row>
  </sheetData>
  <mergeCells count="5">
    <mergeCell ref="A61:T61"/>
    <mergeCell ref="A68:T68"/>
    <mergeCell ref="A56:A59"/>
    <mergeCell ref="A69:T69"/>
    <mergeCell ref="A76:T76"/>
  </mergeCells>
  <phoneticPr fontId="45" type="noConversion"/>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32C9D-38E5-4EDD-8A8B-D835F15DD852}">
  <dimension ref="A1:U32"/>
  <sheetViews>
    <sheetView zoomScale="130" zoomScaleNormal="130" workbookViewId="0">
      <pane ySplit="1" topLeftCell="A2" activePane="bottomLeft" state="frozen"/>
      <selection pane="bottomLeft" activeCell="A28" sqref="A28"/>
    </sheetView>
  </sheetViews>
  <sheetFormatPr defaultColWidth="8.83203125" defaultRowHeight="14"/>
  <cols>
    <col min="3" max="3" width="12.58203125" bestFit="1" customWidth="1"/>
    <col min="4" max="4" width="12" customWidth="1"/>
    <col min="5" max="5" width="11.83203125" bestFit="1" customWidth="1"/>
    <col min="6" max="6" width="13.58203125" customWidth="1"/>
    <col min="8" max="8" width="15.5" bestFit="1" customWidth="1"/>
    <col min="11" max="11" width="13.08203125" bestFit="1" customWidth="1"/>
    <col min="21" max="21" width="12.5" customWidth="1"/>
  </cols>
  <sheetData>
    <row r="1" spans="1:21" s="279" customFormat="1" ht="36" customHeight="1">
      <c r="A1" s="273" t="s">
        <v>1020</v>
      </c>
      <c r="B1" s="274" t="s">
        <v>1021</v>
      </c>
      <c r="C1" s="274" t="s">
        <v>1022</v>
      </c>
      <c r="D1" s="323" t="s">
        <v>1023</v>
      </c>
      <c r="E1" s="323" t="s">
        <v>1024</v>
      </c>
      <c r="F1" s="274" t="s">
        <v>1025</v>
      </c>
      <c r="G1" s="274" t="s">
        <v>1026</v>
      </c>
      <c r="H1" s="275" t="s">
        <v>78</v>
      </c>
      <c r="I1" s="276" t="s">
        <v>66</v>
      </c>
      <c r="J1" s="277" t="s">
        <v>1027</v>
      </c>
      <c r="K1" s="277" t="s">
        <v>1028</v>
      </c>
      <c r="L1" s="277" t="s">
        <v>1029</v>
      </c>
      <c r="M1" s="277" t="s">
        <v>1030</v>
      </c>
      <c r="N1" s="277" t="s">
        <v>66</v>
      </c>
      <c r="O1" s="277" t="s">
        <v>1031</v>
      </c>
      <c r="P1" s="278" t="s">
        <v>1032</v>
      </c>
      <c r="Q1" s="278" t="s">
        <v>1033</v>
      </c>
    </row>
    <row r="2" spans="1:21" s="20" customFormat="1" ht="15.5">
      <c r="B2" s="324">
        <v>1993</v>
      </c>
      <c r="C2" s="311">
        <v>6900</v>
      </c>
      <c r="D2" s="311">
        <v>-14883</v>
      </c>
      <c r="E2" s="311"/>
      <c r="F2" s="311"/>
      <c r="G2" s="311"/>
      <c r="H2" s="311">
        <f t="shared" ref="H2:H28" si="0">C2+D2+E2-F2-G2</f>
        <v>-7983</v>
      </c>
      <c r="I2" s="324"/>
      <c r="J2" s="314">
        <v>40950</v>
      </c>
      <c r="K2" s="324"/>
      <c r="L2" s="324"/>
      <c r="M2" s="325">
        <f t="shared" ref="M2:M27" si="1">H2/J2</f>
        <v>-0.19494505494505496</v>
      </c>
      <c r="N2" s="324"/>
      <c r="O2" s="324"/>
      <c r="P2" s="324"/>
      <c r="Q2" s="324"/>
      <c r="R2" s="324"/>
      <c r="U2" s="26"/>
    </row>
    <row r="3" spans="1:21" s="20" customFormat="1" ht="15.5">
      <c r="B3" s="324">
        <v>1994</v>
      </c>
      <c r="C3" s="311">
        <v>54300</v>
      </c>
      <c r="D3" s="311">
        <v>83200</v>
      </c>
      <c r="E3" s="311"/>
      <c r="F3" s="311"/>
      <c r="G3" s="311"/>
      <c r="H3" s="311">
        <f t="shared" si="0"/>
        <v>137500</v>
      </c>
      <c r="I3" s="324"/>
      <c r="J3" s="314">
        <v>45212</v>
      </c>
      <c r="K3" s="13">
        <v>0.5</v>
      </c>
      <c r="L3" s="326">
        <v>1.9</v>
      </c>
      <c r="M3" s="325">
        <f t="shared" si="1"/>
        <v>3.0412279925683445</v>
      </c>
      <c r="N3" s="324"/>
      <c r="O3" s="324"/>
      <c r="P3" s="324"/>
      <c r="Q3" s="324"/>
      <c r="R3" s="324"/>
      <c r="U3" s="26"/>
    </row>
    <row r="4" spans="1:21" s="20" customFormat="1" ht="15.5">
      <c r="B4" s="324">
        <v>1995</v>
      </c>
      <c r="C4" s="311">
        <v>101300</v>
      </c>
      <c r="D4" s="311">
        <v>101300</v>
      </c>
      <c r="E4" s="311"/>
      <c r="F4" s="311"/>
      <c r="G4" s="311"/>
      <c r="H4" s="311">
        <f t="shared" si="0"/>
        <v>202600</v>
      </c>
      <c r="I4" s="324"/>
      <c r="J4" s="314">
        <v>58360</v>
      </c>
      <c r="K4" s="13">
        <v>1.04</v>
      </c>
      <c r="L4" s="326">
        <v>1.97</v>
      </c>
      <c r="M4" s="325">
        <f t="shared" si="1"/>
        <v>3.4715558601782042</v>
      </c>
      <c r="N4" s="324"/>
      <c r="O4" s="324"/>
      <c r="P4" s="324"/>
      <c r="Q4" s="324"/>
      <c r="R4" s="324"/>
      <c r="U4" s="26"/>
    </row>
    <row r="5" spans="1:21" s="20" customFormat="1" ht="15.5">
      <c r="B5" s="324">
        <v>1996</v>
      </c>
      <c r="C5" s="311">
        <v>134600</v>
      </c>
      <c r="D5" s="311">
        <v>143600</v>
      </c>
      <c r="E5" s="311"/>
      <c r="F5" s="311"/>
      <c r="G5" s="311"/>
      <c r="H5" s="311">
        <f t="shared" si="0"/>
        <v>278200</v>
      </c>
      <c r="I5" s="324"/>
      <c r="J5" s="314">
        <v>96876</v>
      </c>
      <c r="K5" s="13">
        <v>0.98</v>
      </c>
      <c r="L5" s="326">
        <v>1.97</v>
      </c>
      <c r="M5" s="325">
        <f t="shared" si="1"/>
        <v>2.8717122920021469</v>
      </c>
      <c r="N5" s="324"/>
      <c r="O5" s="324"/>
      <c r="P5" s="324"/>
      <c r="Q5" s="324"/>
      <c r="R5" s="324"/>
      <c r="U5" s="26"/>
    </row>
    <row r="6" spans="1:21" ht="15.5">
      <c r="A6" s="20"/>
      <c r="B6" s="324">
        <v>1997</v>
      </c>
      <c r="C6" s="311">
        <v>197800</v>
      </c>
      <c r="D6" s="311">
        <v>208500</v>
      </c>
      <c r="E6" s="311"/>
      <c r="F6" s="311"/>
      <c r="G6" s="311"/>
      <c r="H6" s="311">
        <f t="shared" si="0"/>
        <v>406300</v>
      </c>
      <c r="I6" s="324"/>
      <c r="J6" s="314">
        <v>109639</v>
      </c>
      <c r="K6" s="13">
        <v>1.08</v>
      </c>
      <c r="L6" s="326">
        <v>2.0074999999999998</v>
      </c>
      <c r="M6" s="325">
        <f t="shared" si="1"/>
        <v>3.7057981192823721</v>
      </c>
      <c r="N6" s="312"/>
      <c r="O6" s="325"/>
      <c r="P6" s="312"/>
      <c r="Q6" s="312"/>
      <c r="R6" s="13"/>
      <c r="U6" s="26"/>
    </row>
    <row r="7" spans="1:21" ht="15.5">
      <c r="A7" s="20"/>
      <c r="B7" s="324">
        <v>1998</v>
      </c>
      <c r="C7" s="311">
        <v>222330</v>
      </c>
      <c r="D7" s="311">
        <v>278812</v>
      </c>
      <c r="E7" s="311"/>
      <c r="F7" s="311"/>
      <c r="G7" s="311"/>
      <c r="H7" s="311">
        <f t="shared" si="0"/>
        <v>501142</v>
      </c>
      <c r="I7" s="312">
        <f t="shared" ref="I7:I13" si="2">H7/H6-1</f>
        <v>0.23342850110755609</v>
      </c>
      <c r="J7" s="314">
        <v>166778</v>
      </c>
      <c r="K7" s="13">
        <v>1.06</v>
      </c>
      <c r="L7" s="326">
        <v>2.02</v>
      </c>
      <c r="M7" s="325">
        <f t="shared" si="1"/>
        <v>3.0048447636978497</v>
      </c>
      <c r="N7" s="312">
        <f t="shared" ref="N7:N13" si="3">M7/M6-1</f>
        <v>-0.18915044290655048</v>
      </c>
      <c r="O7" s="325"/>
      <c r="P7" s="312"/>
      <c r="Q7" s="312"/>
      <c r="R7" s="13"/>
      <c r="U7" s="26"/>
    </row>
    <row r="8" spans="1:21" ht="15.5">
      <c r="A8" s="20"/>
      <c r="B8" s="324">
        <v>1999</v>
      </c>
      <c r="C8" s="311">
        <v>316100</v>
      </c>
      <c r="D8" s="311">
        <v>394004</v>
      </c>
      <c r="E8" s="311"/>
      <c r="F8" s="311"/>
      <c r="G8" s="311"/>
      <c r="H8" s="311">
        <f t="shared" si="0"/>
        <v>710104</v>
      </c>
      <c r="I8" s="312">
        <f t="shared" si="2"/>
        <v>0.41697163678159077</v>
      </c>
      <c r="J8" s="314">
        <v>171384</v>
      </c>
      <c r="K8" s="13">
        <v>0.97</v>
      </c>
      <c r="L8" s="326">
        <v>2.02</v>
      </c>
      <c r="M8" s="325">
        <f t="shared" si="1"/>
        <v>4.1433506044905011</v>
      </c>
      <c r="N8" s="312">
        <f t="shared" si="3"/>
        <v>0.37889006931312252</v>
      </c>
      <c r="O8" s="325"/>
      <c r="P8" s="312"/>
      <c r="Q8" s="312"/>
      <c r="R8" s="13"/>
      <c r="U8" s="26"/>
    </row>
    <row r="9" spans="1:21" ht="15.5">
      <c r="A9" s="20"/>
      <c r="B9" s="324">
        <v>2000</v>
      </c>
      <c r="C9" s="311">
        <v>420141</v>
      </c>
      <c r="D9" s="311">
        <v>430472</v>
      </c>
      <c r="E9" s="311"/>
      <c r="F9" s="311"/>
      <c r="G9" s="311"/>
      <c r="H9" s="311">
        <f t="shared" si="0"/>
        <v>850613</v>
      </c>
      <c r="I9" s="312">
        <f t="shared" si="2"/>
        <v>0.19787101607651847</v>
      </c>
      <c r="J9" s="314">
        <v>170274</v>
      </c>
      <c r="K9" s="13">
        <v>1.08</v>
      </c>
      <c r="L9" s="326">
        <v>2.02</v>
      </c>
      <c r="M9" s="325">
        <f t="shared" si="1"/>
        <v>4.9955542243677833</v>
      </c>
      <c r="N9" s="312">
        <f t="shared" si="3"/>
        <v>0.20567982322173672</v>
      </c>
      <c r="O9" s="325"/>
      <c r="P9" s="312"/>
      <c r="Q9" s="312"/>
      <c r="R9" s="13"/>
      <c r="U9" s="26"/>
    </row>
    <row r="10" spans="1:21" ht="15.5">
      <c r="A10" s="20"/>
      <c r="B10" s="324">
        <v>2001</v>
      </c>
      <c r="C10" s="311">
        <v>282297</v>
      </c>
      <c r="D10" s="311">
        <v>464892</v>
      </c>
      <c r="E10" s="311"/>
      <c r="F10" s="311"/>
      <c r="G10" s="311"/>
      <c r="H10" s="311">
        <f t="shared" si="0"/>
        <v>747189</v>
      </c>
      <c r="I10" s="312">
        <f t="shared" si="2"/>
        <v>-0.1215876079956455</v>
      </c>
      <c r="J10" s="314">
        <v>173802</v>
      </c>
      <c r="K10" s="13">
        <v>0.85</v>
      </c>
      <c r="L10" s="326">
        <v>2.08</v>
      </c>
      <c r="M10" s="325">
        <f t="shared" si="1"/>
        <v>4.2990817136741812</v>
      </c>
      <c r="N10" s="312">
        <f t="shared" si="3"/>
        <v>-0.13941846678318159</v>
      </c>
      <c r="O10" s="325"/>
      <c r="P10" s="312"/>
      <c r="Q10" s="312">
        <f t="shared" ref="Q10:Q27" si="4">(K10/K6)^0.25-1</f>
        <v>-5.8113022153244209E-2</v>
      </c>
      <c r="R10" s="13"/>
      <c r="U10" s="26"/>
    </row>
    <row r="11" spans="1:21" ht="15.5">
      <c r="A11" s="20"/>
      <c r="B11" s="324">
        <v>2002</v>
      </c>
      <c r="C11" s="311">
        <v>516879</v>
      </c>
      <c r="D11" s="311">
        <v>491306</v>
      </c>
      <c r="E11" s="311"/>
      <c r="F11" s="311"/>
      <c r="G11" s="311"/>
      <c r="H11" s="311">
        <f t="shared" si="0"/>
        <v>1008185</v>
      </c>
      <c r="I11" s="312">
        <f t="shared" si="2"/>
        <v>0.34930385752466919</v>
      </c>
      <c r="J11" s="314">
        <v>185543</v>
      </c>
      <c r="K11" s="13">
        <v>1.99</v>
      </c>
      <c r="L11" s="326">
        <v>2.1750000000000003</v>
      </c>
      <c r="M11" s="325">
        <f t="shared" si="1"/>
        <v>5.4337000048506274</v>
      </c>
      <c r="N11" s="312">
        <f t="shared" si="3"/>
        <v>0.26392108053390606</v>
      </c>
      <c r="O11" s="325"/>
      <c r="P11" s="312"/>
      <c r="Q11" s="312">
        <f t="shared" si="4"/>
        <v>0.17054146535080195</v>
      </c>
      <c r="R11" s="13"/>
      <c r="U11" s="26"/>
    </row>
    <row r="12" spans="1:21" ht="15.5">
      <c r="A12" s="20"/>
      <c r="B12" s="324">
        <v>2003</v>
      </c>
      <c r="C12" s="311">
        <v>420712</v>
      </c>
      <c r="D12" s="311">
        <v>518560</v>
      </c>
      <c r="E12" s="311"/>
      <c r="F12" s="311"/>
      <c r="G12" s="311"/>
      <c r="H12" s="311">
        <f t="shared" si="0"/>
        <v>939272</v>
      </c>
      <c r="I12" s="312">
        <f t="shared" si="2"/>
        <v>-6.8353526386526253E-2</v>
      </c>
      <c r="J12" s="314">
        <v>204080</v>
      </c>
      <c r="K12" s="13">
        <v>1.65</v>
      </c>
      <c r="L12" s="326">
        <v>2.4</v>
      </c>
      <c r="M12" s="325">
        <f t="shared" si="1"/>
        <v>4.6024696197569579</v>
      </c>
      <c r="N12" s="312">
        <f t="shared" si="3"/>
        <v>-0.1529768637119524</v>
      </c>
      <c r="O12" s="325"/>
      <c r="P12" s="312"/>
      <c r="Q12" s="312">
        <f t="shared" si="4"/>
        <v>0.14203141983909817</v>
      </c>
      <c r="R12" s="13"/>
      <c r="U12" s="26"/>
    </row>
    <row r="13" spans="1:21" ht="15.5">
      <c r="A13" s="20"/>
      <c r="B13" s="324">
        <v>2004</v>
      </c>
      <c r="C13" s="311">
        <v>450047</v>
      </c>
      <c r="D13" s="311">
        <v>611090</v>
      </c>
      <c r="E13" s="311"/>
      <c r="F13" s="311"/>
      <c r="G13" s="311"/>
      <c r="H13" s="311">
        <f t="shared" si="0"/>
        <v>1061137</v>
      </c>
      <c r="I13" s="312">
        <f t="shared" si="2"/>
        <v>0.12974409968571399</v>
      </c>
      <c r="J13" s="314">
        <v>222710</v>
      </c>
      <c r="K13" s="13">
        <v>1.44</v>
      </c>
      <c r="L13" s="326">
        <v>2.6</v>
      </c>
      <c r="M13" s="325">
        <f t="shared" si="1"/>
        <v>4.764658075524224</v>
      </c>
      <c r="N13" s="312">
        <f t="shared" si="3"/>
        <v>3.5239440814783807E-2</v>
      </c>
      <c r="O13" s="325"/>
      <c r="P13" s="312"/>
      <c r="Q13" s="312">
        <f t="shared" si="4"/>
        <v>7.4569931823541991E-2</v>
      </c>
      <c r="R13" s="13"/>
      <c r="U13" s="26"/>
    </row>
    <row r="14" spans="1:21" ht="15.5">
      <c r="A14" s="20"/>
      <c r="B14" s="324">
        <v>2005</v>
      </c>
      <c r="C14" s="311">
        <v>460089</v>
      </c>
      <c r="D14" s="311">
        <v>806638</v>
      </c>
      <c r="E14" s="311"/>
      <c r="F14" s="311"/>
      <c r="G14" s="311"/>
      <c r="H14" s="311">
        <f t="shared" si="0"/>
        <v>1266727</v>
      </c>
      <c r="I14" s="312">
        <f>H14/H13-1</f>
        <v>0.19374501124736954</v>
      </c>
      <c r="J14" s="314">
        <v>225165</v>
      </c>
      <c r="K14" s="13">
        <v>1.82</v>
      </c>
      <c r="L14" s="326">
        <v>2.8</v>
      </c>
      <c r="M14" s="325">
        <f t="shared" si="1"/>
        <v>5.6257722114893527</v>
      </c>
      <c r="N14" s="312">
        <f>M14/M13-1</f>
        <v>0.18072947152044816</v>
      </c>
      <c r="O14" s="325"/>
      <c r="P14" s="312"/>
      <c r="Q14" s="312">
        <f t="shared" si="4"/>
        <v>0.20965943056367498</v>
      </c>
      <c r="R14" s="13"/>
      <c r="U14" s="26"/>
    </row>
    <row r="15" spans="1:21" ht="15.5">
      <c r="A15" s="20"/>
      <c r="B15" s="324">
        <v>2006</v>
      </c>
      <c r="C15" s="311">
        <v>563443</v>
      </c>
      <c r="D15" s="311">
        <v>812718</v>
      </c>
      <c r="E15" s="311"/>
      <c r="F15" s="311"/>
      <c r="G15" s="311"/>
      <c r="H15" s="311">
        <f t="shared" si="0"/>
        <v>1376161</v>
      </c>
      <c r="I15" s="312">
        <f t="shared" ref="I15:I28" si="5">H15/H14-1</f>
        <v>8.639114821109839E-2</v>
      </c>
      <c r="J15" s="314">
        <v>221430</v>
      </c>
      <c r="K15" s="13">
        <v>2.19</v>
      </c>
      <c r="L15" s="326">
        <v>3.04</v>
      </c>
      <c r="M15" s="325">
        <f t="shared" si="1"/>
        <v>6.2148805491577477</v>
      </c>
      <c r="N15" s="312">
        <f t="shared" ref="N15:N28" si="6">M15/M14-1</f>
        <v>0.10471599551529587</v>
      </c>
      <c r="O15" s="313">
        <v>17.97</v>
      </c>
      <c r="P15" s="312">
        <f t="shared" ref="P15:P27" si="7">K15/O15</f>
        <v>0.12186978297161936</v>
      </c>
      <c r="Q15" s="312">
        <f t="shared" si="4"/>
        <v>2.4230630415392973E-2</v>
      </c>
      <c r="R15" s="13"/>
      <c r="U15" s="26"/>
    </row>
    <row r="16" spans="1:21" ht="15.5">
      <c r="A16" s="20"/>
      <c r="B16" s="324">
        <v>2007</v>
      </c>
      <c r="C16" s="311">
        <v>519304</v>
      </c>
      <c r="D16" s="311">
        <v>875284</v>
      </c>
      <c r="E16" s="311"/>
      <c r="F16" s="311"/>
      <c r="G16" s="311"/>
      <c r="H16" s="311">
        <f t="shared" si="0"/>
        <v>1394588</v>
      </c>
      <c r="I16" s="312">
        <f t="shared" si="5"/>
        <v>1.3390148391067669E-2</v>
      </c>
      <c r="J16" s="314">
        <v>223032</v>
      </c>
      <c r="K16" s="13">
        <v>1.95</v>
      </c>
      <c r="L16" s="326">
        <v>3.36</v>
      </c>
      <c r="M16" s="325">
        <f t="shared" si="1"/>
        <v>6.2528605760608347</v>
      </c>
      <c r="N16" s="312">
        <f t="shared" si="6"/>
        <v>6.1111435051208751E-3</v>
      </c>
      <c r="O16" s="313">
        <v>15.98</v>
      </c>
      <c r="P16" s="312">
        <f t="shared" si="7"/>
        <v>0.12202753441802253</v>
      </c>
      <c r="Q16" s="312">
        <f t="shared" si="4"/>
        <v>4.264788543842446E-2</v>
      </c>
      <c r="R16" s="13"/>
      <c r="U16" s="26"/>
    </row>
    <row r="17" spans="1:21" ht="15.5">
      <c r="A17" s="20"/>
      <c r="B17" s="324">
        <v>2008</v>
      </c>
      <c r="C17" s="311">
        <v>463656</v>
      </c>
      <c r="D17" s="311">
        <v>956827</v>
      </c>
      <c r="E17" s="311"/>
      <c r="F17" s="311"/>
      <c r="G17" s="311"/>
      <c r="H17" s="311">
        <f t="shared" si="0"/>
        <v>1420483</v>
      </c>
      <c r="I17" s="312">
        <f t="shared" si="5"/>
        <v>1.8568207958192584E-2</v>
      </c>
      <c r="J17" s="314">
        <v>225810</v>
      </c>
      <c r="K17" s="13">
        <v>1.87</v>
      </c>
      <c r="L17" s="326">
        <v>3.6</v>
      </c>
      <c r="M17" s="325">
        <f t="shared" si="1"/>
        <v>6.2906115761038039</v>
      </c>
      <c r="N17" s="312">
        <f t="shared" si="6"/>
        <v>6.0373967376625703E-3</v>
      </c>
      <c r="O17" s="313">
        <v>13.41</v>
      </c>
      <c r="P17" s="312">
        <f t="shared" si="7"/>
        <v>0.13944817300522</v>
      </c>
      <c r="Q17" s="312">
        <f t="shared" si="4"/>
        <v>6.750465772509795E-2</v>
      </c>
      <c r="R17" s="13"/>
      <c r="U17" s="26"/>
    </row>
    <row r="18" spans="1:21" ht="15.5">
      <c r="A18" s="20"/>
      <c r="B18" s="324">
        <v>2009</v>
      </c>
      <c r="C18" s="311">
        <v>387262</v>
      </c>
      <c r="D18" s="311">
        <v>1009490</v>
      </c>
      <c r="E18" s="311"/>
      <c r="F18" s="311"/>
      <c r="G18" s="311"/>
      <c r="H18" s="311">
        <f t="shared" si="0"/>
        <v>1396752</v>
      </c>
      <c r="I18" s="312">
        <f t="shared" si="5"/>
        <v>-1.6706289339611935E-2</v>
      </c>
      <c r="J18" s="314">
        <v>285752</v>
      </c>
      <c r="K18" s="13">
        <v>1.05</v>
      </c>
      <c r="L18" s="326">
        <v>2.7</v>
      </c>
      <c r="M18" s="325">
        <f t="shared" si="1"/>
        <v>4.8879867857442818</v>
      </c>
      <c r="N18" s="312">
        <f t="shared" si="6"/>
        <v>-0.22297113299566673</v>
      </c>
      <c r="O18" s="313">
        <v>18.14</v>
      </c>
      <c r="P18" s="312">
        <f t="shared" si="7"/>
        <v>5.7883131201764061E-2</v>
      </c>
      <c r="Q18" s="312">
        <f t="shared" si="4"/>
        <v>-0.12847574599856948</v>
      </c>
      <c r="R18" s="13"/>
      <c r="U18" s="26"/>
    </row>
    <row r="19" spans="1:21" ht="15.5">
      <c r="A19" s="20"/>
      <c r="B19" s="324">
        <v>2010</v>
      </c>
      <c r="C19" s="311">
        <v>753514</v>
      </c>
      <c r="D19" s="311">
        <v>1016027</v>
      </c>
      <c r="E19" s="311"/>
      <c r="F19" s="311"/>
      <c r="G19" s="311"/>
      <c r="H19" s="311">
        <f t="shared" si="0"/>
        <v>1769541</v>
      </c>
      <c r="I19" s="312">
        <f t="shared" si="5"/>
        <v>0.26689705831815536</v>
      </c>
      <c r="J19" s="314">
        <v>296965</v>
      </c>
      <c r="K19" s="13">
        <v>2.1</v>
      </c>
      <c r="L19" s="326">
        <v>2.5999999999999996</v>
      </c>
      <c r="M19" s="325">
        <f t="shared" si="1"/>
        <v>5.9587527149664101</v>
      </c>
      <c r="N19" s="312">
        <f t="shared" si="6"/>
        <v>0.21906072502998497</v>
      </c>
      <c r="O19" s="313">
        <v>19.23</v>
      </c>
      <c r="P19" s="312">
        <f t="shared" si="7"/>
        <v>0.10920436817472699</v>
      </c>
      <c r="Q19" s="312">
        <f t="shared" si="4"/>
        <v>-1.0436210652929989E-2</v>
      </c>
      <c r="R19" s="13"/>
      <c r="U19" s="26"/>
    </row>
    <row r="20" spans="1:21" ht="15.5">
      <c r="A20" s="20"/>
      <c r="B20" s="324">
        <v>2011</v>
      </c>
      <c r="C20" s="311">
        <v>1245900</v>
      </c>
      <c r="D20" s="311">
        <v>1112438</v>
      </c>
      <c r="E20" s="311"/>
      <c r="F20" s="311"/>
      <c r="G20" s="311"/>
      <c r="H20" s="311">
        <f t="shared" si="0"/>
        <v>2358338</v>
      </c>
      <c r="I20" s="312">
        <f t="shared" si="5"/>
        <v>0.33273995911934229</v>
      </c>
      <c r="J20" s="314">
        <v>297734</v>
      </c>
      <c r="K20" s="13">
        <v>3.48</v>
      </c>
      <c r="L20" s="326">
        <v>3.3000000000000003</v>
      </c>
      <c r="M20" s="325">
        <f t="shared" si="1"/>
        <v>7.9209562898426116</v>
      </c>
      <c r="N20" s="312">
        <f t="shared" si="6"/>
        <v>0.32929770184082274</v>
      </c>
      <c r="O20" s="313">
        <v>18.87</v>
      </c>
      <c r="P20" s="312">
        <f t="shared" si="7"/>
        <v>0.18441971383147854</v>
      </c>
      <c r="Q20" s="312">
        <f t="shared" si="4"/>
        <v>0.15580922956349008</v>
      </c>
      <c r="R20" s="13"/>
      <c r="U20" s="26"/>
    </row>
    <row r="21" spans="1:21" ht="15.5">
      <c r="A21" s="20"/>
      <c r="B21" s="324">
        <v>2012</v>
      </c>
      <c r="C21" s="311">
        <v>1719632</v>
      </c>
      <c r="D21" s="311">
        <v>1301304</v>
      </c>
      <c r="E21" s="311">
        <v>-18104</v>
      </c>
      <c r="F21" s="311"/>
      <c r="G21" s="311"/>
      <c r="H21" s="311">
        <f t="shared" si="0"/>
        <v>3002832</v>
      </c>
      <c r="I21" s="312">
        <f t="shared" si="5"/>
        <v>0.2732831341393811</v>
      </c>
      <c r="J21" s="314">
        <v>309904</v>
      </c>
      <c r="K21" s="13">
        <v>4.72</v>
      </c>
      <c r="L21" s="326">
        <v>4.0999999999999996</v>
      </c>
      <c r="M21" s="325">
        <f t="shared" si="1"/>
        <v>9.6895554752439459</v>
      </c>
      <c r="N21" s="312">
        <f t="shared" si="6"/>
        <v>0.22328101818580759</v>
      </c>
      <c r="O21" s="313">
        <v>22.24</v>
      </c>
      <c r="P21" s="312">
        <f t="shared" si="7"/>
        <v>0.21223021582733814</v>
      </c>
      <c r="Q21" s="312">
        <f t="shared" si="4"/>
        <v>0.26044847753177791</v>
      </c>
      <c r="R21" s="13"/>
      <c r="U21" s="26"/>
    </row>
    <row r="22" spans="1:21" ht="15.5">
      <c r="A22" s="20"/>
      <c r="B22" s="324">
        <v>2013</v>
      </c>
      <c r="C22" s="311">
        <v>1551589</v>
      </c>
      <c r="D22" s="311">
        <v>1332950</v>
      </c>
      <c r="E22" s="311">
        <v>-107515</v>
      </c>
      <c r="F22" s="311"/>
      <c r="G22" s="311"/>
      <c r="H22" s="311">
        <f t="shared" si="0"/>
        <v>2777024</v>
      </c>
      <c r="I22" s="312">
        <f t="shared" si="5"/>
        <v>-7.5198346094620061E-2</v>
      </c>
      <c r="J22" s="314">
        <v>310609</v>
      </c>
      <c r="K22" s="13">
        <v>4.24</v>
      </c>
      <c r="L22" s="326">
        <v>4.6499999999999995</v>
      </c>
      <c r="M22" s="325">
        <f t="shared" si="1"/>
        <v>8.9405780257494154</v>
      </c>
      <c r="N22" s="312">
        <f t="shared" si="6"/>
        <v>-7.7297400423384621E-2</v>
      </c>
      <c r="O22" s="313">
        <v>21.97</v>
      </c>
      <c r="P22" s="312">
        <f t="shared" si="7"/>
        <v>0.19299044151115158</v>
      </c>
      <c r="Q22" s="312">
        <f t="shared" si="4"/>
        <v>0.41756877827076377</v>
      </c>
      <c r="R22" s="13"/>
      <c r="U22" s="26"/>
    </row>
    <row r="23" spans="1:21" ht="15.5">
      <c r="A23" s="20"/>
      <c r="B23" s="324">
        <v>2014</v>
      </c>
      <c r="C23" s="311">
        <v>1663667</v>
      </c>
      <c r="D23" s="311">
        <v>1285784</v>
      </c>
      <c r="E23" s="311">
        <v>-158550</v>
      </c>
      <c r="F23" s="311"/>
      <c r="G23" s="311"/>
      <c r="H23" s="311">
        <f t="shared" si="0"/>
        <v>2790901</v>
      </c>
      <c r="I23" s="312">
        <f t="shared" si="5"/>
        <v>4.997076006545198E-3</v>
      </c>
      <c r="J23" s="314">
        <v>310788</v>
      </c>
      <c r="K23" s="13">
        <v>4.5199999999999996</v>
      </c>
      <c r="L23" s="326">
        <v>5.1499999999999995</v>
      </c>
      <c r="M23" s="325">
        <f t="shared" si="1"/>
        <v>8.9800796684556676</v>
      </c>
      <c r="N23" s="312">
        <f t="shared" si="6"/>
        <v>4.4182426004766295E-3</v>
      </c>
      <c r="O23" s="313">
        <v>19.149999999999999</v>
      </c>
      <c r="P23" s="312">
        <f t="shared" si="7"/>
        <v>0.2360313315926893</v>
      </c>
      <c r="Q23" s="312">
        <f t="shared" si="4"/>
        <v>0.21123882997165522</v>
      </c>
      <c r="R23" s="13"/>
      <c r="U23" s="26"/>
    </row>
    <row r="24" spans="1:21" ht="15.5">
      <c r="A24" s="20"/>
      <c r="B24" s="324">
        <v>2015</v>
      </c>
      <c r="C24" s="311">
        <v>2139375</v>
      </c>
      <c r="D24" s="311">
        <v>1239214</v>
      </c>
      <c r="E24" s="311">
        <v>-250516</v>
      </c>
      <c r="F24" s="311"/>
      <c r="G24" s="311"/>
      <c r="H24" s="311">
        <f t="shared" si="0"/>
        <v>3128073</v>
      </c>
      <c r="I24" s="312">
        <f t="shared" si="5"/>
        <v>0.12081116456656837</v>
      </c>
      <c r="J24" s="314">
        <v>309421</v>
      </c>
      <c r="K24" s="13">
        <v>5.88</v>
      </c>
      <c r="L24" s="326">
        <v>6.0500000000000007</v>
      </c>
      <c r="M24" s="325">
        <f t="shared" si="1"/>
        <v>10.109439889341706</v>
      </c>
      <c r="N24" s="312">
        <f t="shared" si="6"/>
        <v>0.12576282868103528</v>
      </c>
      <c r="O24" s="313">
        <v>16.86</v>
      </c>
      <c r="P24" s="312">
        <f t="shared" si="7"/>
        <v>0.3487544483985765</v>
      </c>
      <c r="Q24" s="312">
        <f t="shared" si="4"/>
        <v>0.14011726030236171</v>
      </c>
      <c r="R24" s="13"/>
      <c r="U24" s="26"/>
    </row>
    <row r="25" spans="1:21" ht="15.5">
      <c r="A25" s="20"/>
      <c r="B25" s="324">
        <v>2016</v>
      </c>
      <c r="C25" s="311">
        <v>2134707</v>
      </c>
      <c r="D25" s="311">
        <v>1327946</v>
      </c>
      <c r="E25" s="311">
        <v>-84552</v>
      </c>
      <c r="F25" s="311"/>
      <c r="G25" s="311"/>
      <c r="H25" s="311">
        <f t="shared" si="0"/>
        <v>3378101</v>
      </c>
      <c r="I25" s="312">
        <f t="shared" si="5"/>
        <v>7.9930359681503527E-2</v>
      </c>
      <c r="J25" s="314">
        <v>313075</v>
      </c>
      <c r="K25" s="13">
        <v>5.87</v>
      </c>
      <c r="L25" s="326">
        <v>6.5</v>
      </c>
      <c r="M25" s="325">
        <f t="shared" si="1"/>
        <v>10.790069472171204</v>
      </c>
      <c r="N25" s="312">
        <f t="shared" si="6"/>
        <v>6.7326141732845235E-2</v>
      </c>
      <c r="O25" s="313">
        <v>15.84</v>
      </c>
      <c r="P25" s="312">
        <f t="shared" si="7"/>
        <v>0.37058080808080807</v>
      </c>
      <c r="Q25" s="312">
        <f t="shared" si="4"/>
        <v>5.6024576866044118E-2</v>
      </c>
      <c r="R25" s="13"/>
      <c r="U25" s="26"/>
    </row>
    <row r="26" spans="1:21" ht="15.5">
      <c r="A26" s="20"/>
      <c r="B26" s="324">
        <v>2017</v>
      </c>
      <c r="C26" s="311">
        <v>2244904</v>
      </c>
      <c r="D26" s="311">
        <v>1357351</v>
      </c>
      <c r="E26" s="311">
        <v>-3647</v>
      </c>
      <c r="F26" s="311"/>
      <c r="G26" s="311"/>
      <c r="H26" s="311">
        <f t="shared" si="0"/>
        <v>3598608</v>
      </c>
      <c r="I26" s="312">
        <f t="shared" si="5"/>
        <v>6.527543137401759E-2</v>
      </c>
      <c r="J26" s="314">
        <v>310667</v>
      </c>
      <c r="K26" s="13">
        <v>6.24</v>
      </c>
      <c r="L26" s="326">
        <v>7.15</v>
      </c>
      <c r="M26" s="325">
        <f t="shared" si="1"/>
        <v>11.583489717285712</v>
      </c>
      <c r="N26" s="312">
        <f t="shared" si="6"/>
        <v>7.3532450107093972E-2</v>
      </c>
      <c r="O26" s="313">
        <v>13.62</v>
      </c>
      <c r="P26" s="312">
        <f t="shared" si="7"/>
        <v>0.45814977973568288</v>
      </c>
      <c r="Q26" s="312">
        <f t="shared" si="4"/>
        <v>0.1014243747342598</v>
      </c>
      <c r="R26" s="13"/>
      <c r="U26" s="26"/>
    </row>
    <row r="27" spans="1:21" ht="15.5">
      <c r="A27" s="20"/>
      <c r="B27" s="324">
        <v>2018</v>
      </c>
      <c r="C27" s="311">
        <v>2822343</v>
      </c>
      <c r="D27" s="311">
        <v>1349776</v>
      </c>
      <c r="E27" s="311">
        <v>-288827</v>
      </c>
      <c r="F27" s="311"/>
      <c r="G27" s="311"/>
      <c r="H27" s="311">
        <f t="shared" si="0"/>
        <v>3883292</v>
      </c>
      <c r="I27" s="312">
        <f t="shared" si="5"/>
        <v>7.9109477887005175E-2</v>
      </c>
      <c r="J27" s="314">
        <v>309017</v>
      </c>
      <c r="K27" s="13">
        <v>7.87</v>
      </c>
      <c r="L27" s="326">
        <v>7.9</v>
      </c>
      <c r="M27" s="325">
        <f t="shared" si="1"/>
        <v>12.566596659730694</v>
      </c>
      <c r="N27" s="312">
        <f t="shared" si="6"/>
        <v>8.4871395964371654E-2</v>
      </c>
      <c r="O27" s="313">
        <v>11.85</v>
      </c>
      <c r="P27" s="312">
        <f t="shared" si="7"/>
        <v>0.66413502109704647</v>
      </c>
      <c r="Q27" s="312">
        <f t="shared" si="4"/>
        <v>0.14870648899829031</v>
      </c>
      <c r="R27" s="13"/>
      <c r="U27" s="26"/>
    </row>
    <row r="28" spans="1:21" ht="15.5">
      <c r="A28" s="20"/>
      <c r="B28" s="324">
        <v>2019</v>
      </c>
      <c r="C28" s="293">
        <v>2423189</v>
      </c>
      <c r="D28" s="293">
        <v>1394172</v>
      </c>
      <c r="E28" s="293">
        <v>-14883</v>
      </c>
      <c r="F28" s="293"/>
      <c r="G28" s="293"/>
      <c r="H28" s="311">
        <f t="shared" si="0"/>
        <v>3802478</v>
      </c>
      <c r="I28" s="312">
        <f t="shared" si="5"/>
        <v>-2.0810693607382635E-2</v>
      </c>
      <c r="J28" s="314">
        <v>320443</v>
      </c>
      <c r="K28" s="13">
        <v>6.81</v>
      </c>
      <c r="L28" s="326">
        <v>8.2999999999999989</v>
      </c>
      <c r="M28" s="325">
        <f>H28/J28</f>
        <v>11.866316318346788</v>
      </c>
      <c r="N28" s="312">
        <f t="shared" si="6"/>
        <v>-5.5725536543074883E-2</v>
      </c>
      <c r="O28" s="313">
        <v>9.09</v>
      </c>
      <c r="P28" s="312">
        <f>K28/O28</f>
        <v>0.74917491749174914</v>
      </c>
      <c r="Q28" s="312">
        <f>(K28/K24)^0.25-1</f>
        <v>3.7390929665082062E-2</v>
      </c>
      <c r="R28" s="325"/>
      <c r="U28" s="26"/>
    </row>
    <row r="29" spans="1:21">
      <c r="B29" s="13"/>
      <c r="C29" s="13"/>
      <c r="D29" s="13"/>
      <c r="E29" s="13"/>
      <c r="F29" s="13"/>
      <c r="G29" s="13"/>
      <c r="H29" s="13"/>
      <c r="I29" s="13"/>
      <c r="J29" s="13"/>
      <c r="K29" s="13"/>
      <c r="L29" s="13"/>
      <c r="M29" s="13"/>
      <c r="N29" s="13"/>
      <c r="O29" s="13"/>
      <c r="P29" s="13"/>
      <c r="Q29" s="13"/>
      <c r="R29" s="13"/>
    </row>
    <row r="30" spans="1:21">
      <c r="B30" s="13"/>
      <c r="C30" s="13"/>
      <c r="D30" s="13"/>
      <c r="E30" s="13"/>
      <c r="F30" s="13"/>
      <c r="G30" s="13"/>
      <c r="H30" s="13"/>
      <c r="I30" s="13"/>
      <c r="J30" s="13"/>
      <c r="K30" s="13"/>
      <c r="L30" s="13"/>
      <c r="M30" s="13"/>
      <c r="N30" s="13"/>
      <c r="O30" s="13"/>
      <c r="P30" s="13"/>
      <c r="Q30" s="13"/>
      <c r="R30" s="13"/>
    </row>
    <row r="31" spans="1:21">
      <c r="B31" s="13"/>
      <c r="C31" s="13"/>
      <c r="D31" s="13"/>
      <c r="E31" s="13"/>
      <c r="F31" s="13"/>
      <c r="G31" s="13"/>
      <c r="H31" s="13"/>
      <c r="I31" s="13"/>
      <c r="J31" s="13"/>
      <c r="K31" s="13"/>
      <c r="L31" s="13"/>
      <c r="M31" s="13"/>
      <c r="N31" s="13"/>
      <c r="O31" s="13"/>
      <c r="P31" s="13"/>
      <c r="Q31" s="13"/>
      <c r="R31" s="13"/>
    </row>
    <row r="32" spans="1:21">
      <c r="B32" s="13"/>
      <c r="C32" s="13"/>
      <c r="D32" s="13"/>
      <c r="E32" s="13"/>
      <c r="F32" s="13"/>
      <c r="G32" s="13"/>
      <c r="H32" s="13"/>
      <c r="I32" s="13"/>
      <c r="J32" s="13"/>
      <c r="K32" s="13"/>
      <c r="L32" s="13"/>
      <c r="M32" s="13"/>
      <c r="N32" s="13"/>
      <c r="O32" s="13"/>
      <c r="P32" s="13"/>
      <c r="Q32" s="13"/>
      <c r="R32" s="13"/>
    </row>
  </sheetData>
  <phoneticPr fontId="4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56B0D-BBEF-4468-A8BA-D7617AB50638}">
  <dimension ref="A1:DK215"/>
  <sheetViews>
    <sheetView zoomScale="130" zoomScaleNormal="130" workbookViewId="0">
      <pane xSplit="1" ySplit="1" topLeftCell="B119" activePane="bottomRight" state="frozen"/>
      <selection pane="topRight"/>
      <selection pane="bottomLeft"/>
      <selection pane="bottomRight" activeCell="M122" sqref="M122"/>
    </sheetView>
  </sheetViews>
  <sheetFormatPr defaultColWidth="8.83203125" defaultRowHeight="15.5"/>
  <cols>
    <col min="1" max="2" width="13.33203125" customWidth="1"/>
    <col min="3" max="3" width="10.08203125" style="23" customWidth="1"/>
    <col min="4" max="4" width="10.58203125" customWidth="1"/>
    <col min="5" max="5" width="12.5" bestFit="1" customWidth="1"/>
    <col min="6" max="6" width="11.33203125" bestFit="1" customWidth="1"/>
    <col min="7" max="7" width="16.33203125" customWidth="1"/>
    <col min="8" max="10" width="16.08203125" customWidth="1"/>
    <col min="11" max="11" width="14.08203125" bestFit="1" customWidth="1"/>
    <col min="12" max="12" width="16.58203125" customWidth="1"/>
    <col min="13" max="13" width="15.83203125" customWidth="1"/>
    <col min="14" max="17" width="9.5" bestFit="1" customWidth="1"/>
    <col min="18" max="18" width="12.5" customWidth="1"/>
    <col min="19" max="19" width="13" customWidth="1"/>
    <col min="20" max="20" width="12.5" customWidth="1"/>
    <col min="21" max="22" width="10.33203125" customWidth="1"/>
    <col min="23" max="23" width="12" bestFit="1" customWidth="1"/>
    <col min="24" max="26" width="9.5" bestFit="1" customWidth="1"/>
    <col min="27" max="27" width="10.08203125" bestFit="1" customWidth="1"/>
    <col min="28" max="29" width="9.5" bestFit="1" customWidth="1"/>
    <col min="30" max="30" width="9.5" customWidth="1"/>
    <col min="31" max="87" width="9.5" bestFit="1" customWidth="1"/>
    <col min="88" max="88" width="11.33203125" bestFit="1" customWidth="1"/>
    <col min="89" max="94" width="9.5" bestFit="1" customWidth="1"/>
    <col min="95" max="97" width="9.33203125" bestFit="1" customWidth="1"/>
  </cols>
  <sheetData>
    <row r="1" spans="1:36" s="308" customFormat="1" ht="39.75" customHeight="1">
      <c r="A1" s="300" t="s">
        <v>1034</v>
      </c>
      <c r="B1" s="323" t="s">
        <v>277</v>
      </c>
      <c r="C1" s="300" t="s">
        <v>1022</v>
      </c>
      <c r="D1" s="300" t="s">
        <v>1035</v>
      </c>
      <c r="E1" s="323" t="s">
        <v>1023</v>
      </c>
      <c r="F1" s="323" t="s">
        <v>1024</v>
      </c>
      <c r="G1" s="300" t="s">
        <v>1026</v>
      </c>
      <c r="H1" s="301" t="s">
        <v>78</v>
      </c>
      <c r="I1" s="302" t="s">
        <v>1036</v>
      </c>
      <c r="J1" s="303" t="s">
        <v>1027</v>
      </c>
      <c r="K1" s="304" t="s">
        <v>1028</v>
      </c>
      <c r="L1" s="304" t="s">
        <v>1029</v>
      </c>
      <c r="M1" s="305" t="s">
        <v>1030</v>
      </c>
      <c r="N1" s="303" t="s">
        <v>1031</v>
      </c>
      <c r="O1" s="306" t="s">
        <v>1032</v>
      </c>
      <c r="P1" s="307" t="s">
        <v>1037</v>
      </c>
      <c r="Q1" s="307" t="s">
        <v>1038</v>
      </c>
      <c r="R1" s="307" t="s">
        <v>1039</v>
      </c>
      <c r="S1" s="307" t="s">
        <v>1040</v>
      </c>
      <c r="T1" s="306" t="s">
        <v>1041</v>
      </c>
      <c r="U1" s="306" t="s">
        <v>757</v>
      </c>
      <c r="V1" s="307" t="s">
        <v>1042</v>
      </c>
      <c r="W1" s="306" t="s">
        <v>1043</v>
      </c>
      <c r="X1" s="307" t="s">
        <v>1044</v>
      </c>
      <c r="Y1" s="307" t="s">
        <v>1045</v>
      </c>
      <c r="Z1" s="307" t="s">
        <v>1046</v>
      </c>
      <c r="AA1" s="307" t="s">
        <v>1047</v>
      </c>
      <c r="AB1" s="307" t="s">
        <v>1048</v>
      </c>
      <c r="AC1" s="307" t="s">
        <v>1049</v>
      </c>
      <c r="AD1" s="307" t="s">
        <v>1050</v>
      </c>
      <c r="AE1" s="306" t="s">
        <v>1051</v>
      </c>
      <c r="AF1" s="306"/>
      <c r="AG1" s="306"/>
      <c r="AH1" s="306"/>
      <c r="AI1" s="306"/>
      <c r="AJ1" s="306"/>
    </row>
    <row r="2" spans="1:36" s="13" customFormat="1" ht="14">
      <c r="A2" s="310" t="s">
        <v>1052</v>
      </c>
      <c r="B2" s="310"/>
      <c r="C2" s="311">
        <v>7900</v>
      </c>
      <c r="D2" s="293">
        <v>-2061</v>
      </c>
      <c r="E2" s="293"/>
      <c r="F2" s="293"/>
      <c r="G2" s="293"/>
      <c r="H2" s="311">
        <f t="shared" ref="H2:H33" si="0">C2+D2+E2-F2-G2</f>
        <v>5839</v>
      </c>
      <c r="I2" s="312"/>
      <c r="J2" s="311"/>
      <c r="K2" s="313"/>
      <c r="L2" s="313"/>
      <c r="M2" s="313"/>
      <c r="N2" s="314"/>
      <c r="AA2" s="319"/>
    </row>
    <row r="3" spans="1:36" s="13" customFormat="1" ht="14">
      <c r="A3" s="310" t="s">
        <v>1053</v>
      </c>
      <c r="B3" s="310"/>
      <c r="C3" s="311">
        <v>8000</v>
      </c>
      <c r="D3" s="293">
        <v>-10141</v>
      </c>
      <c r="E3" s="293"/>
      <c r="F3" s="293"/>
      <c r="G3" s="293"/>
      <c r="H3" s="311">
        <f t="shared" si="0"/>
        <v>-2141</v>
      </c>
      <c r="I3" s="312"/>
      <c r="J3" s="311"/>
      <c r="K3" s="313"/>
      <c r="L3" s="313"/>
      <c r="M3" s="313"/>
      <c r="N3" s="314"/>
      <c r="AA3" s="319"/>
    </row>
    <row r="4" spans="1:36" s="13" customFormat="1" ht="14">
      <c r="A4" s="310" t="s">
        <v>1054</v>
      </c>
      <c r="B4" s="310"/>
      <c r="C4" s="311">
        <v>8000</v>
      </c>
      <c r="D4" s="293">
        <v>-2681</v>
      </c>
      <c r="E4" s="293"/>
      <c r="F4" s="293"/>
      <c r="G4" s="293"/>
      <c r="H4" s="311">
        <f t="shared" si="0"/>
        <v>5319</v>
      </c>
      <c r="I4" s="312"/>
      <c r="J4" s="311"/>
      <c r="K4" s="313"/>
      <c r="L4" s="313"/>
      <c r="M4" s="313"/>
      <c r="N4" s="314"/>
      <c r="AA4" s="319"/>
    </row>
    <row r="5" spans="1:36" s="13" customFormat="1" ht="14">
      <c r="A5" s="310" t="s">
        <v>1055</v>
      </c>
      <c r="B5" s="310"/>
      <c r="C5" s="311">
        <v>-17000</v>
      </c>
      <c r="D5" s="293">
        <v>0</v>
      </c>
      <c r="E5" s="293"/>
      <c r="F5" s="293"/>
      <c r="G5" s="293"/>
      <c r="H5" s="311">
        <f t="shared" si="0"/>
        <v>-17000</v>
      </c>
      <c r="I5" s="312"/>
      <c r="J5" s="311">
        <v>40950</v>
      </c>
      <c r="K5" s="313"/>
      <c r="L5" s="313"/>
      <c r="M5" s="313">
        <f t="shared" ref="M5:M65" si="1">H5/J5</f>
        <v>-0.41514041514041516</v>
      </c>
      <c r="N5" s="314"/>
      <c r="AA5" s="319"/>
    </row>
    <row r="6" spans="1:36" s="13" customFormat="1" ht="14">
      <c r="A6" s="310" t="s">
        <v>1056</v>
      </c>
      <c r="B6" s="310"/>
      <c r="C6" s="311">
        <v>17800</v>
      </c>
      <c r="D6" s="293">
        <v>19300</v>
      </c>
      <c r="E6" s="293"/>
      <c r="F6" s="293"/>
      <c r="G6" s="293"/>
      <c r="H6" s="311">
        <f t="shared" si="0"/>
        <v>37100</v>
      </c>
      <c r="I6" s="312">
        <f t="shared" ref="I6:I68" si="2">H6/H2-1</f>
        <v>5.3538277102243539</v>
      </c>
      <c r="J6" s="311">
        <v>46612</v>
      </c>
      <c r="K6" s="313"/>
      <c r="L6" s="313">
        <v>0.47499999999999998</v>
      </c>
      <c r="M6" s="313">
        <f t="shared" si="1"/>
        <v>0.79593237792843041</v>
      </c>
      <c r="N6" s="314"/>
      <c r="AA6" s="319"/>
    </row>
    <row r="7" spans="1:36" s="13" customFormat="1" ht="14">
      <c r="A7" s="310" t="s">
        <v>1057</v>
      </c>
      <c r="B7" s="310"/>
      <c r="C7" s="311">
        <v>19100</v>
      </c>
      <c r="D7" s="293">
        <v>20400</v>
      </c>
      <c r="E7" s="293"/>
      <c r="F7" s="293"/>
      <c r="G7" s="293"/>
      <c r="H7" s="311">
        <f t="shared" si="0"/>
        <v>39500</v>
      </c>
      <c r="I7" s="312">
        <f t="shared" si="2"/>
        <v>-19.449322746380197</v>
      </c>
      <c r="J7" s="311">
        <v>46613</v>
      </c>
      <c r="K7" s="313"/>
      <c r="L7" s="313">
        <v>0.47499999999999998</v>
      </c>
      <c r="M7" s="313">
        <f t="shared" si="1"/>
        <v>0.84740308497629413</v>
      </c>
      <c r="N7" s="314"/>
      <c r="AA7" s="319"/>
    </row>
    <row r="8" spans="1:36" s="13" customFormat="1" ht="14">
      <c r="A8" s="310" t="s">
        <v>1058</v>
      </c>
      <c r="B8" s="310"/>
      <c r="C8" s="311">
        <v>15600</v>
      </c>
      <c r="D8" s="293">
        <v>21400</v>
      </c>
      <c r="E8" s="293"/>
      <c r="F8" s="293"/>
      <c r="G8" s="293"/>
      <c r="H8" s="311">
        <f t="shared" si="0"/>
        <v>37000</v>
      </c>
      <c r="I8" s="312">
        <f t="shared" si="2"/>
        <v>5.9561947734536567</v>
      </c>
      <c r="J8" s="311">
        <v>45212</v>
      </c>
      <c r="K8" s="313"/>
      <c r="L8" s="313">
        <v>0.47499999999999998</v>
      </c>
      <c r="M8" s="313">
        <f t="shared" si="1"/>
        <v>0.81836680527293637</v>
      </c>
      <c r="N8" s="314"/>
      <c r="AA8" s="319"/>
    </row>
    <row r="9" spans="1:36" s="13" customFormat="1" ht="14">
      <c r="A9" s="310" t="s">
        <v>1059</v>
      </c>
      <c r="B9" s="310"/>
      <c r="C9" s="311">
        <v>1800</v>
      </c>
      <c r="D9" s="293">
        <v>22100</v>
      </c>
      <c r="E9" s="293"/>
      <c r="F9" s="293"/>
      <c r="G9" s="293"/>
      <c r="H9" s="311">
        <f t="shared" si="0"/>
        <v>23900</v>
      </c>
      <c r="I9" s="312">
        <f t="shared" si="2"/>
        <v>-2.4058823529411764</v>
      </c>
      <c r="J9" s="311">
        <v>45212</v>
      </c>
      <c r="K9" s="313"/>
      <c r="L9" s="313">
        <v>0.47499999999999998</v>
      </c>
      <c r="M9" s="313">
        <f t="shared" si="1"/>
        <v>0.5286207201627886</v>
      </c>
      <c r="N9" s="314"/>
      <c r="AA9" s="319"/>
    </row>
    <row r="10" spans="1:36" s="13" customFormat="1" ht="14">
      <c r="A10" s="310" t="s">
        <v>1060</v>
      </c>
      <c r="B10" s="310"/>
      <c r="C10" s="311">
        <v>12600</v>
      </c>
      <c r="D10" s="293">
        <v>23500</v>
      </c>
      <c r="E10" s="293"/>
      <c r="F10" s="293"/>
      <c r="G10" s="293"/>
      <c r="H10" s="311">
        <f t="shared" si="0"/>
        <v>36100</v>
      </c>
      <c r="I10" s="312">
        <f t="shared" si="2"/>
        <v>-2.695417789757415E-2</v>
      </c>
      <c r="J10" s="311">
        <v>50794</v>
      </c>
      <c r="K10" s="313"/>
      <c r="L10" s="313">
        <v>0.49249999999999999</v>
      </c>
      <c r="M10" s="313">
        <f t="shared" si="1"/>
        <v>0.71071386384218604</v>
      </c>
      <c r="N10" s="314"/>
      <c r="AA10" s="319"/>
    </row>
    <row r="11" spans="1:36" s="13" customFormat="1" ht="14">
      <c r="A11" s="310" t="s">
        <v>1061</v>
      </c>
      <c r="B11" s="310"/>
      <c r="C11" s="311">
        <v>14100</v>
      </c>
      <c r="D11" s="293">
        <v>24000</v>
      </c>
      <c r="E11" s="293"/>
      <c r="F11" s="293"/>
      <c r="G11" s="293"/>
      <c r="H11" s="311">
        <f t="shared" si="0"/>
        <v>38100</v>
      </c>
      <c r="I11" s="312">
        <f t="shared" si="2"/>
        <v>-3.5443037974683511E-2</v>
      </c>
      <c r="J11" s="311">
        <v>57038</v>
      </c>
      <c r="K11" s="313"/>
      <c r="L11" s="313">
        <v>0.49249999999999999</v>
      </c>
      <c r="M11" s="313">
        <f t="shared" si="1"/>
        <v>0.66797573547459588</v>
      </c>
      <c r="N11" s="314"/>
      <c r="AA11" s="319"/>
    </row>
    <row r="12" spans="1:36" s="13" customFormat="1" ht="14">
      <c r="A12" s="310" t="s">
        <v>1062</v>
      </c>
      <c r="B12" s="310"/>
      <c r="C12" s="311">
        <v>17400</v>
      </c>
      <c r="D12" s="293">
        <v>24300</v>
      </c>
      <c r="E12" s="293"/>
      <c r="F12" s="293"/>
      <c r="G12" s="293"/>
      <c r="H12" s="311">
        <f t="shared" si="0"/>
        <v>41700</v>
      </c>
      <c r="I12" s="312">
        <f t="shared" si="2"/>
        <v>0.12702702702702706</v>
      </c>
      <c r="J12" s="311">
        <v>58239</v>
      </c>
      <c r="K12" s="313"/>
      <c r="L12" s="313">
        <v>0.49249999999999999</v>
      </c>
      <c r="M12" s="313">
        <f t="shared" si="1"/>
        <v>0.71601504146705819</v>
      </c>
      <c r="N12" s="314"/>
      <c r="AA12" s="319"/>
    </row>
    <row r="13" spans="1:36" s="13" customFormat="1" ht="14">
      <c r="A13" s="310" t="s">
        <v>1063</v>
      </c>
      <c r="B13" s="310"/>
      <c r="C13" s="311">
        <v>57200</v>
      </c>
      <c r="D13" s="293">
        <v>29500</v>
      </c>
      <c r="E13" s="293"/>
      <c r="F13" s="293"/>
      <c r="G13" s="293"/>
      <c r="H13" s="311">
        <f t="shared" si="0"/>
        <v>86700</v>
      </c>
      <c r="I13" s="312">
        <f t="shared" si="2"/>
        <v>2.6276150627615062</v>
      </c>
      <c r="J13" s="311">
        <v>58360</v>
      </c>
      <c r="K13" s="313"/>
      <c r="L13" s="313">
        <v>0.49249999999999999</v>
      </c>
      <c r="M13" s="313">
        <f t="shared" si="1"/>
        <v>1.4856065798492117</v>
      </c>
      <c r="N13" s="314"/>
      <c r="AA13" s="319"/>
    </row>
    <row r="14" spans="1:36" s="13" customFormat="1" ht="14">
      <c r="A14" s="310" t="s">
        <v>1064</v>
      </c>
      <c r="B14" s="310"/>
      <c r="C14" s="311">
        <v>15400</v>
      </c>
      <c r="D14" s="293">
        <v>26700</v>
      </c>
      <c r="E14" s="293"/>
      <c r="F14" s="293"/>
      <c r="G14" s="293"/>
      <c r="H14" s="311">
        <f t="shared" si="0"/>
        <v>42100</v>
      </c>
      <c r="I14" s="312">
        <f t="shared" si="2"/>
        <v>0.16620498614958445</v>
      </c>
      <c r="J14" s="311">
        <v>58560</v>
      </c>
      <c r="K14" s="313"/>
      <c r="L14" s="313">
        <v>0.49249999999999999</v>
      </c>
      <c r="M14" s="313">
        <f t="shared" si="1"/>
        <v>0.71892076502732238</v>
      </c>
      <c r="N14" s="314"/>
      <c r="AA14" s="319"/>
    </row>
    <row r="15" spans="1:36" s="13" customFormat="1" ht="14">
      <c r="A15" s="310" t="s">
        <v>1065</v>
      </c>
      <c r="B15" s="310"/>
      <c r="C15" s="311">
        <v>15400</v>
      </c>
      <c r="D15" s="293">
        <v>28600</v>
      </c>
      <c r="E15" s="293"/>
      <c r="F15" s="293"/>
      <c r="G15" s="293"/>
      <c r="H15" s="311">
        <f t="shared" si="0"/>
        <v>44000</v>
      </c>
      <c r="I15" s="312">
        <f t="shared" si="2"/>
        <v>0.15485564304461952</v>
      </c>
      <c r="J15" s="311">
        <v>58560</v>
      </c>
      <c r="K15" s="313"/>
      <c r="L15" s="313">
        <v>0.49249999999999999</v>
      </c>
      <c r="M15" s="313">
        <f t="shared" si="1"/>
        <v>0.75136612021857918</v>
      </c>
      <c r="N15" s="314"/>
      <c r="AA15" s="319"/>
    </row>
    <row r="16" spans="1:36" s="13" customFormat="1" ht="14">
      <c r="A16" s="310" t="s">
        <v>1066</v>
      </c>
      <c r="B16" s="310"/>
      <c r="C16" s="311">
        <v>19500</v>
      </c>
      <c r="D16" s="293">
        <v>39700</v>
      </c>
      <c r="E16" s="293"/>
      <c r="F16" s="293"/>
      <c r="G16" s="293"/>
      <c r="H16" s="311">
        <f t="shared" si="0"/>
        <v>59200</v>
      </c>
      <c r="I16" s="312">
        <f t="shared" si="2"/>
        <v>0.41966426858513195</v>
      </c>
      <c r="J16" s="311">
        <v>96507</v>
      </c>
      <c r="K16" s="313"/>
      <c r="L16" s="313">
        <v>0.49249999999999999</v>
      </c>
      <c r="M16" s="313">
        <f t="shared" si="1"/>
        <v>0.61342700529495264</v>
      </c>
      <c r="N16" s="314"/>
      <c r="AA16" s="319"/>
    </row>
    <row r="17" spans="1:27" s="13" customFormat="1" ht="14">
      <c r="A17" s="310" t="s">
        <v>1067</v>
      </c>
      <c r="B17" s="310"/>
      <c r="C17" s="311">
        <v>84300</v>
      </c>
      <c r="D17" s="293">
        <v>48600</v>
      </c>
      <c r="E17" s="293"/>
      <c r="F17" s="293"/>
      <c r="G17" s="293"/>
      <c r="H17" s="311">
        <f t="shared" si="0"/>
        <v>132900</v>
      </c>
      <c r="I17" s="312">
        <f t="shared" si="2"/>
        <v>0.53287197231833905</v>
      </c>
      <c r="J17" s="311">
        <v>96876</v>
      </c>
      <c r="K17" s="313"/>
      <c r="L17" s="313">
        <v>0.49249999999999999</v>
      </c>
      <c r="M17" s="313">
        <f t="shared" si="1"/>
        <v>1.3718568066394152</v>
      </c>
      <c r="N17" s="314"/>
      <c r="AA17" s="319"/>
    </row>
    <row r="18" spans="1:27" s="13" customFormat="1" ht="14">
      <c r="A18" s="310" t="s">
        <v>1068</v>
      </c>
      <c r="B18" s="310"/>
      <c r="C18" s="311">
        <v>37800</v>
      </c>
      <c r="D18" s="293">
        <v>45300</v>
      </c>
      <c r="E18" s="293"/>
      <c r="F18" s="293"/>
      <c r="G18" s="293"/>
      <c r="H18" s="311">
        <f t="shared" si="0"/>
        <v>83100</v>
      </c>
      <c r="I18" s="312">
        <f t="shared" si="2"/>
        <v>0.97387173396674576</v>
      </c>
      <c r="J18" s="311">
        <v>97534</v>
      </c>
      <c r="K18" s="313"/>
      <c r="L18" s="313">
        <v>0.49249999999999999</v>
      </c>
      <c r="M18" s="313">
        <f t="shared" si="1"/>
        <v>0.85201058092562598</v>
      </c>
      <c r="N18" s="314"/>
      <c r="AA18" s="319"/>
    </row>
    <row r="19" spans="1:27" s="13" customFormat="1" ht="14">
      <c r="A19" s="310" t="s">
        <v>1069</v>
      </c>
      <c r="B19" s="310"/>
      <c r="C19" s="311">
        <v>48400</v>
      </c>
      <c r="D19" s="293">
        <v>45700</v>
      </c>
      <c r="E19" s="293"/>
      <c r="F19" s="293"/>
      <c r="G19" s="293"/>
      <c r="H19" s="311">
        <f t="shared" si="0"/>
        <v>94100</v>
      </c>
      <c r="I19" s="312">
        <f t="shared" si="2"/>
        <v>1.1386363636363637</v>
      </c>
      <c r="J19" s="311">
        <v>158631</v>
      </c>
      <c r="K19" s="313"/>
      <c r="L19" s="313">
        <v>0.505</v>
      </c>
      <c r="M19" s="313">
        <f t="shared" si="1"/>
        <v>0.59320057239757673</v>
      </c>
      <c r="N19" s="314"/>
      <c r="AA19" s="319"/>
    </row>
    <row r="20" spans="1:27" s="13" customFormat="1" ht="14">
      <c r="A20" s="310" t="s">
        <v>1070</v>
      </c>
      <c r="B20" s="310"/>
      <c r="C20" s="311">
        <v>61700</v>
      </c>
      <c r="D20" s="293">
        <v>42500</v>
      </c>
      <c r="E20" s="293"/>
      <c r="F20" s="293"/>
      <c r="G20" s="293"/>
      <c r="H20" s="311">
        <f t="shared" si="0"/>
        <v>104200</v>
      </c>
      <c r="I20" s="312">
        <f t="shared" si="2"/>
        <v>0.76013513513513509</v>
      </c>
      <c r="J20" s="311">
        <v>103664</v>
      </c>
      <c r="K20" s="313"/>
      <c r="L20" s="313">
        <v>0.505</v>
      </c>
      <c r="M20" s="313">
        <f t="shared" si="1"/>
        <v>1.0051705510109585</v>
      </c>
      <c r="N20" s="314"/>
      <c r="O20" s="312"/>
      <c r="AA20" s="319"/>
    </row>
    <row r="21" spans="1:27" s="13" customFormat="1" ht="14">
      <c r="A21" s="310" t="s">
        <v>1071</v>
      </c>
      <c r="B21" s="310"/>
      <c r="C21" s="311">
        <v>49900</v>
      </c>
      <c r="D21" s="293">
        <v>75000</v>
      </c>
      <c r="E21" s="293"/>
      <c r="F21" s="293"/>
      <c r="G21" s="293"/>
      <c r="H21" s="311">
        <f t="shared" si="0"/>
        <v>124900</v>
      </c>
      <c r="I21" s="312">
        <f t="shared" si="2"/>
        <v>-6.0195635816403303E-2</v>
      </c>
      <c r="J21" s="311">
        <v>109639</v>
      </c>
      <c r="K21" s="313"/>
      <c r="L21" s="313">
        <v>0.505</v>
      </c>
      <c r="M21" s="313">
        <f t="shared" si="1"/>
        <v>1.1391931703134834</v>
      </c>
      <c r="N21" s="314"/>
      <c r="O21" s="312"/>
      <c r="AA21" s="319"/>
    </row>
    <row r="22" spans="1:27" s="13" customFormat="1" ht="14">
      <c r="A22" s="310" t="s">
        <v>1072</v>
      </c>
      <c r="B22" s="310"/>
      <c r="C22" s="311">
        <v>31300</v>
      </c>
      <c r="D22" s="293">
        <v>60400</v>
      </c>
      <c r="E22" s="293"/>
      <c r="F22" s="293"/>
      <c r="G22" s="293"/>
      <c r="H22" s="311">
        <f t="shared" si="0"/>
        <v>91700</v>
      </c>
      <c r="I22" s="312">
        <f t="shared" si="2"/>
        <v>0.10348977135980753</v>
      </c>
      <c r="J22" s="311">
        <v>109691</v>
      </c>
      <c r="K22" s="313"/>
      <c r="L22" s="313">
        <v>0.505</v>
      </c>
      <c r="M22" s="313">
        <f t="shared" si="1"/>
        <v>0.83598472071546437</v>
      </c>
      <c r="N22" s="314"/>
      <c r="O22" s="312"/>
      <c r="AA22" s="319"/>
    </row>
    <row r="23" spans="1:27" s="13" customFormat="1" ht="14">
      <c r="A23" s="310" t="s">
        <v>1073</v>
      </c>
      <c r="B23" s="310"/>
      <c r="C23" s="311">
        <v>43500</v>
      </c>
      <c r="D23" s="293">
        <v>60500</v>
      </c>
      <c r="E23" s="293"/>
      <c r="F23" s="293"/>
      <c r="G23" s="293"/>
      <c r="H23" s="311">
        <f t="shared" si="0"/>
        <v>104000</v>
      </c>
      <c r="I23" s="312">
        <f t="shared" si="2"/>
        <v>0.10520722635494151</v>
      </c>
      <c r="J23" s="311">
        <v>113678</v>
      </c>
      <c r="K23" s="313"/>
      <c r="L23" s="313">
        <v>0.505</v>
      </c>
      <c r="M23" s="313">
        <f t="shared" si="1"/>
        <v>0.91486479353964711</v>
      </c>
      <c r="N23" s="314"/>
      <c r="O23" s="312"/>
      <c r="AA23" s="319"/>
    </row>
    <row r="24" spans="1:27" s="13" customFormat="1" ht="14">
      <c r="A24" s="310" t="s">
        <v>1074</v>
      </c>
      <c r="B24" s="310"/>
      <c r="C24" s="311">
        <v>52800</v>
      </c>
      <c r="D24" s="293">
        <v>64900</v>
      </c>
      <c r="E24" s="293"/>
      <c r="F24" s="293"/>
      <c r="G24" s="293"/>
      <c r="H24" s="311">
        <f t="shared" si="0"/>
        <v>117700</v>
      </c>
      <c r="I24" s="312">
        <f t="shared" si="2"/>
        <v>0.12955854126679456</v>
      </c>
      <c r="J24" s="311">
        <v>166778</v>
      </c>
      <c r="K24" s="313"/>
      <c r="L24" s="313">
        <v>0.505</v>
      </c>
      <c r="M24" s="313">
        <f t="shared" si="1"/>
        <v>0.70572857331302685</v>
      </c>
      <c r="N24" s="314"/>
      <c r="O24" s="312"/>
      <c r="AA24" s="319"/>
    </row>
    <row r="25" spans="1:27" s="13" customFormat="1" ht="14">
      <c r="A25" s="310" t="s">
        <v>1075</v>
      </c>
      <c r="B25" s="310"/>
      <c r="C25" s="311">
        <v>94730</v>
      </c>
      <c r="D25" s="293">
        <v>93012</v>
      </c>
      <c r="E25" s="293"/>
      <c r="F25" s="293"/>
      <c r="G25" s="293"/>
      <c r="H25" s="311">
        <f t="shared" si="0"/>
        <v>187742</v>
      </c>
      <c r="I25" s="312">
        <f t="shared" si="2"/>
        <v>0.50313851080864702</v>
      </c>
      <c r="J25" s="311">
        <v>166778</v>
      </c>
      <c r="K25" s="313"/>
      <c r="L25" s="313">
        <v>0.505</v>
      </c>
      <c r="M25" s="313">
        <f t="shared" si="1"/>
        <v>1.1257000323783712</v>
      </c>
      <c r="N25" s="314"/>
      <c r="O25" s="312"/>
      <c r="AA25" s="319"/>
    </row>
    <row r="26" spans="1:27" s="13" customFormat="1" ht="14">
      <c r="A26" s="310" t="s">
        <v>1076</v>
      </c>
      <c r="B26" s="310"/>
      <c r="C26" s="311">
        <v>67400</v>
      </c>
      <c r="D26" s="293">
        <v>92100</v>
      </c>
      <c r="E26" s="293"/>
      <c r="F26" s="293"/>
      <c r="G26" s="293"/>
      <c r="H26" s="311">
        <f t="shared" si="0"/>
        <v>159500</v>
      </c>
      <c r="I26" s="312">
        <f t="shared" si="2"/>
        <v>0.73936750272628138</v>
      </c>
      <c r="J26" s="311">
        <v>173184</v>
      </c>
      <c r="K26" s="313">
        <v>0.21</v>
      </c>
      <c r="L26" s="313">
        <v>0.505</v>
      </c>
      <c r="M26" s="313">
        <f t="shared" si="1"/>
        <v>0.92098577235772361</v>
      </c>
      <c r="N26" s="314"/>
      <c r="O26" s="312"/>
      <c r="AA26" s="319"/>
    </row>
    <row r="27" spans="1:27" s="13" customFormat="1" ht="14">
      <c r="A27" s="310" t="s">
        <v>1077</v>
      </c>
      <c r="B27" s="310"/>
      <c r="C27" s="311">
        <v>67300</v>
      </c>
      <c r="D27" s="293">
        <v>92900</v>
      </c>
      <c r="E27" s="293"/>
      <c r="F27" s="293"/>
      <c r="G27" s="293"/>
      <c r="H27" s="311">
        <f t="shared" si="0"/>
        <v>160200</v>
      </c>
      <c r="I27" s="312">
        <f t="shared" si="2"/>
        <v>0.54038461538461546</v>
      </c>
      <c r="J27" s="311">
        <v>173455</v>
      </c>
      <c r="K27" s="313">
        <v>0.23</v>
      </c>
      <c r="L27" s="313">
        <v>0.505</v>
      </c>
      <c r="M27" s="313">
        <f t="shared" si="1"/>
        <v>0.92358248537084542</v>
      </c>
      <c r="N27" s="314"/>
      <c r="O27" s="312"/>
      <c r="AA27" s="319"/>
    </row>
    <row r="28" spans="1:27" s="13" customFormat="1" ht="14">
      <c r="A28" s="310" t="s">
        <v>1078</v>
      </c>
      <c r="B28" s="310"/>
      <c r="C28" s="311">
        <v>87200</v>
      </c>
      <c r="D28" s="293">
        <v>96400</v>
      </c>
      <c r="E28" s="293"/>
      <c r="F28" s="293"/>
      <c r="G28" s="293"/>
      <c r="H28" s="311">
        <f t="shared" si="0"/>
        <v>183600</v>
      </c>
      <c r="I28" s="312">
        <f t="shared" si="2"/>
        <v>0.55989804587935432</v>
      </c>
      <c r="J28" s="311">
        <v>173479</v>
      </c>
      <c r="K28" s="313">
        <v>0.23</v>
      </c>
      <c r="L28" s="313">
        <v>0.505</v>
      </c>
      <c r="M28" s="313">
        <f t="shared" si="1"/>
        <v>1.058341355437834</v>
      </c>
      <c r="N28" s="314"/>
      <c r="O28" s="312"/>
      <c r="AA28" s="319"/>
    </row>
    <row r="29" spans="1:27" s="13" customFormat="1" ht="14">
      <c r="A29" s="310" t="s">
        <v>1079</v>
      </c>
      <c r="B29" s="310"/>
      <c r="C29" s="311">
        <v>94200</v>
      </c>
      <c r="D29" s="293">
        <v>112604</v>
      </c>
      <c r="E29" s="293"/>
      <c r="F29" s="293"/>
      <c r="G29" s="293"/>
      <c r="H29" s="311">
        <f t="shared" si="0"/>
        <v>206804</v>
      </c>
      <c r="I29" s="312">
        <f t="shared" si="2"/>
        <v>0.10153295479967195</v>
      </c>
      <c r="J29" s="311">
        <v>171384</v>
      </c>
      <c r="K29" s="313">
        <v>0.28999999999999998</v>
      </c>
      <c r="L29" s="313">
        <v>0.505</v>
      </c>
      <c r="M29" s="313">
        <f t="shared" si="1"/>
        <v>1.206670400970919</v>
      </c>
      <c r="N29" s="314"/>
      <c r="O29" s="312"/>
      <c r="AA29" s="319"/>
    </row>
    <row r="30" spans="1:27" s="13" customFormat="1" ht="14">
      <c r="A30" s="310" t="s">
        <v>1080</v>
      </c>
      <c r="B30" s="310"/>
      <c r="C30" s="311">
        <v>72033</v>
      </c>
      <c r="D30" s="293">
        <v>101822</v>
      </c>
      <c r="E30" s="293"/>
      <c r="F30" s="293"/>
      <c r="G30" s="293"/>
      <c r="H30" s="311">
        <f t="shared" si="0"/>
        <v>173855</v>
      </c>
      <c r="I30" s="312">
        <f t="shared" si="2"/>
        <v>9.000000000000008E-2</v>
      </c>
      <c r="J30" s="311">
        <v>173655</v>
      </c>
      <c r="K30" s="313">
        <v>0.16</v>
      </c>
      <c r="L30" s="313">
        <v>0.505</v>
      </c>
      <c r="M30" s="313">
        <f t="shared" si="1"/>
        <v>1.0011517088480033</v>
      </c>
      <c r="N30" s="313"/>
      <c r="O30" s="312"/>
      <c r="AA30" s="319"/>
    </row>
    <row r="31" spans="1:27" s="13" customFormat="1" ht="14">
      <c r="A31" s="310" t="s">
        <v>1081</v>
      </c>
      <c r="B31" s="310"/>
      <c r="C31" s="311">
        <v>-1501</v>
      </c>
      <c r="D31" s="293">
        <v>-101773</v>
      </c>
      <c r="E31" s="293"/>
      <c r="F31" s="293"/>
      <c r="G31" s="311"/>
      <c r="H31" s="311">
        <f t="shared" si="0"/>
        <v>-103274</v>
      </c>
      <c r="I31" s="312">
        <f t="shared" si="2"/>
        <v>-1.6446566791510611</v>
      </c>
      <c r="J31" s="311">
        <v>173735</v>
      </c>
      <c r="K31" s="313">
        <v>0.25</v>
      </c>
      <c r="L31" s="313">
        <v>0.505</v>
      </c>
      <c r="M31" s="313">
        <f t="shared" si="1"/>
        <v>-0.59443405186059228</v>
      </c>
      <c r="N31" s="313"/>
      <c r="O31" s="312"/>
      <c r="AA31" s="319"/>
    </row>
    <row r="32" spans="1:27" s="13" customFormat="1" ht="14">
      <c r="A32" s="310" t="s">
        <v>1082</v>
      </c>
      <c r="B32" s="310"/>
      <c r="C32" s="311">
        <v>-606</v>
      </c>
      <c r="D32" s="293">
        <v>25</v>
      </c>
      <c r="E32" s="293"/>
      <c r="F32" s="293"/>
      <c r="G32" s="311"/>
      <c r="H32" s="311">
        <f t="shared" si="0"/>
        <v>-581</v>
      </c>
      <c r="I32" s="312">
        <f t="shared" si="2"/>
        <v>-1.0031644880174293</v>
      </c>
      <c r="J32" s="311">
        <v>171934</v>
      </c>
      <c r="K32" s="313">
        <v>0.25</v>
      </c>
      <c r="L32" s="313">
        <v>0.505</v>
      </c>
      <c r="M32" s="313">
        <f t="shared" si="1"/>
        <v>-3.379203647911408E-3</v>
      </c>
      <c r="N32" s="313"/>
      <c r="O32" s="312"/>
      <c r="AA32" s="319"/>
    </row>
    <row r="33" spans="1:27" s="13" customFormat="1" ht="14">
      <c r="A33" s="310" t="s">
        <v>1083</v>
      </c>
      <c r="B33" s="310"/>
      <c r="C33" s="311">
        <v>350215</v>
      </c>
      <c r="D33" s="293">
        <v>430398</v>
      </c>
      <c r="E33" s="293"/>
      <c r="F33" s="293"/>
      <c r="G33" s="311"/>
      <c r="H33" s="311">
        <f t="shared" si="0"/>
        <v>780613</v>
      </c>
      <c r="I33" s="312">
        <f t="shared" si="2"/>
        <v>2.7746513607086905</v>
      </c>
      <c r="J33" s="311">
        <v>170274</v>
      </c>
      <c r="K33" s="313">
        <v>0.45</v>
      </c>
      <c r="L33" s="313">
        <v>0.505</v>
      </c>
      <c r="M33" s="313">
        <f t="shared" si="1"/>
        <v>4.5844521183504234</v>
      </c>
      <c r="N33" s="313"/>
      <c r="O33" s="312"/>
      <c r="AA33" s="319"/>
    </row>
    <row r="34" spans="1:27" s="13" customFormat="1" ht="14">
      <c r="A34" s="310" t="s">
        <v>1084</v>
      </c>
      <c r="B34" s="310"/>
      <c r="C34" s="311">
        <v>62867</v>
      </c>
      <c r="D34" s="293">
        <v>109126</v>
      </c>
      <c r="E34" s="293"/>
      <c r="F34" s="293"/>
      <c r="G34" s="311"/>
      <c r="H34" s="311">
        <f t="shared" ref="H34:H65" si="3">C34+D34+E34-F34-G34</f>
        <v>171993</v>
      </c>
      <c r="I34" s="312">
        <f t="shared" si="2"/>
        <v>-1.0710074487360166E-2</v>
      </c>
      <c r="J34" s="311">
        <v>174530</v>
      </c>
      <c r="K34" s="313">
        <v>0.18</v>
      </c>
      <c r="L34" s="313">
        <v>0.505</v>
      </c>
      <c r="M34" s="313">
        <f t="shared" si="1"/>
        <v>0.98546381710880648</v>
      </c>
      <c r="N34" s="313"/>
      <c r="O34" s="312"/>
      <c r="AA34" s="319"/>
    </row>
    <row r="35" spans="1:27" s="13" customFormat="1" ht="14">
      <c r="A35" s="310" t="s">
        <v>1085</v>
      </c>
      <c r="B35" s="310"/>
      <c r="C35" s="311">
        <v>70028</v>
      </c>
      <c r="D35" s="293">
        <v>109211</v>
      </c>
      <c r="E35" s="293"/>
      <c r="F35" s="293"/>
      <c r="G35" s="311"/>
      <c r="H35" s="311">
        <f t="shared" si="3"/>
        <v>179239</v>
      </c>
      <c r="I35" s="312">
        <f t="shared" si="2"/>
        <v>-2.7355675194143734</v>
      </c>
      <c r="J35" s="311">
        <v>174780</v>
      </c>
      <c r="K35" s="313">
        <v>0.21</v>
      </c>
      <c r="L35" s="313">
        <v>0.52500000000000002</v>
      </c>
      <c r="M35" s="313">
        <f t="shared" si="1"/>
        <v>1.0255120723194873</v>
      </c>
      <c r="N35" s="313"/>
      <c r="O35" s="312"/>
      <c r="AA35" s="319"/>
    </row>
    <row r="36" spans="1:27" s="13" customFormat="1" ht="14">
      <c r="A36" s="310" t="s">
        <v>1086</v>
      </c>
      <c r="B36" s="310"/>
      <c r="C36" s="311">
        <v>69812</v>
      </c>
      <c r="D36" s="293">
        <v>111567</v>
      </c>
      <c r="E36" s="293"/>
      <c r="F36" s="293"/>
      <c r="G36" s="311"/>
      <c r="H36" s="311">
        <f t="shared" si="3"/>
        <v>181379</v>
      </c>
      <c r="I36" s="312">
        <f t="shared" si="2"/>
        <v>-313.184165232358</v>
      </c>
      <c r="J36" s="311">
        <v>174917</v>
      </c>
      <c r="K36" s="313">
        <v>0.21</v>
      </c>
      <c r="L36" s="313">
        <v>0.52500000000000002</v>
      </c>
      <c r="M36" s="313">
        <f t="shared" si="1"/>
        <v>1.0369432359347577</v>
      </c>
      <c r="N36" s="313"/>
      <c r="O36" s="312"/>
      <c r="AA36" s="319"/>
    </row>
    <row r="37" spans="1:27" s="13" customFormat="1" ht="14">
      <c r="A37" s="310" t="s">
        <v>1087</v>
      </c>
      <c r="B37" s="310"/>
      <c r="C37" s="311">
        <v>79590</v>
      </c>
      <c r="D37" s="293">
        <v>134988</v>
      </c>
      <c r="E37" s="293"/>
      <c r="F37" s="293"/>
      <c r="G37" s="311"/>
      <c r="H37" s="311">
        <f t="shared" si="3"/>
        <v>214578</v>
      </c>
      <c r="I37" s="312">
        <f t="shared" si="2"/>
        <v>-0.72511603060671548</v>
      </c>
      <c r="J37" s="311">
        <v>173802</v>
      </c>
      <c r="K37" s="313">
        <v>0.25</v>
      </c>
      <c r="L37" s="313">
        <v>0.52500000000000002</v>
      </c>
      <c r="M37" s="313">
        <f t="shared" si="1"/>
        <v>1.2346117996340664</v>
      </c>
      <c r="N37" s="313"/>
      <c r="O37" s="312"/>
      <c r="AA37" s="319"/>
    </row>
    <row r="38" spans="1:27" s="13" customFormat="1" ht="14">
      <c r="A38" s="310" t="s">
        <v>1088</v>
      </c>
      <c r="B38" s="310"/>
      <c r="C38" s="311">
        <v>30142</v>
      </c>
      <c r="D38" s="293">
        <v>113999</v>
      </c>
      <c r="E38" s="293"/>
      <c r="F38" s="293"/>
      <c r="G38" s="311"/>
      <c r="H38" s="311">
        <f t="shared" si="3"/>
        <v>144141</v>
      </c>
      <c r="I38" s="312">
        <f t="shared" si="2"/>
        <v>-0.16193682301023882</v>
      </c>
      <c r="J38" s="311">
        <v>175989</v>
      </c>
      <c r="K38" s="313">
        <v>0.17</v>
      </c>
      <c r="L38" s="313">
        <v>0.52500000000000002</v>
      </c>
      <c r="M38" s="313">
        <f t="shared" si="1"/>
        <v>0.81903414417946574</v>
      </c>
      <c r="N38" s="313"/>
      <c r="O38" s="312"/>
      <c r="AA38" s="319"/>
    </row>
    <row r="39" spans="1:27" s="13" customFormat="1" ht="14">
      <c r="A39" s="310" t="s">
        <v>1089</v>
      </c>
      <c r="B39" s="310"/>
      <c r="C39" s="311">
        <v>238813</v>
      </c>
      <c r="D39" s="293">
        <v>120959</v>
      </c>
      <c r="E39" s="293"/>
      <c r="F39" s="293"/>
      <c r="G39" s="311"/>
      <c r="H39" s="311">
        <f t="shared" si="3"/>
        <v>359772</v>
      </c>
      <c r="I39" s="312">
        <f t="shared" si="2"/>
        <v>1.0072194109540891</v>
      </c>
      <c r="J39" s="311">
        <v>176460</v>
      </c>
      <c r="K39" s="313">
        <v>0.99</v>
      </c>
      <c r="L39" s="313">
        <v>0.55000000000000004</v>
      </c>
      <c r="M39" s="313">
        <f t="shared" si="1"/>
        <v>2.0388303298197892</v>
      </c>
      <c r="N39" s="313"/>
      <c r="O39" s="312"/>
      <c r="AA39" s="319"/>
    </row>
    <row r="40" spans="1:27" s="13" customFormat="1" ht="14">
      <c r="A40" s="310" t="s">
        <v>1090</v>
      </c>
      <c r="B40" s="310"/>
      <c r="C40" s="311">
        <v>97812</v>
      </c>
      <c r="D40" s="293">
        <v>129295</v>
      </c>
      <c r="E40" s="293"/>
      <c r="F40" s="293"/>
      <c r="G40" s="311"/>
      <c r="H40" s="311">
        <f t="shared" si="3"/>
        <v>227107</v>
      </c>
      <c r="I40" s="312">
        <f t="shared" si="2"/>
        <v>0.2521129789005343</v>
      </c>
      <c r="J40" s="311">
        <v>185543</v>
      </c>
      <c r="K40" s="313">
        <v>0.3</v>
      </c>
      <c r="L40" s="313">
        <v>0.55000000000000004</v>
      </c>
      <c r="M40" s="313">
        <f t="shared" si="1"/>
        <v>1.2240127625402197</v>
      </c>
      <c r="N40" s="313"/>
      <c r="O40" s="312"/>
      <c r="AA40" s="319"/>
    </row>
    <row r="41" spans="1:27" s="13" customFormat="1" ht="14">
      <c r="A41" s="310" t="s">
        <v>1091</v>
      </c>
      <c r="B41" s="310"/>
      <c r="C41" s="311">
        <v>150112</v>
      </c>
      <c r="D41" s="293">
        <v>127053</v>
      </c>
      <c r="E41" s="293"/>
      <c r="F41" s="293"/>
      <c r="G41" s="311"/>
      <c r="H41" s="311">
        <f t="shared" si="3"/>
        <v>277165</v>
      </c>
      <c r="I41" s="312">
        <f t="shared" si="2"/>
        <v>0.2916748222091734</v>
      </c>
      <c r="J41" s="311">
        <v>185543</v>
      </c>
      <c r="K41" s="313">
        <v>0.53</v>
      </c>
      <c r="L41" s="313">
        <v>0.55000000000000004</v>
      </c>
      <c r="M41" s="313">
        <f t="shared" si="1"/>
        <v>1.4938046706154369</v>
      </c>
      <c r="N41" s="313"/>
      <c r="O41" s="312"/>
      <c r="AA41" s="319"/>
    </row>
    <row r="42" spans="1:27" s="13" customFormat="1" ht="14">
      <c r="A42" s="310" t="s">
        <v>1092</v>
      </c>
      <c r="B42" s="310"/>
      <c r="C42" s="311">
        <v>55140</v>
      </c>
      <c r="D42" s="293">
        <v>126847</v>
      </c>
      <c r="E42" s="293"/>
      <c r="F42" s="293"/>
      <c r="G42" s="311"/>
      <c r="H42" s="311">
        <f t="shared" si="3"/>
        <v>181987</v>
      </c>
      <c r="I42" s="312">
        <f t="shared" si="2"/>
        <v>0.26256235214130608</v>
      </c>
      <c r="J42" s="311">
        <v>188960</v>
      </c>
      <c r="K42" s="313">
        <v>0.28999999999999998</v>
      </c>
      <c r="L42" s="313">
        <v>0.6</v>
      </c>
      <c r="M42" s="313">
        <f t="shared" si="1"/>
        <v>0.96309801016088059</v>
      </c>
      <c r="N42" s="313"/>
      <c r="O42" s="312"/>
      <c r="AA42" s="319"/>
    </row>
    <row r="43" spans="1:27" s="13" customFormat="1" ht="14">
      <c r="A43" s="310" t="s">
        <v>1093</v>
      </c>
      <c r="B43" s="310"/>
      <c r="C43" s="311">
        <v>101125</v>
      </c>
      <c r="D43" s="293">
        <v>124863</v>
      </c>
      <c r="E43" s="293"/>
      <c r="F43" s="293"/>
      <c r="G43" s="311"/>
      <c r="H43" s="311">
        <f t="shared" si="3"/>
        <v>225988</v>
      </c>
      <c r="I43" s="312">
        <f t="shared" si="2"/>
        <v>-0.37185773211923112</v>
      </c>
      <c r="J43" s="311">
        <v>189095</v>
      </c>
      <c r="K43" s="313">
        <v>0.27</v>
      </c>
      <c r="L43" s="313">
        <v>0.6</v>
      </c>
      <c r="M43" s="313">
        <f t="shared" si="1"/>
        <v>1.1951029905603003</v>
      </c>
      <c r="N43" s="313"/>
      <c r="O43" s="312"/>
      <c r="AA43" s="319"/>
    </row>
    <row r="44" spans="1:27" s="13" customFormat="1" ht="14">
      <c r="A44" s="310" t="s">
        <v>1094</v>
      </c>
      <c r="B44" s="310"/>
      <c r="C44" s="311">
        <v>88089</v>
      </c>
      <c r="D44" s="293">
        <v>136483</v>
      </c>
      <c r="E44" s="293"/>
      <c r="F44" s="293"/>
      <c r="G44" s="311"/>
      <c r="H44" s="311">
        <f t="shared" si="3"/>
        <v>224572</v>
      </c>
      <c r="I44" s="312">
        <f t="shared" si="2"/>
        <v>-1.1162139432073892E-2</v>
      </c>
      <c r="J44" s="311">
        <v>191300</v>
      </c>
      <c r="K44" s="313">
        <v>0.22</v>
      </c>
      <c r="L44" s="313">
        <v>0.6</v>
      </c>
      <c r="M44" s="313">
        <f t="shared" si="1"/>
        <v>1.1739257710402509</v>
      </c>
      <c r="N44" s="313"/>
      <c r="O44" s="312"/>
      <c r="AA44" s="319"/>
    </row>
    <row r="45" spans="1:27" s="13" customFormat="1" ht="14">
      <c r="A45" s="310" t="s">
        <v>1095</v>
      </c>
      <c r="B45" s="310"/>
      <c r="C45" s="311">
        <v>176358</v>
      </c>
      <c r="D45" s="293">
        <v>130367</v>
      </c>
      <c r="E45" s="293"/>
      <c r="F45" s="293"/>
      <c r="G45" s="311"/>
      <c r="H45" s="311">
        <f t="shared" si="3"/>
        <v>306725</v>
      </c>
      <c r="I45" s="312">
        <f t="shared" si="2"/>
        <v>0.106651272707593</v>
      </c>
      <c r="J45" s="311">
        <v>204080</v>
      </c>
      <c r="K45" s="313">
        <v>0.87</v>
      </c>
      <c r="L45" s="313">
        <v>0.6</v>
      </c>
      <c r="M45" s="313">
        <f t="shared" si="1"/>
        <v>1.5029645237161897</v>
      </c>
      <c r="N45" s="313"/>
      <c r="O45" s="312"/>
      <c r="AA45" s="319"/>
    </row>
    <row r="46" spans="1:27" s="13" customFormat="1" ht="14">
      <c r="A46" s="310" t="s">
        <v>1096</v>
      </c>
      <c r="B46" s="310"/>
      <c r="C46" s="311">
        <v>75785</v>
      </c>
      <c r="D46" s="293">
        <v>141191</v>
      </c>
      <c r="E46" s="293"/>
      <c r="F46" s="293"/>
      <c r="G46" s="311"/>
      <c r="H46" s="311">
        <f t="shared" si="3"/>
        <v>216976</v>
      </c>
      <c r="I46" s="312">
        <f t="shared" si="2"/>
        <v>0.19226098567480099</v>
      </c>
      <c r="J46" s="311">
        <v>205642</v>
      </c>
      <c r="K46" s="313">
        <v>0.24</v>
      </c>
      <c r="L46" s="313">
        <v>0.65</v>
      </c>
      <c r="M46" s="313">
        <f t="shared" si="1"/>
        <v>1.0551152002022932</v>
      </c>
      <c r="N46" s="313"/>
      <c r="O46" s="312"/>
      <c r="AA46" s="319"/>
    </row>
    <row r="47" spans="1:27" s="13" customFormat="1" ht="14">
      <c r="A47" s="310" t="s">
        <v>1097</v>
      </c>
      <c r="B47" s="310"/>
      <c r="C47" s="311">
        <v>104258</v>
      </c>
      <c r="D47" s="293">
        <v>149059</v>
      </c>
      <c r="E47" s="293"/>
      <c r="F47" s="293"/>
      <c r="G47" s="311"/>
      <c r="H47" s="311">
        <f t="shared" si="3"/>
        <v>253317</v>
      </c>
      <c r="I47" s="312">
        <f t="shared" si="2"/>
        <v>0.12093119988671974</v>
      </c>
      <c r="J47" s="311">
        <v>208143</v>
      </c>
      <c r="K47" s="313">
        <v>0.34</v>
      </c>
      <c r="L47" s="313">
        <v>0.65</v>
      </c>
      <c r="M47" s="313">
        <f t="shared" si="1"/>
        <v>1.2170334817889623</v>
      </c>
      <c r="N47" s="313"/>
      <c r="O47" s="312"/>
      <c r="AA47" s="319"/>
    </row>
    <row r="48" spans="1:27" s="13" customFormat="1" ht="14">
      <c r="A48" s="310" t="s">
        <v>1098</v>
      </c>
      <c r="B48" s="310"/>
      <c r="C48" s="311">
        <v>108063</v>
      </c>
      <c r="D48" s="293">
        <v>149301</v>
      </c>
      <c r="E48" s="293"/>
      <c r="F48" s="293"/>
      <c r="G48" s="311"/>
      <c r="H48" s="311">
        <f t="shared" si="3"/>
        <v>257364</v>
      </c>
      <c r="I48" s="312">
        <f t="shared" si="2"/>
        <v>0.14601998468197275</v>
      </c>
      <c r="J48" s="311">
        <v>208171</v>
      </c>
      <c r="K48" s="313">
        <v>0.36</v>
      </c>
      <c r="L48" s="313">
        <v>0.65</v>
      </c>
      <c r="M48" s="313">
        <f t="shared" si="1"/>
        <v>1.236310533167444</v>
      </c>
      <c r="N48" s="313"/>
      <c r="O48" s="312"/>
      <c r="AA48" s="319"/>
    </row>
    <row r="49" spans="1:27" s="13" customFormat="1" ht="14">
      <c r="A49" s="310" t="s">
        <v>1099</v>
      </c>
      <c r="B49" s="310"/>
      <c r="C49" s="311">
        <v>161941</v>
      </c>
      <c r="D49" s="293">
        <v>171539</v>
      </c>
      <c r="E49" s="293"/>
      <c r="F49" s="293"/>
      <c r="G49" s="311"/>
      <c r="H49" s="311">
        <f t="shared" si="3"/>
        <v>333480</v>
      </c>
      <c r="I49" s="312">
        <f t="shared" si="2"/>
        <v>8.7227972939929899E-2</v>
      </c>
      <c r="J49" s="311">
        <v>222710</v>
      </c>
      <c r="K49" s="313">
        <v>0.5</v>
      </c>
      <c r="L49" s="313">
        <v>0.65</v>
      </c>
      <c r="M49" s="313">
        <f t="shared" si="1"/>
        <v>1.4973732656818284</v>
      </c>
      <c r="N49" s="313"/>
      <c r="O49" s="312"/>
      <c r="AA49" s="319"/>
    </row>
    <row r="50" spans="1:27" s="13" customFormat="1" ht="14">
      <c r="A50" s="310" t="s">
        <v>1100</v>
      </c>
      <c r="B50" s="310"/>
      <c r="C50" s="311">
        <v>98025</v>
      </c>
      <c r="D50" s="293">
        <v>203138</v>
      </c>
      <c r="E50" s="293"/>
      <c r="F50" s="293"/>
      <c r="G50" s="311"/>
      <c r="H50" s="311">
        <f t="shared" si="3"/>
        <v>301163</v>
      </c>
      <c r="I50" s="312">
        <f t="shared" si="2"/>
        <v>0.388001437947054</v>
      </c>
      <c r="J50" s="311">
        <v>219669</v>
      </c>
      <c r="K50" s="313">
        <v>0.26</v>
      </c>
      <c r="L50" s="313">
        <v>0.7</v>
      </c>
      <c r="M50" s="313">
        <f t="shared" si="1"/>
        <v>1.3709854371804853</v>
      </c>
      <c r="N50" s="313"/>
      <c r="O50" s="312"/>
      <c r="AA50" s="319"/>
    </row>
    <row r="51" spans="1:27" s="13" customFormat="1" ht="14">
      <c r="A51" s="310" t="s">
        <v>1101</v>
      </c>
      <c r="B51" s="310"/>
      <c r="C51" s="311">
        <v>101298</v>
      </c>
      <c r="D51" s="293">
        <v>196372</v>
      </c>
      <c r="E51" s="293"/>
      <c r="F51" s="293"/>
      <c r="G51" s="311"/>
      <c r="H51" s="311">
        <f t="shared" si="3"/>
        <v>297670</v>
      </c>
      <c r="I51" s="312">
        <f t="shared" si="2"/>
        <v>0.17508892020669764</v>
      </c>
      <c r="J51" s="311">
        <v>224587</v>
      </c>
      <c r="K51" s="313">
        <v>0.7</v>
      </c>
      <c r="L51" s="313">
        <v>0.7</v>
      </c>
      <c r="M51" s="313">
        <f t="shared" si="1"/>
        <v>1.3254106426462797</v>
      </c>
      <c r="N51" s="313"/>
      <c r="O51" s="312"/>
      <c r="AA51" s="319"/>
    </row>
    <row r="52" spans="1:27" s="13" customFormat="1" ht="14">
      <c r="A52" s="310" t="s">
        <v>1102</v>
      </c>
      <c r="B52" s="310"/>
      <c r="C52" s="311">
        <v>108705</v>
      </c>
      <c r="D52" s="293">
        <v>193730</v>
      </c>
      <c r="E52" s="293"/>
      <c r="F52" s="293"/>
      <c r="G52" s="311"/>
      <c r="H52" s="311">
        <f t="shared" si="3"/>
        <v>302435</v>
      </c>
      <c r="I52" s="312">
        <f t="shared" si="2"/>
        <v>0.17512550317837761</v>
      </c>
      <c r="J52" s="311">
        <v>224629</v>
      </c>
      <c r="K52" s="313">
        <v>0.34</v>
      </c>
      <c r="L52" s="313">
        <v>0.7</v>
      </c>
      <c r="M52" s="313">
        <f t="shared" si="1"/>
        <v>1.3463755792885157</v>
      </c>
      <c r="N52" s="313"/>
      <c r="O52" s="312"/>
      <c r="AA52" s="319"/>
    </row>
    <row r="53" spans="1:27" s="13" customFormat="1" ht="14">
      <c r="A53" s="310" t="s">
        <v>1103</v>
      </c>
      <c r="B53" s="310"/>
      <c r="C53" s="311">
        <v>152061</v>
      </c>
      <c r="D53" s="293">
        <v>213398</v>
      </c>
      <c r="E53" s="293"/>
      <c r="F53" s="293"/>
      <c r="G53" s="311"/>
      <c r="H53" s="311">
        <f t="shared" si="3"/>
        <v>365459</v>
      </c>
      <c r="I53" s="312">
        <f t="shared" si="2"/>
        <v>9.5894806285234502E-2</v>
      </c>
      <c r="J53" s="311">
        <v>225165</v>
      </c>
      <c r="K53" s="313">
        <v>0.52</v>
      </c>
      <c r="L53" s="313">
        <v>0.7</v>
      </c>
      <c r="M53" s="313">
        <f t="shared" si="1"/>
        <v>1.6230719694446294</v>
      </c>
      <c r="N53" s="313"/>
      <c r="O53" s="312"/>
      <c r="AA53" s="319"/>
    </row>
    <row r="54" spans="1:27" s="13" customFormat="1" ht="14">
      <c r="A54" s="310" t="s">
        <v>1104</v>
      </c>
      <c r="B54" s="310"/>
      <c r="C54" s="311">
        <v>156841</v>
      </c>
      <c r="D54" s="293">
        <v>199747</v>
      </c>
      <c r="E54" s="293"/>
      <c r="F54" s="293"/>
      <c r="G54" s="311"/>
      <c r="H54" s="311">
        <f t="shared" si="3"/>
        <v>356588</v>
      </c>
      <c r="I54" s="312">
        <f t="shared" si="2"/>
        <v>0.18403655163482902</v>
      </c>
      <c r="J54" s="311">
        <v>220863</v>
      </c>
      <c r="K54" s="313">
        <v>0.47</v>
      </c>
      <c r="L54" s="313">
        <v>0.76</v>
      </c>
      <c r="M54" s="313">
        <f t="shared" si="1"/>
        <v>1.614521219036235</v>
      </c>
      <c r="N54" s="313">
        <v>62.93</v>
      </c>
      <c r="O54" s="312"/>
      <c r="AA54" s="319"/>
    </row>
    <row r="55" spans="1:27" s="13" customFormat="1" ht="14">
      <c r="A55" s="310" t="s">
        <v>1105</v>
      </c>
      <c r="B55" s="310"/>
      <c r="C55" s="311">
        <v>130134</v>
      </c>
      <c r="D55" s="293">
        <v>201446</v>
      </c>
      <c r="E55" s="293"/>
      <c r="F55" s="293"/>
      <c r="G55" s="311"/>
      <c r="H55" s="311">
        <f t="shared" si="3"/>
        <v>331580</v>
      </c>
      <c r="I55" s="312">
        <f t="shared" si="2"/>
        <v>0.11391809722175572</v>
      </c>
      <c r="J55" s="311">
        <v>221170</v>
      </c>
      <c r="K55" s="313">
        <v>0.37</v>
      </c>
      <c r="L55" s="313">
        <v>0.76</v>
      </c>
      <c r="M55" s="313">
        <f t="shared" si="1"/>
        <v>1.4992087534475742</v>
      </c>
      <c r="N55" s="313">
        <v>67.27</v>
      </c>
      <c r="O55" s="312"/>
      <c r="AA55" s="319"/>
    </row>
    <row r="56" spans="1:27" s="13" customFormat="1" ht="14">
      <c r="A56" s="310" t="s">
        <v>1106</v>
      </c>
      <c r="B56" s="310"/>
      <c r="C56" s="311">
        <v>144794</v>
      </c>
      <c r="D56" s="293">
        <v>198792</v>
      </c>
      <c r="E56" s="293"/>
      <c r="F56" s="293"/>
      <c r="G56" s="311"/>
      <c r="H56" s="311">
        <f t="shared" si="3"/>
        <v>343586</v>
      </c>
      <c r="I56" s="312">
        <f t="shared" si="2"/>
        <v>0.13606560087291486</v>
      </c>
      <c r="J56" s="311">
        <v>221290</v>
      </c>
      <c r="K56" s="313">
        <v>0.43</v>
      </c>
      <c r="L56" s="313">
        <v>0.76</v>
      </c>
      <c r="M56" s="313">
        <f t="shared" si="1"/>
        <v>1.5526503682949975</v>
      </c>
      <c r="N56" s="313">
        <v>74.47</v>
      </c>
      <c r="O56" s="312"/>
      <c r="AA56" s="319"/>
    </row>
    <row r="57" spans="1:27" s="13" customFormat="1" ht="14">
      <c r="A57" s="310" t="s">
        <v>1107</v>
      </c>
      <c r="B57" s="310"/>
      <c r="C57" s="311">
        <v>131674</v>
      </c>
      <c r="D57" s="293">
        <v>212733</v>
      </c>
      <c r="E57" s="293"/>
      <c r="F57" s="293"/>
      <c r="G57" s="311"/>
      <c r="H57" s="311">
        <f t="shared" si="3"/>
        <v>344407</v>
      </c>
      <c r="I57" s="312">
        <f t="shared" si="2"/>
        <v>-5.7604272982742288E-2</v>
      </c>
      <c r="J57" s="311">
        <v>221430</v>
      </c>
      <c r="K57" s="313">
        <v>0.93</v>
      </c>
      <c r="L57" s="313">
        <v>0.76</v>
      </c>
      <c r="M57" s="313">
        <f t="shared" si="1"/>
        <v>1.5553764169263424</v>
      </c>
      <c r="N57" s="313">
        <v>78.150000000000006</v>
      </c>
      <c r="O57" s="312">
        <f t="shared" ref="O57:O92" si="4">K57/N57</f>
        <v>1.1900191938579654E-2</v>
      </c>
      <c r="AA57" s="319"/>
    </row>
    <row r="58" spans="1:27" s="13" customFormat="1" ht="14">
      <c r="A58" s="310" t="s">
        <v>1108</v>
      </c>
      <c r="B58" s="310"/>
      <c r="C58" s="311">
        <v>112949</v>
      </c>
      <c r="D58" s="293">
        <v>207580</v>
      </c>
      <c r="E58" s="293"/>
      <c r="F58" s="293"/>
      <c r="G58" s="311"/>
      <c r="H58" s="311">
        <f t="shared" si="3"/>
        <v>320529</v>
      </c>
      <c r="I58" s="312">
        <f t="shared" si="2"/>
        <v>-0.10112230361088992</v>
      </c>
      <c r="J58" s="311">
        <v>223387</v>
      </c>
      <c r="K58" s="313">
        <v>0.44</v>
      </c>
      <c r="L58" s="313">
        <v>0.84</v>
      </c>
      <c r="M58" s="313">
        <f t="shared" si="1"/>
        <v>1.4348596829717037</v>
      </c>
      <c r="N58" s="313">
        <v>85.03</v>
      </c>
      <c r="O58" s="312">
        <f t="shared" si="4"/>
        <v>5.174644243208279E-3</v>
      </c>
      <c r="AA58" s="319"/>
    </row>
    <row r="59" spans="1:27" s="13" customFormat="1" ht="14">
      <c r="A59" s="310" t="s">
        <v>1109</v>
      </c>
      <c r="B59" s="310"/>
      <c r="C59" s="311">
        <v>74203</v>
      </c>
      <c r="D59" s="293">
        <v>221942</v>
      </c>
      <c r="E59" s="293"/>
      <c r="F59" s="293"/>
      <c r="G59" s="311"/>
      <c r="H59" s="311">
        <f t="shared" si="3"/>
        <v>296145</v>
      </c>
      <c r="I59" s="312">
        <f t="shared" si="2"/>
        <v>-0.10686712105675855</v>
      </c>
      <c r="J59" s="311">
        <v>223398</v>
      </c>
      <c r="K59" s="313">
        <v>0.27</v>
      </c>
      <c r="L59" s="313">
        <v>0.84</v>
      </c>
      <c r="M59" s="313">
        <f t="shared" si="1"/>
        <v>1.3256385464507292</v>
      </c>
      <c r="N59" s="313">
        <v>91.09</v>
      </c>
      <c r="O59" s="312">
        <f t="shared" si="4"/>
        <v>2.9641014381381055E-3</v>
      </c>
      <c r="AA59" s="319"/>
    </row>
    <row r="60" spans="1:27" s="13" customFormat="1" ht="14">
      <c r="A60" s="310" t="s">
        <v>1110</v>
      </c>
      <c r="B60" s="310"/>
      <c r="C60" s="311">
        <v>179253</v>
      </c>
      <c r="D60" s="293">
        <v>217499</v>
      </c>
      <c r="E60" s="293"/>
      <c r="F60" s="293"/>
      <c r="G60" s="311"/>
      <c r="H60" s="311">
        <f t="shared" si="3"/>
        <v>396752</v>
      </c>
      <c r="I60" s="312">
        <f t="shared" si="2"/>
        <v>0.15473855162899541</v>
      </c>
      <c r="J60" s="311">
        <v>223006</v>
      </c>
      <c r="K60" s="313">
        <v>0.74</v>
      </c>
      <c r="L60" s="313">
        <v>0.84</v>
      </c>
      <c r="M60" s="313">
        <f t="shared" si="1"/>
        <v>1.7791090822668449</v>
      </c>
      <c r="N60" s="313">
        <v>98.42</v>
      </c>
      <c r="O60" s="312">
        <f t="shared" si="4"/>
        <v>7.5187969924812026E-3</v>
      </c>
      <c r="AA60" s="319"/>
    </row>
    <row r="61" spans="1:27" s="13" customFormat="1" ht="14">
      <c r="A61" s="310" t="s">
        <v>1111</v>
      </c>
      <c r="B61" s="310"/>
      <c r="C61" s="311">
        <v>152899</v>
      </c>
      <c r="D61" s="293">
        <v>228263</v>
      </c>
      <c r="E61" s="293"/>
      <c r="F61" s="293"/>
      <c r="G61" s="311"/>
      <c r="H61" s="311">
        <f t="shared" si="3"/>
        <v>381162</v>
      </c>
      <c r="I61" s="312">
        <f t="shared" si="2"/>
        <v>0.10671966597659166</v>
      </c>
      <c r="J61" s="311">
        <v>223032</v>
      </c>
      <c r="K61" s="313">
        <v>0.51</v>
      </c>
      <c r="L61" s="313">
        <v>0.84</v>
      </c>
      <c r="M61" s="313">
        <f t="shared" si="1"/>
        <v>1.7090013989023995</v>
      </c>
      <c r="N61" s="313">
        <v>97.13</v>
      </c>
      <c r="O61" s="312">
        <f t="shared" si="4"/>
        <v>5.2506949449191804E-3</v>
      </c>
      <c r="AA61" s="319"/>
    </row>
    <row r="62" spans="1:27" s="13" customFormat="1" ht="14">
      <c r="A62" s="310" t="s">
        <v>1112</v>
      </c>
      <c r="B62" s="310"/>
      <c r="C62" s="311">
        <v>99284</v>
      </c>
      <c r="D62" s="293">
        <v>225010</v>
      </c>
      <c r="E62" s="293"/>
      <c r="F62" s="293"/>
      <c r="G62" s="311"/>
      <c r="H62" s="311">
        <f t="shared" si="3"/>
        <v>324294</v>
      </c>
      <c r="I62" s="312">
        <f t="shared" si="2"/>
        <v>1.1746207051468005E-2</v>
      </c>
      <c r="J62" s="311">
        <v>224743</v>
      </c>
      <c r="K62" s="313">
        <v>0.39</v>
      </c>
      <c r="L62" s="313">
        <v>0.9</v>
      </c>
      <c r="M62" s="313">
        <f t="shared" si="1"/>
        <v>1.4429548417525797</v>
      </c>
      <c r="N62" s="313">
        <v>89.87</v>
      </c>
      <c r="O62" s="312">
        <f t="shared" si="4"/>
        <v>4.339601646823189E-3</v>
      </c>
      <c r="AA62" s="319"/>
    </row>
    <row r="63" spans="1:27" s="13" customFormat="1" ht="14">
      <c r="A63" s="310" t="s">
        <v>1113</v>
      </c>
      <c r="B63" s="310"/>
      <c r="C63" s="311">
        <v>87917</v>
      </c>
      <c r="D63" s="293">
        <v>225505</v>
      </c>
      <c r="E63" s="293"/>
      <c r="F63" s="293"/>
      <c r="G63" s="311"/>
      <c r="H63" s="311">
        <f t="shared" si="3"/>
        <v>313422</v>
      </c>
      <c r="I63" s="312">
        <f t="shared" si="2"/>
        <v>5.8339664691283044E-2</v>
      </c>
      <c r="J63" s="311">
        <v>225031</v>
      </c>
      <c r="K63" s="313">
        <v>0.34</v>
      </c>
      <c r="L63" s="313">
        <v>0.9</v>
      </c>
      <c r="M63" s="313">
        <f t="shared" si="1"/>
        <v>1.3927947704982868</v>
      </c>
      <c r="N63" s="313">
        <v>88.4</v>
      </c>
      <c r="O63" s="312">
        <f t="shared" si="4"/>
        <v>3.8461538461538464E-3</v>
      </c>
      <c r="AA63" s="319"/>
    </row>
    <row r="64" spans="1:27" s="13" customFormat="1" ht="14">
      <c r="A64" s="310" t="s">
        <v>1114</v>
      </c>
      <c r="B64" s="310"/>
      <c r="C64" s="311">
        <v>124093</v>
      </c>
      <c r="D64" s="293">
        <v>236337</v>
      </c>
      <c r="E64" s="293"/>
      <c r="F64" s="293"/>
      <c r="G64" s="311"/>
      <c r="H64" s="311">
        <f t="shared" si="3"/>
        <v>360430</v>
      </c>
      <c r="I64" s="312">
        <f t="shared" si="2"/>
        <v>-9.1548372787030652E-2</v>
      </c>
      <c r="J64" s="311">
        <v>225810</v>
      </c>
      <c r="K64" s="313">
        <v>0.5</v>
      </c>
      <c r="L64" s="313">
        <v>0.9</v>
      </c>
      <c r="M64" s="313">
        <f t="shared" si="1"/>
        <v>1.5961649174084407</v>
      </c>
      <c r="N64" s="313">
        <v>90.87</v>
      </c>
      <c r="O64" s="312">
        <f t="shared" si="4"/>
        <v>5.5023660173874767E-3</v>
      </c>
      <c r="AA64" s="319"/>
    </row>
    <row r="65" spans="1:27" s="13" customFormat="1" ht="14">
      <c r="A65" s="310" t="s">
        <v>1115</v>
      </c>
      <c r="B65" s="310"/>
      <c r="C65" s="311">
        <v>152362</v>
      </c>
      <c r="D65" s="293">
        <v>269975</v>
      </c>
      <c r="E65" s="293"/>
      <c r="F65" s="293"/>
      <c r="G65" s="311"/>
      <c r="H65" s="311">
        <f t="shared" si="3"/>
        <v>422337</v>
      </c>
      <c r="I65" s="312">
        <f t="shared" si="2"/>
        <v>0.10802493427991244</v>
      </c>
      <c r="J65" s="311">
        <v>225810</v>
      </c>
      <c r="K65" s="313">
        <v>0.65</v>
      </c>
      <c r="L65" s="313">
        <v>0.9</v>
      </c>
      <c r="M65" s="313">
        <f t="shared" si="1"/>
        <v>1.8703201806828751</v>
      </c>
      <c r="N65" s="313">
        <v>67.58</v>
      </c>
      <c r="O65" s="312">
        <f t="shared" si="4"/>
        <v>9.6182302456348043E-3</v>
      </c>
      <c r="AA65" s="319"/>
    </row>
    <row r="66" spans="1:27" s="13" customFormat="1" ht="14">
      <c r="A66" s="310" t="s">
        <v>1116</v>
      </c>
      <c r="B66" s="310"/>
      <c r="C66" s="311">
        <v>146248</v>
      </c>
      <c r="D66" s="293">
        <v>257605</v>
      </c>
      <c r="E66" s="293"/>
      <c r="F66" s="293"/>
      <c r="G66" s="311"/>
      <c r="H66" s="311">
        <f t="shared" ref="H66:H97" si="5">C66+D66+E66-F66-G66</f>
        <v>403853</v>
      </c>
      <c r="I66" s="312">
        <f t="shared" si="2"/>
        <v>0.24532985500811</v>
      </c>
      <c r="J66" s="311">
        <v>255210</v>
      </c>
      <c r="K66" s="313">
        <v>0.45</v>
      </c>
      <c r="L66" s="313">
        <v>0.9</v>
      </c>
      <c r="M66" s="313">
        <f t="shared" ref="M66:M108" si="6">H66/J66</f>
        <v>1.5824340738999256</v>
      </c>
      <c r="N66" s="313">
        <v>56.2</v>
      </c>
      <c r="O66" s="312">
        <f t="shared" si="4"/>
        <v>8.0071174377224202E-3</v>
      </c>
      <c r="AA66" s="319"/>
    </row>
    <row r="67" spans="1:27" s="13" customFormat="1" ht="14">
      <c r="A67" s="310" t="s">
        <v>1117</v>
      </c>
      <c r="B67" s="310"/>
      <c r="C67" s="311">
        <v>-14108</v>
      </c>
      <c r="D67" s="293">
        <v>254227</v>
      </c>
      <c r="E67" s="293"/>
      <c r="F67" s="293"/>
      <c r="G67" s="311"/>
      <c r="H67" s="311">
        <f t="shared" si="5"/>
        <v>240119</v>
      </c>
      <c r="I67" s="312">
        <f t="shared" si="2"/>
        <v>-0.23387956174103919</v>
      </c>
      <c r="J67" s="311">
        <v>281072</v>
      </c>
      <c r="K67" s="313">
        <v>-0.08</v>
      </c>
      <c r="L67" s="313">
        <v>0.6</v>
      </c>
      <c r="M67" s="313">
        <f t="shared" si="6"/>
        <v>0.85429711959924859</v>
      </c>
      <c r="N67" s="313">
        <v>53.96</v>
      </c>
      <c r="O67" s="312">
        <f t="shared" si="4"/>
        <v>-1.4825796886582653E-3</v>
      </c>
      <c r="AA67" s="319"/>
    </row>
    <row r="68" spans="1:27" s="13" customFormat="1" ht="14">
      <c r="A68" s="310" t="s">
        <v>1118</v>
      </c>
      <c r="B68" s="310"/>
      <c r="C68" s="311">
        <v>139189</v>
      </c>
      <c r="D68" s="293">
        <v>253493</v>
      </c>
      <c r="E68" s="293"/>
      <c r="F68" s="293"/>
      <c r="G68" s="311"/>
      <c r="H68" s="311">
        <f t="shared" si="5"/>
        <v>392682</v>
      </c>
      <c r="I68" s="312">
        <f t="shared" si="2"/>
        <v>8.9482007602030844E-2</v>
      </c>
      <c r="J68" s="311">
        <v>283309</v>
      </c>
      <c r="K68" s="313">
        <v>0.38</v>
      </c>
      <c r="L68" s="313">
        <v>0.6</v>
      </c>
      <c r="M68" s="313">
        <f t="shared" si="6"/>
        <v>1.3860555082965949</v>
      </c>
      <c r="N68" s="313">
        <v>58.9</v>
      </c>
      <c r="O68" s="312">
        <f t="shared" si="4"/>
        <v>6.4516129032258064E-3</v>
      </c>
      <c r="AA68" s="319"/>
    </row>
    <row r="69" spans="1:27" s="13" customFormat="1" ht="14">
      <c r="A69" s="310" t="s">
        <v>1119</v>
      </c>
      <c r="B69" s="310"/>
      <c r="C69" s="311">
        <v>115933</v>
      </c>
      <c r="D69" s="293">
        <v>244165</v>
      </c>
      <c r="E69" s="293"/>
      <c r="F69" s="293"/>
      <c r="G69" s="311"/>
      <c r="H69" s="311">
        <f t="shared" si="5"/>
        <v>360098</v>
      </c>
      <c r="I69" s="312">
        <f t="shared" ref="I69:I108" si="7">H69/H65-1</f>
        <v>-0.14736809704098863</v>
      </c>
      <c r="J69" s="311">
        <v>285752</v>
      </c>
      <c r="K69" s="313">
        <v>0.31</v>
      </c>
      <c r="L69" s="313">
        <v>0.6</v>
      </c>
      <c r="M69" s="313">
        <f t="shared" si="6"/>
        <v>1.2601766566813182</v>
      </c>
      <c r="N69" s="313">
        <v>63.35</v>
      </c>
      <c r="O69" s="312">
        <f t="shared" si="4"/>
        <v>4.8934490923441196E-3</v>
      </c>
      <c r="AA69" s="319"/>
    </row>
    <row r="70" spans="1:27" s="13" customFormat="1" ht="14">
      <c r="A70" s="310" t="s">
        <v>1120</v>
      </c>
      <c r="B70" s="310"/>
      <c r="C70" s="311">
        <v>20754</v>
      </c>
      <c r="D70" s="293">
        <v>233856</v>
      </c>
      <c r="E70" s="293"/>
      <c r="F70" s="293"/>
      <c r="G70" s="311"/>
      <c r="H70" s="311">
        <f t="shared" si="5"/>
        <v>254610</v>
      </c>
      <c r="I70" s="312">
        <f t="shared" si="7"/>
        <v>-0.36954783052249207</v>
      </c>
      <c r="J70" s="311">
        <v>289076</v>
      </c>
      <c r="K70" s="313">
        <v>0.03</v>
      </c>
      <c r="L70" s="313">
        <v>0.6</v>
      </c>
      <c r="M70" s="313">
        <f t="shared" si="6"/>
        <v>0.8807718385476484</v>
      </c>
      <c r="N70" s="313">
        <v>64.62</v>
      </c>
      <c r="O70" s="312">
        <f t="shared" si="4"/>
        <v>4.6425255338904359E-4</v>
      </c>
      <c r="AA70" s="319"/>
    </row>
    <row r="71" spans="1:27" s="13" customFormat="1" ht="14">
      <c r="A71" s="310" t="s">
        <v>1121</v>
      </c>
      <c r="B71" s="310"/>
      <c r="C71" s="311">
        <v>185152</v>
      </c>
      <c r="D71" s="293">
        <v>240223</v>
      </c>
      <c r="E71" s="293"/>
      <c r="F71" s="293"/>
      <c r="G71" s="311"/>
      <c r="H71" s="311">
        <f t="shared" si="5"/>
        <v>425375</v>
      </c>
      <c r="I71" s="312">
        <f t="shared" si="7"/>
        <v>0.77151745592810239</v>
      </c>
      <c r="J71" s="311">
        <v>292820</v>
      </c>
      <c r="K71" s="313">
        <v>0.52</v>
      </c>
      <c r="L71" s="313">
        <v>0.6</v>
      </c>
      <c r="M71" s="313">
        <f t="shared" si="6"/>
        <v>1.4526842428795848</v>
      </c>
      <c r="N71" s="313">
        <v>75.11</v>
      </c>
      <c r="O71" s="312">
        <f t="shared" si="4"/>
        <v>6.9231793369724411E-3</v>
      </c>
      <c r="AA71" s="319"/>
    </row>
    <row r="72" spans="1:27" s="13" customFormat="1" ht="14">
      <c r="A72" s="310" t="s">
        <v>1122</v>
      </c>
      <c r="B72" s="310"/>
      <c r="C72" s="311">
        <v>280532</v>
      </c>
      <c r="D72" s="293">
        <v>257314</v>
      </c>
      <c r="E72" s="293"/>
      <c r="F72" s="293"/>
      <c r="G72" s="311"/>
      <c r="H72" s="311">
        <f t="shared" si="5"/>
        <v>537846</v>
      </c>
      <c r="I72" s="312">
        <f t="shared" si="7"/>
        <v>0.36967317065717298</v>
      </c>
      <c r="J72" s="311">
        <v>292902</v>
      </c>
      <c r="K72" s="313">
        <v>0.79</v>
      </c>
      <c r="L72" s="313">
        <v>0.6</v>
      </c>
      <c r="M72" s="313">
        <f t="shared" si="6"/>
        <v>1.8362660548579388</v>
      </c>
      <c r="N72" s="313">
        <v>79.7</v>
      </c>
      <c r="O72" s="312">
        <f t="shared" si="4"/>
        <v>9.9121706398996243E-3</v>
      </c>
      <c r="AA72" s="319"/>
    </row>
    <row r="73" spans="1:27" s="13" customFormat="1" ht="14">
      <c r="A73" s="310" t="s">
        <v>1123</v>
      </c>
      <c r="B73" s="310"/>
      <c r="C73" s="311">
        <v>267076</v>
      </c>
      <c r="D73" s="293">
        <v>284634</v>
      </c>
      <c r="E73" s="293"/>
      <c r="F73" s="293"/>
      <c r="G73" s="311"/>
      <c r="H73" s="311">
        <f t="shared" si="5"/>
        <v>551710</v>
      </c>
      <c r="I73" s="312">
        <f t="shared" si="7"/>
        <v>0.53211070319746301</v>
      </c>
      <c r="J73" s="311">
        <v>296965</v>
      </c>
      <c r="K73" s="313">
        <v>0.76</v>
      </c>
      <c r="L73" s="313">
        <v>0.8</v>
      </c>
      <c r="M73" s="313">
        <f t="shared" si="6"/>
        <v>1.8578283636118735</v>
      </c>
      <c r="N73" s="313">
        <v>87.6</v>
      </c>
      <c r="O73" s="312">
        <f t="shared" si="4"/>
        <v>8.6757990867579911E-3</v>
      </c>
      <c r="AA73" s="319"/>
    </row>
    <row r="74" spans="1:27" s="13" customFormat="1" ht="14">
      <c r="A74" s="310" t="s">
        <v>1124</v>
      </c>
      <c r="B74" s="310"/>
      <c r="C74" s="311">
        <v>219666</v>
      </c>
      <c r="D74" s="293">
        <v>274279</v>
      </c>
      <c r="E74" s="293"/>
      <c r="F74" s="293"/>
      <c r="G74" s="311"/>
      <c r="H74" s="311">
        <f t="shared" si="5"/>
        <v>493945</v>
      </c>
      <c r="I74" s="312">
        <f t="shared" si="7"/>
        <v>0.94000628412081233</v>
      </c>
      <c r="J74" s="311">
        <v>293303</v>
      </c>
      <c r="K74" s="313">
        <v>0.61</v>
      </c>
      <c r="L74" s="313">
        <v>0.8</v>
      </c>
      <c r="M74" s="313">
        <f t="shared" si="6"/>
        <v>1.6840775580202043</v>
      </c>
      <c r="N74" s="313">
        <v>90.94</v>
      </c>
      <c r="O74" s="312">
        <f t="shared" si="4"/>
        <v>6.7077193754123601E-3</v>
      </c>
      <c r="AA74" s="319"/>
    </row>
    <row r="75" spans="1:27" s="13" customFormat="1" ht="14">
      <c r="A75" s="310" t="s">
        <v>1125</v>
      </c>
      <c r="B75" s="310"/>
      <c r="C75" s="311">
        <v>250522</v>
      </c>
      <c r="D75" s="293">
        <v>270136</v>
      </c>
      <c r="E75" s="293"/>
      <c r="F75" s="293"/>
      <c r="G75" s="311"/>
      <c r="H75" s="311">
        <f t="shared" si="5"/>
        <v>520658</v>
      </c>
      <c r="I75" s="312">
        <f t="shared" si="7"/>
        <v>0.22399764913311793</v>
      </c>
      <c r="J75" s="311">
        <v>293594</v>
      </c>
      <c r="K75" s="313">
        <v>0.7</v>
      </c>
      <c r="L75" s="313">
        <v>0.8</v>
      </c>
      <c r="M75" s="313">
        <f t="shared" si="6"/>
        <v>1.7733945516597751</v>
      </c>
      <c r="N75" s="313">
        <v>94.62</v>
      </c>
      <c r="O75" s="312">
        <f t="shared" si="4"/>
        <v>7.3980131050517851E-3</v>
      </c>
      <c r="AA75" s="319"/>
    </row>
    <row r="76" spans="1:27" s="13" customFormat="1" ht="14">
      <c r="A76" s="310" t="s">
        <v>1126</v>
      </c>
      <c r="B76" s="310"/>
      <c r="C76" s="311">
        <v>333781</v>
      </c>
      <c r="D76" s="293">
        <v>274638</v>
      </c>
      <c r="E76" s="293"/>
      <c r="F76" s="293"/>
      <c r="G76" s="311"/>
      <c r="H76" s="311">
        <f t="shared" si="5"/>
        <v>608419</v>
      </c>
      <c r="I76" s="312">
        <f t="shared" si="7"/>
        <v>0.13121413936331217</v>
      </c>
      <c r="J76" s="311">
        <v>293795</v>
      </c>
      <c r="K76" s="313">
        <v>0.93</v>
      </c>
      <c r="L76" s="313">
        <v>0.8</v>
      </c>
      <c r="M76" s="313">
        <f t="shared" si="6"/>
        <v>2.0708963733215335</v>
      </c>
      <c r="N76" s="313">
        <v>99.78</v>
      </c>
      <c r="O76" s="312">
        <f t="shared" si="4"/>
        <v>9.3205051112447389E-3</v>
      </c>
      <c r="AA76" s="319"/>
    </row>
    <row r="77" spans="1:27" s="13" customFormat="1" ht="14">
      <c r="A77" s="310" t="s">
        <v>1127</v>
      </c>
      <c r="B77" s="310"/>
      <c r="C77" s="311">
        <v>441931</v>
      </c>
      <c r="D77" s="293">
        <v>293385</v>
      </c>
      <c r="E77" s="293"/>
      <c r="F77" s="293"/>
      <c r="G77" s="311"/>
      <c r="H77" s="311">
        <f t="shared" si="5"/>
        <v>735316</v>
      </c>
      <c r="I77" s="312">
        <f t="shared" si="7"/>
        <v>0.33279440285657325</v>
      </c>
      <c r="J77" s="311">
        <v>297734</v>
      </c>
      <c r="K77" s="313">
        <v>1.24</v>
      </c>
      <c r="L77" s="313">
        <v>0.9</v>
      </c>
      <c r="M77" s="313">
        <f t="shared" si="6"/>
        <v>2.4697078600361397</v>
      </c>
      <c r="N77" s="313">
        <v>103.65</v>
      </c>
      <c r="O77" s="312">
        <f t="shared" si="4"/>
        <v>1.1963338157260009E-2</v>
      </c>
      <c r="AA77" s="319"/>
    </row>
    <row r="78" spans="1:27" s="13" customFormat="1" ht="14">
      <c r="A78" s="310" t="s">
        <v>1128</v>
      </c>
      <c r="B78" s="310"/>
      <c r="C78" s="311">
        <v>781829</v>
      </c>
      <c r="D78" s="293">
        <v>298502</v>
      </c>
      <c r="E78" s="293"/>
      <c r="F78" s="293"/>
      <c r="G78" s="311"/>
      <c r="H78" s="311">
        <f t="shared" si="5"/>
        <v>1080331</v>
      </c>
      <c r="I78" s="312">
        <f t="shared" si="7"/>
        <v>1.187148366720991</v>
      </c>
      <c r="J78" s="311">
        <v>303097</v>
      </c>
      <c r="K78" s="313">
        <v>2.1800000000000002</v>
      </c>
      <c r="L78" s="313">
        <v>0.95</v>
      </c>
      <c r="M78" s="313">
        <f t="shared" si="6"/>
        <v>3.5643077958541327</v>
      </c>
      <c r="N78" s="313">
        <v>115.18</v>
      </c>
      <c r="O78" s="312">
        <f t="shared" si="4"/>
        <v>1.8926897030734503E-2</v>
      </c>
      <c r="AA78" s="319"/>
    </row>
    <row r="79" spans="1:27" s="13" customFormat="1" ht="14">
      <c r="A79" s="310" t="s">
        <v>1129</v>
      </c>
      <c r="B79" s="310"/>
      <c r="C79" s="311">
        <v>260936</v>
      </c>
      <c r="D79" s="293">
        <v>321687</v>
      </c>
      <c r="E79" s="293"/>
      <c r="F79" s="293"/>
      <c r="G79" s="311"/>
      <c r="H79" s="311">
        <f t="shared" si="5"/>
        <v>582623</v>
      </c>
      <c r="I79" s="312">
        <f t="shared" si="7"/>
        <v>0.11901286449070225</v>
      </c>
      <c r="J79" s="311">
        <v>303330</v>
      </c>
      <c r="K79" s="313">
        <v>0.71</v>
      </c>
      <c r="L79" s="313">
        <v>1</v>
      </c>
      <c r="M79" s="313">
        <f t="shared" si="6"/>
        <v>1.9207562720469455</v>
      </c>
      <c r="N79" s="313">
        <v>117.19</v>
      </c>
      <c r="O79" s="312">
        <f t="shared" si="4"/>
        <v>6.0585374178684188E-3</v>
      </c>
      <c r="AA79" s="319"/>
    </row>
    <row r="80" spans="1:27" s="13" customFormat="1" ht="14">
      <c r="A80" s="310" t="s">
        <v>1130</v>
      </c>
      <c r="B80" s="310"/>
      <c r="C80" s="311">
        <v>306371</v>
      </c>
      <c r="D80" s="293">
        <v>320121</v>
      </c>
      <c r="E80" s="293"/>
      <c r="F80" s="293"/>
      <c r="G80" s="311"/>
      <c r="H80" s="311">
        <f t="shared" si="5"/>
        <v>626492</v>
      </c>
      <c r="I80" s="312">
        <f t="shared" si="7"/>
        <v>2.9704858000818568E-2</v>
      </c>
      <c r="J80" s="311">
        <v>309349</v>
      </c>
      <c r="K80" s="313">
        <v>0.84</v>
      </c>
      <c r="L80" s="313">
        <v>1.05</v>
      </c>
      <c r="M80" s="313">
        <f t="shared" si="6"/>
        <v>2.0251948446576522</v>
      </c>
      <c r="N80" s="313">
        <v>123.79</v>
      </c>
      <c r="O80" s="312">
        <f t="shared" si="4"/>
        <v>6.7856854350109054E-3</v>
      </c>
      <c r="AA80" s="319"/>
    </row>
    <row r="81" spans="1:27" s="13" customFormat="1" ht="14">
      <c r="A81" s="310" t="s">
        <v>1131</v>
      </c>
      <c r="B81" s="310"/>
      <c r="C81" s="311">
        <v>370496</v>
      </c>
      <c r="D81" s="293">
        <v>360994</v>
      </c>
      <c r="E81" s="293">
        <v>-18104</v>
      </c>
      <c r="F81" s="293"/>
      <c r="G81" s="311"/>
      <c r="H81" s="311">
        <f t="shared" si="5"/>
        <v>713386</v>
      </c>
      <c r="I81" s="312">
        <f t="shared" si="7"/>
        <v>-2.9823912440365752E-2</v>
      </c>
      <c r="J81" s="311">
        <v>309904</v>
      </c>
      <c r="K81" s="313">
        <v>0.99</v>
      </c>
      <c r="L81" s="313">
        <v>1.1000000000000001</v>
      </c>
      <c r="M81" s="313">
        <f t="shared" si="6"/>
        <v>2.3019580257111878</v>
      </c>
      <c r="N81" s="313">
        <v>130.1</v>
      </c>
      <c r="O81" s="312">
        <f t="shared" si="4"/>
        <v>7.6095311299000769E-3</v>
      </c>
      <c r="AA81" s="319"/>
    </row>
    <row r="82" spans="1:27" s="13" customFormat="1" ht="14">
      <c r="A82" s="310" t="s">
        <v>1132</v>
      </c>
      <c r="B82" s="310"/>
      <c r="C82" s="311">
        <v>334468</v>
      </c>
      <c r="D82" s="293">
        <v>321974</v>
      </c>
      <c r="E82" s="293">
        <v>-20767</v>
      </c>
      <c r="F82" s="293"/>
      <c r="G82" s="311"/>
      <c r="H82" s="311">
        <f t="shared" si="5"/>
        <v>635675</v>
      </c>
      <c r="I82" s="312">
        <f t="shared" si="7"/>
        <v>-0.41159237307825103</v>
      </c>
      <c r="J82" s="311">
        <v>310048</v>
      </c>
      <c r="K82" s="313">
        <v>0.91</v>
      </c>
      <c r="L82" s="313">
        <v>1.1499999999999999</v>
      </c>
      <c r="M82" s="313">
        <f t="shared" si="6"/>
        <v>2.0502470585199712</v>
      </c>
      <c r="N82" s="313">
        <v>135.61000000000001</v>
      </c>
      <c r="O82" s="312">
        <f t="shared" si="4"/>
        <v>6.7104195855762841E-3</v>
      </c>
      <c r="AA82" s="319"/>
    </row>
    <row r="83" spans="1:27" s="13" customFormat="1" ht="14">
      <c r="A83" s="310" t="s">
        <v>1133</v>
      </c>
      <c r="B83" s="310"/>
      <c r="C83" s="311">
        <v>400525</v>
      </c>
      <c r="D83" s="293">
        <v>331380</v>
      </c>
      <c r="E83" s="293">
        <v>-68068</v>
      </c>
      <c r="F83" s="293"/>
      <c r="G83" s="311"/>
      <c r="H83" s="311">
        <f t="shared" si="5"/>
        <v>663837</v>
      </c>
      <c r="I83" s="312">
        <f t="shared" si="7"/>
        <v>0.13939374175066899</v>
      </c>
      <c r="J83" s="311">
        <v>310334</v>
      </c>
      <c r="K83" s="313">
        <v>1.1000000000000001</v>
      </c>
      <c r="L83" s="313">
        <v>1.1499999999999999</v>
      </c>
      <c r="M83" s="313">
        <f t="shared" si="6"/>
        <v>2.1391049643287556</v>
      </c>
      <c r="N83" s="313">
        <v>143.58000000000001</v>
      </c>
      <c r="O83" s="312">
        <f t="shared" si="4"/>
        <v>7.6612341551748151E-3</v>
      </c>
      <c r="AA83" s="319"/>
    </row>
    <row r="84" spans="1:27" s="13" customFormat="1" ht="14">
      <c r="A84" s="310" t="s">
        <v>1134</v>
      </c>
      <c r="B84" s="310"/>
      <c r="C84" s="311">
        <v>367293</v>
      </c>
      <c r="D84" s="293">
        <v>338361</v>
      </c>
      <c r="E84" s="293">
        <v>-11071</v>
      </c>
      <c r="F84" s="293"/>
      <c r="G84" s="311"/>
      <c r="H84" s="311">
        <f t="shared" si="5"/>
        <v>694583</v>
      </c>
      <c r="I84" s="312">
        <f t="shared" si="7"/>
        <v>0.10868614443600233</v>
      </c>
      <c r="J84" s="311">
        <v>310333</v>
      </c>
      <c r="K84" s="313">
        <v>1</v>
      </c>
      <c r="L84" s="313">
        <v>1.1499999999999999</v>
      </c>
      <c r="M84" s="313">
        <f t="shared" si="6"/>
        <v>2.2381860775360662</v>
      </c>
      <c r="N84" s="313">
        <v>147.82</v>
      </c>
      <c r="O84" s="312">
        <f t="shared" si="4"/>
        <v>6.7649844405357875E-3</v>
      </c>
      <c r="AA84" s="319"/>
    </row>
    <row r="85" spans="1:27" s="13" customFormat="1" ht="14">
      <c r="A85" s="310" t="s">
        <v>1135</v>
      </c>
      <c r="B85" s="310"/>
      <c r="C85" s="311">
        <v>449303</v>
      </c>
      <c r="D85" s="293">
        <v>341235</v>
      </c>
      <c r="E85" s="293">
        <v>-7609</v>
      </c>
      <c r="F85" s="293"/>
      <c r="G85" s="311"/>
      <c r="H85" s="311">
        <f t="shared" si="5"/>
        <v>782929</v>
      </c>
      <c r="I85" s="312">
        <f t="shared" si="7"/>
        <v>9.7482989573667078E-2</v>
      </c>
      <c r="J85" s="311">
        <v>310609</v>
      </c>
      <c r="K85" s="313">
        <v>1.23</v>
      </c>
      <c r="L85" s="313">
        <v>1.2</v>
      </c>
      <c r="M85" s="313">
        <f t="shared" si="6"/>
        <v>2.5206256096893522</v>
      </c>
      <c r="N85" s="313">
        <v>159.47</v>
      </c>
      <c r="O85" s="312">
        <f t="shared" si="4"/>
        <v>7.7130494763905438E-3</v>
      </c>
      <c r="AA85" s="319"/>
    </row>
    <row r="86" spans="1:27" s="13" customFormat="1" ht="14">
      <c r="A86" s="310" t="s">
        <v>1136</v>
      </c>
      <c r="B86" s="310"/>
      <c r="C86" s="311">
        <v>401103</v>
      </c>
      <c r="D86" s="293">
        <v>330562</v>
      </c>
      <c r="E86" s="293">
        <v>-2897</v>
      </c>
      <c r="F86" s="293"/>
      <c r="G86" s="311"/>
      <c r="H86" s="311">
        <f t="shared" si="5"/>
        <v>728768</v>
      </c>
      <c r="I86" s="312">
        <f t="shared" si="7"/>
        <v>0.14644747709128092</v>
      </c>
      <c r="J86" s="311">
        <v>310659</v>
      </c>
      <c r="K86" s="313">
        <v>1.1000000000000001</v>
      </c>
      <c r="L86" s="313">
        <v>1.25</v>
      </c>
      <c r="M86" s="313">
        <f t="shared" si="6"/>
        <v>2.3458776343193017</v>
      </c>
      <c r="N86" s="313">
        <v>160.88999999999999</v>
      </c>
      <c r="O86" s="312">
        <f t="shared" si="4"/>
        <v>6.8369693579464243E-3</v>
      </c>
      <c r="AA86" s="319"/>
    </row>
    <row r="87" spans="1:27" s="13" customFormat="1" ht="14">
      <c r="A87" s="310" t="s">
        <v>1137</v>
      </c>
      <c r="B87" s="310"/>
      <c r="C87" s="311">
        <v>489609</v>
      </c>
      <c r="D87" s="293">
        <v>340152</v>
      </c>
      <c r="E87" s="293">
        <v>-133870</v>
      </c>
      <c r="F87" s="293"/>
      <c r="G87" s="311"/>
      <c r="H87" s="311">
        <f t="shared" si="5"/>
        <v>695891</v>
      </c>
      <c r="I87" s="312">
        <f t="shared" si="7"/>
        <v>4.8285949713559262E-2</v>
      </c>
      <c r="J87" s="311">
        <v>310765</v>
      </c>
      <c r="K87" s="313">
        <v>1.31</v>
      </c>
      <c r="L87" s="313">
        <v>1.3</v>
      </c>
      <c r="M87" s="313">
        <f t="shared" si="6"/>
        <v>2.2392837031197206</v>
      </c>
      <c r="N87" s="313">
        <v>159.09</v>
      </c>
      <c r="O87" s="312">
        <f t="shared" si="4"/>
        <v>8.2343327676158151E-3</v>
      </c>
      <c r="AA87" s="319"/>
    </row>
    <row r="88" spans="1:27" s="13" customFormat="1" ht="14">
      <c r="A88" s="310" t="s">
        <v>1138</v>
      </c>
      <c r="B88" s="310"/>
      <c r="C88" s="311">
        <v>296963</v>
      </c>
      <c r="D88" s="293">
        <v>302920</v>
      </c>
      <c r="E88" s="293">
        <v>-17717</v>
      </c>
      <c r="F88" s="293"/>
      <c r="G88" s="311"/>
      <c r="H88" s="311">
        <f t="shared" si="5"/>
        <v>582166</v>
      </c>
      <c r="I88" s="312">
        <f t="shared" si="7"/>
        <v>-0.16184818804952039</v>
      </c>
      <c r="J88" s="311">
        <v>310782</v>
      </c>
      <c r="K88" s="313">
        <v>0.81</v>
      </c>
      <c r="L88" s="313">
        <v>1.3</v>
      </c>
      <c r="M88" s="313">
        <f t="shared" si="6"/>
        <v>1.8732294663140079</v>
      </c>
      <c r="N88" s="313">
        <v>158.91999999999999</v>
      </c>
      <c r="O88" s="312">
        <f t="shared" si="4"/>
        <v>5.0969041026931797E-3</v>
      </c>
      <c r="AA88" s="319"/>
    </row>
    <row r="89" spans="1:27" s="13" customFormat="1" ht="14">
      <c r="A89" s="310" t="s">
        <v>1139</v>
      </c>
      <c r="B89" s="310"/>
      <c r="C89" s="311">
        <v>475992</v>
      </c>
      <c r="D89" s="293">
        <v>312150</v>
      </c>
      <c r="E89" s="293">
        <v>-4066</v>
      </c>
      <c r="F89" s="293"/>
      <c r="G89" s="311"/>
      <c r="H89" s="311">
        <f t="shared" si="5"/>
        <v>784076</v>
      </c>
      <c r="I89" s="312">
        <f t="shared" si="7"/>
        <v>1.4650115144541065E-3</v>
      </c>
      <c r="J89" s="311">
        <v>310788</v>
      </c>
      <c r="K89" s="313">
        <v>1.3</v>
      </c>
      <c r="L89" s="313">
        <v>1.3</v>
      </c>
      <c r="M89" s="313">
        <f t="shared" si="6"/>
        <v>2.5228644606612867</v>
      </c>
      <c r="N89" s="313">
        <v>162.66</v>
      </c>
      <c r="O89" s="312">
        <f t="shared" si="4"/>
        <v>7.9921308250338139E-3</v>
      </c>
      <c r="AA89" s="319"/>
    </row>
    <row r="90" spans="1:27" s="13" customFormat="1" ht="14">
      <c r="A90" s="310" t="s">
        <v>1140</v>
      </c>
      <c r="B90" s="310"/>
      <c r="C90" s="311">
        <v>425508</v>
      </c>
      <c r="D90" s="293">
        <v>302667</v>
      </c>
      <c r="E90" s="293">
        <v>0</v>
      </c>
      <c r="F90" s="293"/>
      <c r="G90" s="311"/>
      <c r="H90" s="311">
        <f t="shared" si="5"/>
        <v>728175</v>
      </c>
      <c r="I90" s="312">
        <f t="shared" si="7"/>
        <v>-8.1370202862918184E-4</v>
      </c>
      <c r="J90" s="311">
        <v>311269</v>
      </c>
      <c r="K90" s="313">
        <v>1.73</v>
      </c>
      <c r="L90" s="313">
        <v>1.4</v>
      </c>
      <c r="M90" s="313">
        <f t="shared" si="6"/>
        <v>2.3393752670519712</v>
      </c>
      <c r="N90" s="313">
        <v>183.76</v>
      </c>
      <c r="O90" s="312">
        <f t="shared" si="4"/>
        <v>9.4144536351763175E-3</v>
      </c>
      <c r="AA90" s="319"/>
    </row>
    <row r="91" spans="1:27" s="13" customFormat="1" ht="14">
      <c r="A91" s="310" t="s">
        <v>1141</v>
      </c>
      <c r="B91" s="310"/>
      <c r="C91" s="311">
        <v>554526</v>
      </c>
      <c r="D91" s="293">
        <v>312582</v>
      </c>
      <c r="E91" s="293">
        <v>-16339</v>
      </c>
      <c r="F91" s="293"/>
      <c r="G91" s="311"/>
      <c r="H91" s="311">
        <f t="shared" si="5"/>
        <v>850769</v>
      </c>
      <c r="I91" s="312">
        <f t="shared" si="7"/>
        <v>0.22256071712380243</v>
      </c>
      <c r="J91" s="311">
        <v>309418</v>
      </c>
      <c r="K91" s="313">
        <v>1.52</v>
      </c>
      <c r="L91" s="313">
        <v>1.5</v>
      </c>
      <c r="M91" s="313">
        <f t="shared" si="6"/>
        <v>2.7495782404385007</v>
      </c>
      <c r="N91" s="313">
        <v>192</v>
      </c>
      <c r="O91" s="312">
        <f t="shared" si="4"/>
        <v>7.9166666666666673E-3</v>
      </c>
      <c r="AA91" s="319"/>
    </row>
    <row r="92" spans="1:27" s="13" customFormat="1" ht="14">
      <c r="A92" s="310" t="s">
        <v>1142</v>
      </c>
      <c r="B92" s="310"/>
      <c r="C92" s="311">
        <v>492496</v>
      </c>
      <c r="D92" s="293">
        <v>305440</v>
      </c>
      <c r="E92" s="293">
        <v>0</v>
      </c>
      <c r="F92" s="293"/>
      <c r="G92" s="311"/>
      <c r="H92" s="311">
        <f t="shared" si="5"/>
        <v>797936</v>
      </c>
      <c r="I92" s="312">
        <f t="shared" si="7"/>
        <v>0.37063311838891311</v>
      </c>
      <c r="J92" s="311">
        <v>309418</v>
      </c>
      <c r="K92" s="313">
        <v>1.36</v>
      </c>
      <c r="L92" s="313">
        <v>1.55</v>
      </c>
      <c r="M92" s="313">
        <f t="shared" si="6"/>
        <v>2.5788286395749438</v>
      </c>
      <c r="N92" s="313">
        <v>194.07</v>
      </c>
      <c r="O92" s="312">
        <f t="shared" si="4"/>
        <v>7.0077806976864025E-3</v>
      </c>
      <c r="AA92" s="319"/>
    </row>
    <row r="93" spans="1:27" s="13" customFormat="1" ht="14">
      <c r="A93" s="310" t="s">
        <v>1143</v>
      </c>
      <c r="B93" s="310"/>
      <c r="C93" s="311">
        <v>666845</v>
      </c>
      <c r="D93" s="293">
        <v>318525</v>
      </c>
      <c r="E93" s="293">
        <v>-234177</v>
      </c>
      <c r="F93" s="293"/>
      <c r="G93" s="311"/>
      <c r="H93" s="311">
        <f t="shared" si="5"/>
        <v>751193</v>
      </c>
      <c r="I93" s="312">
        <f t="shared" si="7"/>
        <v>-4.1938536570434448E-2</v>
      </c>
      <c r="J93" s="311">
        <v>309421</v>
      </c>
      <c r="K93" s="313">
        <v>1.27</v>
      </c>
      <c r="L93" s="313">
        <v>1.6</v>
      </c>
      <c r="M93" s="313">
        <f t="shared" si="6"/>
        <v>2.4277376131548927</v>
      </c>
      <c r="N93" s="313">
        <v>210.73</v>
      </c>
      <c r="O93" s="312">
        <f t="shared" ref="O93:O99" si="8">K93/N93</f>
        <v>6.0266691975513695E-3</v>
      </c>
      <c r="AA93" s="319"/>
    </row>
    <row r="94" spans="1:27" s="13" customFormat="1" ht="14">
      <c r="A94" s="310" t="s">
        <v>1144</v>
      </c>
      <c r="B94" s="310"/>
      <c r="C94" s="311">
        <v>563839</v>
      </c>
      <c r="D94" s="293">
        <v>317799</v>
      </c>
      <c r="E94" s="293">
        <v>-22688</v>
      </c>
      <c r="F94" s="293"/>
      <c r="G94" s="311"/>
      <c r="H94" s="311">
        <f t="shared" si="5"/>
        <v>858950</v>
      </c>
      <c r="I94" s="312">
        <f t="shared" si="7"/>
        <v>0.17959281766058988</v>
      </c>
      <c r="J94" s="311">
        <v>309417</v>
      </c>
      <c r="K94" s="313">
        <v>1.55</v>
      </c>
      <c r="L94" s="313">
        <v>1.6</v>
      </c>
      <c r="M94" s="313">
        <f t="shared" si="6"/>
        <v>2.776027173684704</v>
      </c>
      <c r="N94" s="313">
        <v>211.51</v>
      </c>
      <c r="O94" s="312">
        <f t="shared" si="8"/>
        <v>7.328258711172049E-3</v>
      </c>
      <c r="AA94" s="319"/>
    </row>
    <row r="95" spans="1:27" s="13" customFormat="1" ht="14">
      <c r="A95" s="310" t="s">
        <v>1145</v>
      </c>
      <c r="B95" s="310"/>
      <c r="C95" s="311">
        <v>527325</v>
      </c>
      <c r="D95" s="293">
        <v>324847</v>
      </c>
      <c r="E95" s="293">
        <v>-4209</v>
      </c>
      <c r="F95" s="293"/>
      <c r="G95" s="311"/>
      <c r="H95" s="311">
        <f t="shared" si="5"/>
        <v>847963</v>
      </c>
      <c r="I95" s="312">
        <f t="shared" si="7"/>
        <v>-3.2981925763632125E-3</v>
      </c>
      <c r="J95" s="311">
        <v>314232</v>
      </c>
      <c r="K95" s="313">
        <v>1.45</v>
      </c>
      <c r="L95" s="313">
        <v>1.6</v>
      </c>
      <c r="M95" s="313">
        <f t="shared" si="6"/>
        <v>2.6985252934137836</v>
      </c>
      <c r="N95" s="313">
        <v>212.23</v>
      </c>
      <c r="O95" s="312">
        <f t="shared" si="8"/>
        <v>6.8322103378410217E-3</v>
      </c>
      <c r="AA95" s="319"/>
    </row>
    <row r="96" spans="1:27" s="13" customFormat="1" ht="14">
      <c r="A96" s="310" t="s">
        <v>1146</v>
      </c>
      <c r="B96" s="310"/>
      <c r="C96" s="311">
        <v>587940</v>
      </c>
      <c r="D96" s="293">
        <v>329400</v>
      </c>
      <c r="E96" s="293">
        <v>-49561</v>
      </c>
      <c r="F96" s="293"/>
      <c r="G96" s="311"/>
      <c r="H96" s="311">
        <f t="shared" si="5"/>
        <v>867779</v>
      </c>
      <c r="I96" s="312">
        <f t="shared" si="7"/>
        <v>8.7529576306871748E-2</v>
      </c>
      <c r="J96" s="311">
        <v>314238</v>
      </c>
      <c r="K96" s="313">
        <v>1.61</v>
      </c>
      <c r="L96" s="313">
        <v>1.65</v>
      </c>
      <c r="M96" s="313">
        <f t="shared" si="6"/>
        <v>2.7615342511090319</v>
      </c>
      <c r="N96" s="313">
        <v>212.08</v>
      </c>
      <c r="O96" s="312">
        <f t="shared" si="8"/>
        <v>7.591474915126367E-3</v>
      </c>
      <c r="AA96" s="319"/>
    </row>
    <row r="97" spans="1:33" s="13" customFormat="1" ht="14">
      <c r="A97" s="310" t="s">
        <v>1147</v>
      </c>
      <c r="B97" s="310"/>
      <c r="C97" s="311">
        <v>455603</v>
      </c>
      <c r="D97" s="293">
        <v>355900</v>
      </c>
      <c r="E97" s="293">
        <v>-8094</v>
      </c>
      <c r="F97" s="293"/>
      <c r="G97" s="311"/>
      <c r="H97" s="311">
        <f t="shared" si="5"/>
        <v>803409</v>
      </c>
      <c r="I97" s="312">
        <f t="shared" si="7"/>
        <v>6.9510764876669517E-2</v>
      </c>
      <c r="J97" s="311">
        <v>313075</v>
      </c>
      <c r="K97" s="313">
        <v>1.26</v>
      </c>
      <c r="L97" s="313">
        <v>1.65</v>
      </c>
      <c r="M97" s="313">
        <f t="shared" si="6"/>
        <v>2.5661870158907609</v>
      </c>
      <c r="N97" s="313">
        <v>215.78</v>
      </c>
      <c r="O97" s="312">
        <f t="shared" si="8"/>
        <v>5.8392807489109277E-3</v>
      </c>
      <c r="AA97" s="319"/>
    </row>
    <row r="98" spans="1:33" s="13" customFormat="1" ht="14">
      <c r="A98" s="310" t="s">
        <v>1148</v>
      </c>
      <c r="B98" s="310"/>
      <c r="C98" s="311">
        <v>551075</v>
      </c>
      <c r="D98" s="293">
        <v>335749</v>
      </c>
      <c r="E98" s="293">
        <v>0</v>
      </c>
      <c r="F98" s="293"/>
      <c r="G98" s="311"/>
      <c r="H98" s="311">
        <f t="shared" ref="H98:H115" si="9">C98+D98+E98-F98-G98</f>
        <v>886824</v>
      </c>
      <c r="I98" s="312">
        <f t="shared" si="7"/>
        <v>3.2451248617498152E-2</v>
      </c>
      <c r="J98" s="311">
        <v>312202</v>
      </c>
      <c r="K98" s="313">
        <v>1.53</v>
      </c>
      <c r="L98" s="313">
        <v>1.75</v>
      </c>
      <c r="M98" s="313">
        <f t="shared" si="6"/>
        <v>2.8405455442309786</v>
      </c>
      <c r="N98" s="313">
        <v>215.72</v>
      </c>
      <c r="O98" s="312">
        <f t="shared" si="8"/>
        <v>7.0925273502688672E-3</v>
      </c>
      <c r="AA98" s="319"/>
    </row>
    <row r="99" spans="1:33" s="13" customFormat="1" ht="14">
      <c r="A99" s="310" t="s">
        <v>1149</v>
      </c>
      <c r="B99" s="310"/>
      <c r="C99" s="311">
        <v>441373</v>
      </c>
      <c r="D99" s="293">
        <v>339859</v>
      </c>
      <c r="E99" s="293">
        <v>-4989</v>
      </c>
      <c r="F99" s="293"/>
      <c r="G99" s="311"/>
      <c r="H99" s="311">
        <f t="shared" si="9"/>
        <v>776243</v>
      </c>
      <c r="I99" s="312">
        <f t="shared" si="7"/>
        <v>-8.4579162062495605E-2</v>
      </c>
      <c r="J99" s="311">
        <v>310843</v>
      </c>
      <c r="K99" s="313">
        <v>1.23</v>
      </c>
      <c r="L99" s="313">
        <v>1.75</v>
      </c>
      <c r="M99" s="313">
        <f t="shared" si="6"/>
        <v>2.4972188532474595</v>
      </c>
      <c r="N99" s="313">
        <v>216.13</v>
      </c>
      <c r="O99" s="312">
        <f t="shared" si="8"/>
        <v>5.6910192939434601E-3</v>
      </c>
      <c r="AA99" s="319"/>
    </row>
    <row r="100" spans="1:33" s="13" customFormat="1" ht="14">
      <c r="A100" s="310" t="s">
        <v>1150</v>
      </c>
      <c r="B100" s="310"/>
      <c r="C100" s="311">
        <v>592635</v>
      </c>
      <c r="D100" s="293">
        <v>336727</v>
      </c>
      <c r="E100" s="293">
        <v>0</v>
      </c>
      <c r="F100" s="293"/>
      <c r="G100" s="311"/>
      <c r="H100" s="311">
        <f t="shared" si="9"/>
        <v>929362</v>
      </c>
      <c r="I100" s="312">
        <f t="shared" si="7"/>
        <v>7.0966225271641648E-2</v>
      </c>
      <c r="J100" s="311">
        <v>310860</v>
      </c>
      <c r="K100" s="313">
        <v>1.65</v>
      </c>
      <c r="L100" s="313">
        <v>1.8</v>
      </c>
      <c r="M100" s="313">
        <f t="shared" si="6"/>
        <v>2.9896480730875634</v>
      </c>
      <c r="N100" s="313">
        <v>206.89</v>
      </c>
      <c r="O100" s="312">
        <f t="shared" ref="O100:O108" si="10">K100/N100</f>
        <v>7.9752525496640733E-3</v>
      </c>
      <c r="AA100" s="319"/>
    </row>
    <row r="101" spans="1:33" s="13" customFormat="1" ht="14">
      <c r="A101" s="310" t="s">
        <v>1151</v>
      </c>
      <c r="B101" s="310"/>
      <c r="C101" s="311">
        <v>659821</v>
      </c>
      <c r="D101" s="293">
        <v>345016</v>
      </c>
      <c r="E101" s="293">
        <v>1342</v>
      </c>
      <c r="F101" s="293"/>
      <c r="G101" s="311"/>
      <c r="H101" s="311">
        <f t="shared" si="9"/>
        <v>1006179</v>
      </c>
      <c r="I101" s="312">
        <f t="shared" si="7"/>
        <v>0.25238701582879952</v>
      </c>
      <c r="J101" s="311">
        <v>310667</v>
      </c>
      <c r="K101" s="313">
        <v>1.83</v>
      </c>
      <c r="L101" s="313">
        <v>1.85</v>
      </c>
      <c r="M101" s="313">
        <f t="shared" si="6"/>
        <v>3.2387701300749678</v>
      </c>
      <c r="N101" s="313">
        <v>197.17</v>
      </c>
      <c r="O101" s="312">
        <f t="shared" si="10"/>
        <v>9.2813308312623636E-3</v>
      </c>
      <c r="AA101" s="319"/>
    </row>
    <row r="102" spans="1:33" s="13" customFormat="1" ht="14" hidden="1">
      <c r="A102" s="310" t="s">
        <v>1152</v>
      </c>
      <c r="B102" s="310"/>
      <c r="C102" s="311">
        <v>715524</v>
      </c>
      <c r="D102" s="293">
        <v>334672</v>
      </c>
      <c r="E102" s="293">
        <v>-135277</v>
      </c>
      <c r="F102" s="293"/>
      <c r="G102" s="311"/>
      <c r="H102" s="311">
        <f t="shared" si="9"/>
        <v>914919</v>
      </c>
      <c r="I102" s="312">
        <f t="shared" si="7"/>
        <v>3.1680468728857214E-2</v>
      </c>
      <c r="J102" s="311">
        <v>309698</v>
      </c>
      <c r="K102" s="313">
        <v>2</v>
      </c>
      <c r="L102" s="313">
        <v>1.95</v>
      </c>
      <c r="M102" s="313">
        <f t="shared" si="6"/>
        <v>2.9542296043242127</v>
      </c>
      <c r="N102" s="313">
        <v>199.39</v>
      </c>
      <c r="O102" s="312">
        <f t="shared" si="10"/>
        <v>1.0030593309594263E-2</v>
      </c>
      <c r="AA102" s="319"/>
    </row>
    <row r="103" spans="1:33" s="13" customFormat="1" ht="2.25" customHeight="1">
      <c r="A103" s="310" t="s">
        <v>1153</v>
      </c>
      <c r="B103" s="310"/>
      <c r="C103" s="311">
        <v>631414</v>
      </c>
      <c r="D103" s="293">
        <v>339395</v>
      </c>
      <c r="E103" s="293">
        <v>-9672</v>
      </c>
      <c r="F103" s="293"/>
      <c r="G103" s="311"/>
      <c r="H103" s="311">
        <f t="shared" si="9"/>
        <v>961137</v>
      </c>
      <c r="I103" s="312">
        <f t="shared" si="7"/>
        <v>0.23819087579533726</v>
      </c>
      <c r="J103" s="311">
        <v>309218</v>
      </c>
      <c r="K103" s="313">
        <v>1.77</v>
      </c>
      <c r="L103" s="313">
        <v>1.95</v>
      </c>
      <c r="M103" s="313">
        <f t="shared" si="6"/>
        <v>3.1082828295894807</v>
      </c>
      <c r="N103" s="313">
        <v>193.98</v>
      </c>
      <c r="O103" s="312">
        <f t="shared" si="10"/>
        <v>9.1246520259820607E-3</v>
      </c>
      <c r="AA103" s="319"/>
    </row>
    <row r="104" spans="1:33" s="13" customFormat="1" ht="14">
      <c r="A104" s="310" t="s">
        <v>1154</v>
      </c>
      <c r="B104" s="310"/>
      <c r="C104" s="311">
        <v>642212</v>
      </c>
      <c r="D104" s="293">
        <v>335604</v>
      </c>
      <c r="E104" s="293">
        <v>0</v>
      </c>
      <c r="F104" s="293"/>
      <c r="G104" s="311"/>
      <c r="H104" s="311">
        <f t="shared" si="9"/>
        <v>977816</v>
      </c>
      <c r="I104" s="312">
        <f t="shared" si="7"/>
        <v>5.2136842263832639E-2</v>
      </c>
      <c r="J104" s="311">
        <v>309304</v>
      </c>
      <c r="K104" s="313">
        <v>1.8</v>
      </c>
      <c r="L104" s="313">
        <v>2</v>
      </c>
      <c r="M104" s="313">
        <f t="shared" si="6"/>
        <v>3.1613428859633239</v>
      </c>
      <c r="N104" s="313">
        <v>201.38</v>
      </c>
      <c r="O104" s="312">
        <f t="shared" si="10"/>
        <v>8.9383255536796113E-3</v>
      </c>
      <c r="AA104" s="319"/>
    </row>
    <row r="105" spans="1:33" s="13" customFormat="1" ht="14">
      <c r="A105" s="310" t="s">
        <v>1155</v>
      </c>
      <c r="B105" s="310"/>
      <c r="C105" s="311">
        <v>833193</v>
      </c>
      <c r="D105" s="293">
        <v>340105</v>
      </c>
      <c r="E105" s="293">
        <v>-143878</v>
      </c>
      <c r="F105" s="293"/>
      <c r="G105" s="311"/>
      <c r="H105" s="311">
        <f t="shared" si="9"/>
        <v>1029420</v>
      </c>
      <c r="I105" s="312">
        <f t="shared" si="7"/>
        <v>2.3098275754115383E-2</v>
      </c>
      <c r="J105" s="311">
        <v>309017</v>
      </c>
      <c r="K105" s="313">
        <v>2.2999999999999998</v>
      </c>
      <c r="L105" s="313">
        <v>2</v>
      </c>
      <c r="M105" s="313">
        <f t="shared" si="6"/>
        <v>3.3312730367584953</v>
      </c>
      <c r="N105" s="313">
        <v>202.79</v>
      </c>
      <c r="O105" s="312">
        <f t="shared" si="10"/>
        <v>1.1341782139158735E-2</v>
      </c>
      <c r="AA105" s="319"/>
    </row>
    <row r="106" spans="1:33" s="13" customFormat="1" ht="14">
      <c r="A106" s="310" t="s">
        <v>1156</v>
      </c>
      <c r="B106" s="134">
        <v>1452834</v>
      </c>
      <c r="C106" s="311">
        <v>631947</v>
      </c>
      <c r="D106" s="293">
        <v>339918</v>
      </c>
      <c r="E106" s="293">
        <v>0</v>
      </c>
      <c r="F106" s="293"/>
      <c r="G106" s="311"/>
      <c r="H106" s="311">
        <f t="shared" si="9"/>
        <v>971865</v>
      </c>
      <c r="I106" s="312">
        <f t="shared" si="7"/>
        <v>6.2241575483731326E-2</v>
      </c>
      <c r="J106" s="311">
        <v>308994</v>
      </c>
      <c r="K106" s="313">
        <v>1.78</v>
      </c>
      <c r="L106" s="313">
        <v>2.0499999999999998</v>
      </c>
      <c r="M106" s="313">
        <f t="shared" si="6"/>
        <v>3.145255247674712</v>
      </c>
      <c r="N106" s="313">
        <v>201.48</v>
      </c>
      <c r="O106" s="312">
        <f t="shared" si="10"/>
        <v>8.8346237839984128E-3</v>
      </c>
      <c r="Q106" s="296">
        <v>0.95099999999999996</v>
      </c>
      <c r="R106" s="309">
        <v>837347</v>
      </c>
      <c r="S106" s="134">
        <v>733159</v>
      </c>
      <c r="T106" s="30">
        <f>U106/W106</f>
        <v>5.0164743651029271</v>
      </c>
      <c r="U106" s="288">
        <v>996939</v>
      </c>
      <c r="V106" s="382">
        <f t="shared" ref="V106:V115" si="11">U106/B106</f>
        <v>0.68620296606494613</v>
      </c>
      <c r="W106" s="288">
        <v>198733</v>
      </c>
      <c r="X106" s="288">
        <v>150600</v>
      </c>
      <c r="Y106" s="288"/>
      <c r="Z106" s="320">
        <v>54.34</v>
      </c>
      <c r="AA106" s="319">
        <v>5184</v>
      </c>
    </row>
    <row r="107" spans="1:33" s="13" customFormat="1" ht="14">
      <c r="A107" s="310" t="s">
        <v>1157</v>
      </c>
      <c r="B107" s="134">
        <v>1397186</v>
      </c>
      <c r="C107" s="311">
        <v>572102</v>
      </c>
      <c r="D107" s="293">
        <v>371830</v>
      </c>
      <c r="E107" s="293">
        <v>-2681</v>
      </c>
      <c r="F107" s="293"/>
      <c r="G107" s="311"/>
      <c r="H107" s="311">
        <f t="shared" si="9"/>
        <v>941251</v>
      </c>
      <c r="I107" s="312">
        <f t="shared" si="7"/>
        <v>-2.0690078521584332E-2</v>
      </c>
      <c r="J107" s="311">
        <v>308022</v>
      </c>
      <c r="K107" s="313">
        <v>1.6</v>
      </c>
      <c r="L107" s="313">
        <v>2.0499999999999998</v>
      </c>
      <c r="M107" s="313">
        <f t="shared" si="6"/>
        <v>3.0557914694404946</v>
      </c>
      <c r="N107" s="313">
        <v>197.52</v>
      </c>
      <c r="O107" s="312">
        <f t="shared" si="10"/>
        <v>8.1004455245038479E-3</v>
      </c>
      <c r="Q107" s="296">
        <v>0.92900000000000005</v>
      </c>
      <c r="R107" s="309">
        <v>1050220</v>
      </c>
      <c r="S107" s="134">
        <v>736362</v>
      </c>
      <c r="T107" s="30">
        <f t="shared" ref="T107:T115" si="12">U107/W107</f>
        <v>5.2879475872495902</v>
      </c>
      <c r="U107" s="288">
        <v>1049261</v>
      </c>
      <c r="V107" s="382">
        <f t="shared" si="11"/>
        <v>0.75098161590511214</v>
      </c>
      <c r="W107" s="288">
        <v>198425</v>
      </c>
      <c r="X107" s="288">
        <v>150400</v>
      </c>
      <c r="Y107" s="288">
        <v>980</v>
      </c>
      <c r="Z107" s="320">
        <v>54.52</v>
      </c>
      <c r="AA107" s="319">
        <v>5214</v>
      </c>
    </row>
    <row r="108" spans="1:33" s="13" customFormat="1" ht="14">
      <c r="A108" s="310" t="s">
        <v>1158</v>
      </c>
      <c r="B108" s="134">
        <v>1416554</v>
      </c>
      <c r="C108" s="311">
        <v>628724</v>
      </c>
      <c r="D108" s="293">
        <v>343359</v>
      </c>
      <c r="E108" s="293">
        <v>-10141</v>
      </c>
      <c r="F108" s="293"/>
      <c r="G108" s="311"/>
      <c r="H108" s="311">
        <f t="shared" si="9"/>
        <v>961942</v>
      </c>
      <c r="I108" s="312">
        <f t="shared" si="7"/>
        <v>-1.6234138120055253E-2</v>
      </c>
      <c r="J108" s="311">
        <v>306869</v>
      </c>
      <c r="K108" s="313">
        <v>1.77</v>
      </c>
      <c r="L108" s="313">
        <v>2.1</v>
      </c>
      <c r="M108" s="313">
        <f t="shared" si="6"/>
        <v>3.1346991713076262</v>
      </c>
      <c r="N108" s="313">
        <v>189.53</v>
      </c>
      <c r="O108" s="312">
        <f t="shared" si="10"/>
        <v>9.3388909407481659E-3</v>
      </c>
      <c r="Q108" s="296">
        <v>0.94699999999999995</v>
      </c>
      <c r="R108" s="309">
        <v>960629</v>
      </c>
      <c r="S108" s="134">
        <v>775617</v>
      </c>
      <c r="T108" s="30">
        <f t="shared" si="12"/>
        <v>5.1736863950351317</v>
      </c>
      <c r="U108" s="288">
        <v>1047061</v>
      </c>
      <c r="V108" s="382">
        <f t="shared" si="11"/>
        <v>0.73916066736601638</v>
      </c>
      <c r="W108" s="288">
        <v>202382</v>
      </c>
      <c r="X108" s="288">
        <v>150200</v>
      </c>
      <c r="Y108" s="288">
        <v>990</v>
      </c>
      <c r="Z108" s="320">
        <v>54.55</v>
      </c>
      <c r="AA108" s="319">
        <v>5241</v>
      </c>
    </row>
    <row r="109" spans="1:33" s="13" customFormat="1" ht="14">
      <c r="A109" s="310" t="s">
        <v>1159</v>
      </c>
      <c r="B109" s="134">
        <v>1488615</v>
      </c>
      <c r="C109" s="311">
        <v>590416</v>
      </c>
      <c r="D109" s="293">
        <v>339065</v>
      </c>
      <c r="E109" s="293">
        <v>-2061</v>
      </c>
      <c r="F109" s="293"/>
      <c r="G109" s="311"/>
      <c r="H109" s="311">
        <f t="shared" si="9"/>
        <v>927420</v>
      </c>
      <c r="I109" s="312">
        <f>H109/H105-1</f>
        <v>-9.9084921606341414E-2</v>
      </c>
      <c r="J109" s="311">
        <v>320443</v>
      </c>
      <c r="K109" s="313">
        <v>1.66</v>
      </c>
      <c r="L109" s="313">
        <v>2.1</v>
      </c>
      <c r="M109" s="313">
        <f>H109/J109</f>
        <v>2.8941808683603636</v>
      </c>
      <c r="N109" s="313">
        <v>181.38</v>
      </c>
      <c r="O109" s="312">
        <f>K109/N109</f>
        <v>9.1520564560591024E-3</v>
      </c>
      <c r="Q109" s="296">
        <v>0.95099999999999996</v>
      </c>
      <c r="R109" s="309">
        <v>959635</v>
      </c>
      <c r="S109" s="134">
        <v>832151</v>
      </c>
      <c r="T109" s="30">
        <f t="shared" si="12"/>
        <v>5.5941668598402634</v>
      </c>
      <c r="U109" s="288">
        <v>1061840</v>
      </c>
      <c r="V109" s="382">
        <f t="shared" si="11"/>
        <v>0.71330733601367713</v>
      </c>
      <c r="W109" s="288">
        <v>189812</v>
      </c>
      <c r="X109" s="288">
        <v>150300</v>
      </c>
      <c r="Y109" s="288">
        <v>1010</v>
      </c>
      <c r="Z109" s="320">
        <v>54.59</v>
      </c>
      <c r="AA109" s="319">
        <v>5269</v>
      </c>
      <c r="AB109" s="296"/>
      <c r="AC109" s="296"/>
      <c r="AD109" s="296"/>
      <c r="AE109" s="296"/>
      <c r="AF109" s="296"/>
      <c r="AG109" s="296"/>
    </row>
    <row r="110" spans="1:33" s="13" customFormat="1" ht="14">
      <c r="A110" s="310" t="s">
        <v>1160</v>
      </c>
      <c r="B110" s="134">
        <v>1353360</v>
      </c>
      <c r="C110" s="311">
        <v>505404</v>
      </c>
      <c r="D110" s="293">
        <v>328262</v>
      </c>
      <c r="E110" s="293">
        <v>962</v>
      </c>
      <c r="F110" s="293"/>
      <c r="G110" s="293"/>
      <c r="H110" s="311">
        <f t="shared" si="9"/>
        <v>834628</v>
      </c>
      <c r="I110" s="312">
        <f t="shared" ref="I110:I115" si="13">H110/H106-1</f>
        <v>-0.14120994171001111</v>
      </c>
      <c r="J110" s="293">
        <v>306504.08399999997</v>
      </c>
      <c r="K110" s="313">
        <v>1.43</v>
      </c>
      <c r="L110" s="30">
        <v>2.1</v>
      </c>
      <c r="M110" s="313">
        <f t="shared" ref="M110:M115" si="14">H110/J110</f>
        <v>2.7230567015870499</v>
      </c>
      <c r="N110" s="313">
        <v>163.47</v>
      </c>
      <c r="O110" s="312">
        <f t="shared" ref="O110:O115" si="15">K110/N110</f>
        <v>8.7477824677310821E-3</v>
      </c>
      <c r="P110" s="315"/>
      <c r="Q110" s="296">
        <v>0.94</v>
      </c>
      <c r="R110" s="309">
        <v>741307</v>
      </c>
      <c r="S110" s="134">
        <v>793490</v>
      </c>
      <c r="T110" s="30">
        <f t="shared" si="12"/>
        <v>5.2979262046507163</v>
      </c>
      <c r="U110" s="288">
        <v>994034</v>
      </c>
      <c r="V110" s="382">
        <f t="shared" si="11"/>
        <v>0.7344934089968671</v>
      </c>
      <c r="W110" s="288">
        <v>187627</v>
      </c>
      <c r="X110" s="288">
        <v>142600</v>
      </c>
      <c r="Y110" s="288">
        <v>1030</v>
      </c>
      <c r="Z110" s="320">
        <v>55.76</v>
      </c>
      <c r="AA110" s="319">
        <v>5307</v>
      </c>
    </row>
    <row r="111" spans="1:33" s="13" customFormat="1" ht="14">
      <c r="A111" s="310" t="s">
        <v>1161</v>
      </c>
      <c r="B111" s="134">
        <v>1062041</v>
      </c>
      <c r="C111" s="311">
        <v>290548</v>
      </c>
      <c r="D111" s="293">
        <v>324140</v>
      </c>
      <c r="E111" s="293">
        <v>-7845</v>
      </c>
      <c r="F111" s="293"/>
      <c r="G111" s="293"/>
      <c r="H111" s="311">
        <f t="shared" si="9"/>
        <v>606843</v>
      </c>
      <c r="I111" s="312">
        <f t="shared" si="13"/>
        <v>-0.35528036623599868</v>
      </c>
      <c r="J111" s="293">
        <v>305882.326</v>
      </c>
      <c r="K111" s="13">
        <v>0.83</v>
      </c>
      <c r="L111" s="30">
        <v>1.3</v>
      </c>
      <c r="M111" s="313">
        <f t="shared" si="14"/>
        <v>1.9839099824289945</v>
      </c>
      <c r="N111" s="313">
        <v>120.28</v>
      </c>
      <c r="O111" s="312">
        <f t="shared" si="15"/>
        <v>6.9005653475224474E-3</v>
      </c>
      <c r="P111" s="315">
        <v>0.78</v>
      </c>
      <c r="Q111" s="296">
        <v>0.92900000000000005</v>
      </c>
      <c r="R111" s="309">
        <v>73005</v>
      </c>
      <c r="S111" s="134">
        <v>1457695</v>
      </c>
      <c r="T111" s="30">
        <f t="shared" si="12"/>
        <v>3.9920582966695592</v>
      </c>
      <c r="U111" s="288">
        <v>786679</v>
      </c>
      <c r="V111" s="382">
        <f t="shared" si="11"/>
        <v>0.74072375736906582</v>
      </c>
      <c r="W111" s="288">
        <v>197061</v>
      </c>
      <c r="X111" s="288">
        <v>142400</v>
      </c>
      <c r="Y111" s="288">
        <v>1080</v>
      </c>
      <c r="Z111" s="320">
        <v>56.02</v>
      </c>
      <c r="AA111" s="319">
        <v>5339</v>
      </c>
    </row>
    <row r="112" spans="1:33" s="13" customFormat="1" ht="14">
      <c r="A112" s="310" t="s">
        <v>1162</v>
      </c>
      <c r="B112" s="134">
        <v>1060674</v>
      </c>
      <c r="C112" s="311">
        <v>168646</v>
      </c>
      <c r="D112" s="293">
        <v>333755</v>
      </c>
      <c r="E112" s="293">
        <v>-91285</v>
      </c>
      <c r="F112" s="293"/>
      <c r="G112" s="293"/>
      <c r="H112" s="311">
        <f t="shared" si="9"/>
        <v>411116</v>
      </c>
      <c r="I112" s="312">
        <f t="shared" si="13"/>
        <v>-0.5726187233741743</v>
      </c>
      <c r="J112" s="293">
        <v>305913.43099999998</v>
      </c>
      <c r="K112" s="13">
        <v>0.48</v>
      </c>
      <c r="L112" s="30">
        <v>1.3</v>
      </c>
      <c r="M112" s="313">
        <f t="shared" si="14"/>
        <v>1.3438965352260066</v>
      </c>
      <c r="N112" s="313">
        <v>109.87</v>
      </c>
      <c r="O112" s="312">
        <f t="shared" si="15"/>
        <v>4.3687994903067254E-3</v>
      </c>
      <c r="P112" s="315">
        <v>0.85</v>
      </c>
      <c r="Q112" s="296">
        <v>0.91400000000000003</v>
      </c>
      <c r="R112" s="309">
        <v>617309</v>
      </c>
      <c r="S112" s="134">
        <v>1452295</v>
      </c>
      <c r="T112" s="30">
        <f t="shared" si="12"/>
        <v>3.6756779518275224</v>
      </c>
      <c r="U112" s="288">
        <v>741965</v>
      </c>
      <c r="V112" s="382">
        <f t="shared" si="11"/>
        <v>0.69952219060710452</v>
      </c>
      <c r="W112" s="288">
        <v>201858</v>
      </c>
      <c r="X112" s="288">
        <v>142300</v>
      </c>
      <c r="Y112" s="288">
        <v>1090</v>
      </c>
      <c r="Z112" s="320">
        <v>56.13</v>
      </c>
      <c r="AA112" s="319">
        <v>5390</v>
      </c>
    </row>
    <row r="113" spans="1:115" s="13" customFormat="1" ht="14">
      <c r="A113" s="310" t="s">
        <v>1163</v>
      </c>
      <c r="B113" s="134">
        <v>1131429</v>
      </c>
      <c r="C113" s="311">
        <v>312726</v>
      </c>
      <c r="D113" s="293">
        <v>331851</v>
      </c>
      <c r="E113" s="293">
        <v>-16792</v>
      </c>
      <c r="F113" s="293"/>
      <c r="G113" s="293"/>
      <c r="H113" s="311">
        <f t="shared" si="9"/>
        <v>627785</v>
      </c>
      <c r="I113" s="312">
        <f t="shared" si="13"/>
        <v>-0.32308447089775938</v>
      </c>
      <c r="J113" s="293">
        <v>316595</v>
      </c>
      <c r="K113" s="13">
        <v>0.85</v>
      </c>
      <c r="L113" s="30">
        <v>1.3</v>
      </c>
      <c r="M113" s="313">
        <f t="shared" si="14"/>
        <v>1.9829277152197602</v>
      </c>
      <c r="N113" s="313">
        <v>108.61</v>
      </c>
      <c r="O113" s="312">
        <f t="shared" si="15"/>
        <v>7.8261670196114533E-3</v>
      </c>
      <c r="P113" s="315">
        <v>0.9</v>
      </c>
      <c r="Q113" s="296">
        <v>0.91300000000000003</v>
      </c>
      <c r="R113" s="316">
        <v>895077</v>
      </c>
      <c r="S113" s="134">
        <v>1236734</v>
      </c>
      <c r="T113" s="30">
        <f t="shared" si="12"/>
        <v>3.7871774784564454</v>
      </c>
      <c r="U113" s="288">
        <v>749312</v>
      </c>
      <c r="V113" s="382">
        <f t="shared" si="11"/>
        <v>0.66227045621068581</v>
      </c>
      <c r="W113" s="288">
        <v>197855</v>
      </c>
      <c r="X113" s="288">
        <v>142300</v>
      </c>
      <c r="Y113" s="288">
        <v>1090</v>
      </c>
      <c r="Z113" s="320">
        <v>55.8</v>
      </c>
      <c r="AA113" s="319">
        <v>5447</v>
      </c>
    </row>
    <row r="114" spans="1:115" s="13" customFormat="1" ht="14">
      <c r="A114" s="310" t="s">
        <v>1164</v>
      </c>
      <c r="B114" s="134">
        <v>1239951</v>
      </c>
      <c r="C114" s="311">
        <v>510460</v>
      </c>
      <c r="D114" s="293">
        <v>315738</v>
      </c>
      <c r="E114" s="293">
        <v>93057</v>
      </c>
      <c r="F114" s="293"/>
      <c r="G114" s="293"/>
      <c r="H114" s="311">
        <f t="shared" si="9"/>
        <v>919255</v>
      </c>
      <c r="I114" s="312">
        <f t="shared" si="13"/>
        <v>0.10139487292542304</v>
      </c>
      <c r="J114" s="293">
        <v>328514</v>
      </c>
      <c r="K114" s="13">
        <v>1.36</v>
      </c>
      <c r="L114" s="30">
        <v>1.3</v>
      </c>
      <c r="M114" s="313">
        <f t="shared" si="14"/>
        <v>2.798221689182196</v>
      </c>
      <c r="N114" s="313">
        <v>117.45</v>
      </c>
      <c r="O114" s="312">
        <f t="shared" si="15"/>
        <v>1.1579395487441465E-2</v>
      </c>
      <c r="P114" s="315"/>
      <c r="Q114" s="6">
        <v>0.90080000000000005</v>
      </c>
      <c r="R114" s="316">
        <v>875762</v>
      </c>
      <c r="S114" s="134">
        <v>1016902</v>
      </c>
      <c r="T114" s="30">
        <f t="shared" si="12"/>
        <v>4.6354348170441941</v>
      </c>
      <c r="U114" s="288">
        <v>936432</v>
      </c>
      <c r="V114" s="382">
        <f t="shared" si="11"/>
        <v>0.75521694002424289</v>
      </c>
      <c r="W114" s="288">
        <v>202016</v>
      </c>
      <c r="X114" s="288">
        <v>141100</v>
      </c>
      <c r="Y114" s="288">
        <f>830+260</f>
        <v>1090</v>
      </c>
      <c r="Z114" s="320">
        <v>56.07</v>
      </c>
      <c r="AA114" s="319">
        <v>5479</v>
      </c>
      <c r="AB114" s="296">
        <v>-0.09</v>
      </c>
      <c r="AC114" s="296">
        <v>0.90800000000000003</v>
      </c>
      <c r="AD114" s="296">
        <v>0.995</v>
      </c>
    </row>
    <row r="115" spans="1:115" s="13" customFormat="1" ht="14">
      <c r="A115" s="310" t="s">
        <v>1165</v>
      </c>
      <c r="B115" s="134">
        <v>1254146</v>
      </c>
      <c r="C115" s="311">
        <v>705869</v>
      </c>
      <c r="D115" s="311">
        <v>315732</v>
      </c>
      <c r="E115" s="293">
        <v>0</v>
      </c>
      <c r="H115" s="311">
        <f t="shared" si="9"/>
        <v>1021601</v>
      </c>
      <c r="I115" s="312">
        <f t="shared" si="13"/>
        <v>0.6834683764993581</v>
      </c>
      <c r="J115" s="293">
        <v>328594</v>
      </c>
      <c r="K115" s="13">
        <v>1.88</v>
      </c>
      <c r="L115" s="30">
        <v>1.4</v>
      </c>
      <c r="M115" s="313">
        <f t="shared" si="14"/>
        <v>3.1090068595287801</v>
      </c>
      <c r="N115" s="313">
        <v>127.42</v>
      </c>
      <c r="O115" s="312">
        <f t="shared" si="15"/>
        <v>1.4754355674148484E-2</v>
      </c>
      <c r="P115" s="315"/>
      <c r="Q115" s="6">
        <v>0.91800000000000004</v>
      </c>
      <c r="R115" s="316">
        <v>1001987</v>
      </c>
      <c r="S115" s="134">
        <v>952731</v>
      </c>
      <c r="T115" s="30">
        <f t="shared" si="12"/>
        <v>4.6786282737664591</v>
      </c>
      <c r="U115" s="288">
        <v>937686</v>
      </c>
      <c r="V115" s="382">
        <f t="shared" si="11"/>
        <v>0.74766893168737925</v>
      </c>
      <c r="W115" s="288">
        <v>200419</v>
      </c>
      <c r="X115" s="288">
        <v>138700</v>
      </c>
      <c r="Y115" s="288">
        <f>830+280</f>
        <v>1110</v>
      </c>
      <c r="Z115" s="320">
        <v>55.03</v>
      </c>
      <c r="AA115" s="319">
        <v>5492</v>
      </c>
      <c r="AB115" s="296">
        <v>0.14699999999999999</v>
      </c>
      <c r="AC115" s="296">
        <v>0.91800000000000004</v>
      </c>
      <c r="AD115" s="296">
        <v>0.996</v>
      </c>
    </row>
    <row r="116" spans="1:115" s="13" customFormat="1" ht="14">
      <c r="A116" s="310" t="s">
        <v>1166</v>
      </c>
      <c r="B116" s="134">
        <v>1296554</v>
      </c>
      <c r="C116" s="311"/>
      <c r="D116" s="311">
        <v>311381</v>
      </c>
      <c r="E116" s="293">
        <v>108543</v>
      </c>
      <c r="H116" s="311">
        <v>1175910</v>
      </c>
      <c r="I116" s="312">
        <v>0.626</v>
      </c>
      <c r="J116" s="293"/>
      <c r="K116" s="13">
        <v>2.0699999999999998</v>
      </c>
      <c r="L116" s="30"/>
      <c r="M116" s="313">
        <v>3013</v>
      </c>
      <c r="N116" s="313"/>
      <c r="O116" s="312"/>
      <c r="P116" s="315"/>
      <c r="Q116" s="6"/>
      <c r="R116" s="316"/>
      <c r="S116" s="134"/>
      <c r="T116" s="30"/>
      <c r="U116" s="288">
        <v>945300</v>
      </c>
      <c r="V116" s="382">
        <v>0.72909999999999997</v>
      </c>
      <c r="W116" s="288"/>
      <c r="X116" s="288">
        <v>138800</v>
      </c>
      <c r="Y116" s="288">
        <f>830+280</f>
        <v>1110</v>
      </c>
      <c r="Z116" s="320">
        <v>53.91</v>
      </c>
      <c r="AA116" s="319">
        <v>5498</v>
      </c>
      <c r="AB116" s="296">
        <v>0.43</v>
      </c>
      <c r="AC116" s="296">
        <v>0.92800000000000005</v>
      </c>
      <c r="AD116" s="296">
        <v>0.995</v>
      </c>
    </row>
    <row r="117" spans="1:115" s="13" customFormat="1" ht="14.5">
      <c r="E117" s="299"/>
      <c r="J117" s="288"/>
      <c r="L117" s="13">
        <v>1.5</v>
      </c>
      <c r="O117" s="315"/>
      <c r="P117" s="315"/>
      <c r="Q117" s="315"/>
    </row>
    <row r="118" spans="1:115" s="13" customFormat="1" ht="14.5">
      <c r="A118" s="318" t="s">
        <v>1167</v>
      </c>
      <c r="B118" s="317"/>
      <c r="C118" s="314"/>
      <c r="E118" s="299"/>
      <c r="J118" s="288"/>
      <c r="O118" s="315"/>
      <c r="P118" s="315"/>
      <c r="Q118" s="315"/>
    </row>
    <row r="119" spans="1:115">
      <c r="A119" s="1"/>
      <c r="B119" s="1"/>
      <c r="C119" s="23" t="s">
        <v>1168</v>
      </c>
      <c r="D119" s="1" t="s">
        <v>879</v>
      </c>
      <c r="E119" s="23" t="s">
        <v>880</v>
      </c>
      <c r="F119" s="1" t="s">
        <v>881</v>
      </c>
      <c r="G119" s="1" t="s">
        <v>882</v>
      </c>
      <c r="H119" s="1" t="s">
        <v>883</v>
      </c>
      <c r="I119" s="1" t="s">
        <v>884</v>
      </c>
      <c r="J119" s="1" t="s">
        <v>885</v>
      </c>
      <c r="K119" s="1" t="s">
        <v>886</v>
      </c>
      <c r="L119" s="1" t="s">
        <v>1169</v>
      </c>
      <c r="M119" s="31" t="s">
        <v>888</v>
      </c>
      <c r="N119" s="31"/>
      <c r="O119" s="31"/>
      <c r="P119" s="31"/>
      <c r="Q119" s="31"/>
      <c r="R119" s="31"/>
      <c r="S119" s="183"/>
      <c r="U119" s="134"/>
      <c r="V119" s="134"/>
      <c r="W119" s="134"/>
      <c r="X119" s="134"/>
      <c r="Y119" s="134"/>
      <c r="Z119" s="134"/>
      <c r="AA119" s="134"/>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row>
    <row r="120" spans="1:115">
      <c r="A120" s="1" t="s">
        <v>78</v>
      </c>
      <c r="B120" s="1"/>
      <c r="C120" s="23">
        <v>971865000</v>
      </c>
      <c r="D120" s="23">
        <v>941251000</v>
      </c>
      <c r="E120" s="23">
        <v>961942000</v>
      </c>
      <c r="F120" s="23">
        <v>927420000</v>
      </c>
      <c r="G120" s="23">
        <v>834628000</v>
      </c>
      <c r="H120" s="23">
        <v>606843000</v>
      </c>
      <c r="I120" s="23">
        <v>411116000</v>
      </c>
      <c r="J120" s="23">
        <v>627785000</v>
      </c>
      <c r="K120" s="23">
        <v>919255000</v>
      </c>
      <c r="L120" s="23">
        <v>1021601000</v>
      </c>
      <c r="M120" s="311">
        <v>1175910000</v>
      </c>
      <c r="N120" s="1"/>
      <c r="O120" s="1"/>
      <c r="P120" s="1"/>
      <c r="Q120" s="1"/>
      <c r="R120" s="1"/>
      <c r="S120" s="1"/>
      <c r="T120" s="1"/>
      <c r="U120" s="1"/>
      <c r="V120" s="1"/>
      <c r="W120" s="1"/>
      <c r="X120" s="1"/>
      <c r="Y120" s="1"/>
      <c r="Z120" s="6">
        <f>Z111/Z110-1</f>
        <v>4.6628407460547194E-3</v>
      </c>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row>
    <row r="121" spans="1:115" ht="14">
      <c r="A121" s="1" t="s">
        <v>1170</v>
      </c>
      <c r="B121" s="1"/>
      <c r="C121" s="134">
        <v>733159000</v>
      </c>
      <c r="D121" s="134">
        <v>736362000</v>
      </c>
      <c r="E121" s="134">
        <v>775617000</v>
      </c>
      <c r="F121" s="134">
        <v>832151000</v>
      </c>
      <c r="G121" s="134">
        <v>793490000</v>
      </c>
      <c r="H121" s="134">
        <v>1457695000</v>
      </c>
      <c r="I121" s="134">
        <v>1452295000</v>
      </c>
      <c r="J121" s="134">
        <v>1236734000</v>
      </c>
      <c r="K121" s="134">
        <v>1016902000</v>
      </c>
      <c r="L121" s="134">
        <v>952731000</v>
      </c>
      <c r="M121" s="1">
        <v>935053000</v>
      </c>
      <c r="N121" s="1"/>
      <c r="O121" s="1"/>
      <c r="P121" s="1"/>
      <c r="Q121" s="1"/>
      <c r="R121" s="1"/>
      <c r="Z121" s="6">
        <f>Z112/Z111-1</f>
        <v>1.963584434130583E-3</v>
      </c>
    </row>
    <row r="122" spans="1:115" ht="14">
      <c r="A122" s="1" t="s">
        <v>1171</v>
      </c>
      <c r="B122" s="1"/>
      <c r="C122" s="31">
        <v>837347000</v>
      </c>
      <c r="D122" s="31">
        <v>1050220000</v>
      </c>
      <c r="E122" s="31">
        <v>960629000</v>
      </c>
      <c r="F122" s="31">
        <v>959635000</v>
      </c>
      <c r="G122" s="31">
        <v>741307000</v>
      </c>
      <c r="H122" s="31">
        <v>73005000</v>
      </c>
      <c r="I122" s="31">
        <v>617309000</v>
      </c>
      <c r="J122" s="183">
        <v>895077000</v>
      </c>
      <c r="K122" s="183">
        <v>875762000</v>
      </c>
      <c r="L122" s="183">
        <v>1001987000</v>
      </c>
      <c r="M122" s="1">
        <v>87</v>
      </c>
      <c r="N122" s="1"/>
      <c r="O122" s="1"/>
      <c r="P122" s="1"/>
      <c r="Q122" s="1"/>
      <c r="R122" s="1"/>
      <c r="S122" s="1"/>
      <c r="T122" s="1"/>
      <c r="U122" s="1"/>
      <c r="V122" s="1"/>
      <c r="W122" s="1"/>
      <c r="X122" s="1"/>
      <c r="Y122" s="1"/>
      <c r="Z122" s="6">
        <f>Z113/Z112-1</f>
        <v>-5.8792089791556146E-3</v>
      </c>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15" ht="14">
      <c r="A123" s="1" t="s">
        <v>1172</v>
      </c>
      <c r="B123" s="1"/>
      <c r="C123">
        <v>5.0164743651029271</v>
      </c>
      <c r="D123" s="1">
        <v>5.2879475872495902</v>
      </c>
      <c r="E123">
        <v>5.1736863950351317</v>
      </c>
      <c r="F123" s="1">
        <v>5.5941668598402634</v>
      </c>
      <c r="G123">
        <v>5.2979262046507163</v>
      </c>
      <c r="H123" s="1">
        <v>3.9920582966695592</v>
      </c>
      <c r="I123">
        <v>3.6756779518275224</v>
      </c>
      <c r="J123">
        <v>3.7871774784564454</v>
      </c>
      <c r="K123">
        <v>4.4400000000000004</v>
      </c>
      <c r="L123">
        <v>6.2</v>
      </c>
      <c r="M123" s="11"/>
      <c r="Z123" s="6">
        <f>Z114/Z113-1</f>
        <v>4.8387096774193949E-3</v>
      </c>
    </row>
    <row r="124" spans="1:115" ht="14.5">
      <c r="A124" s="327" t="s">
        <v>1173</v>
      </c>
      <c r="B124" s="327"/>
      <c r="C124" s="6">
        <v>0.95099999999999996</v>
      </c>
      <c r="D124" s="6">
        <v>0.92900000000000005</v>
      </c>
      <c r="E124" s="6">
        <v>0.94699999999999995</v>
      </c>
      <c r="F124" s="6">
        <v>0.95099999999999996</v>
      </c>
      <c r="G124" s="6">
        <v>0.94</v>
      </c>
      <c r="H124" s="6">
        <v>0.92900000000000005</v>
      </c>
      <c r="I124" s="6">
        <v>0.91400000000000003</v>
      </c>
      <c r="J124" s="6">
        <v>0.91300000000000003</v>
      </c>
      <c r="K124" s="6">
        <v>0.90080000000000005</v>
      </c>
      <c r="L124" s="6">
        <v>0.91800000000000004</v>
      </c>
      <c r="M124" s="22">
        <v>92.8</v>
      </c>
      <c r="N124" s="1"/>
      <c r="O124" s="1"/>
      <c r="P124" s="1"/>
      <c r="Q124" s="1"/>
      <c r="R124" s="1"/>
      <c r="S124" s="1"/>
      <c r="T124" s="1"/>
      <c r="U124" s="1"/>
      <c r="V124" s="1"/>
      <c r="W124" s="1"/>
      <c r="X124" s="1"/>
      <c r="Y124" s="1"/>
      <c r="Z124" s="6">
        <f>Z115/Z114-1</f>
        <v>-1.8548243267344389E-2</v>
      </c>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J124" s="1"/>
    </row>
    <row r="125" spans="1:115">
      <c r="A125" s="24">
        <v>0</v>
      </c>
      <c r="B125" s="24"/>
      <c r="D125" s="1"/>
      <c r="H125" s="137">
        <v>0.78</v>
      </c>
      <c r="I125" s="137">
        <v>0.85</v>
      </c>
      <c r="J125" s="137">
        <v>0.9</v>
      </c>
      <c r="M125" s="11"/>
      <c r="Z125" s="6"/>
    </row>
    <row r="126" spans="1:115">
      <c r="A126" s="1" t="s">
        <v>1174</v>
      </c>
      <c r="B126" s="1"/>
      <c r="D126" s="1"/>
      <c r="E126" s="1"/>
      <c r="F126" s="1"/>
      <c r="G126" s="6">
        <f>G120/C120-1</f>
        <v>-0.14120994171001111</v>
      </c>
      <c r="H126" s="6">
        <f>H120/D120-1</f>
        <v>-0.35528036623599868</v>
      </c>
      <c r="I126" s="6">
        <f>I120/E120-1</f>
        <v>-0.5726187233741743</v>
      </c>
      <c r="J126" s="6">
        <f t="shared" ref="J126" si="16">J120/F120-1</f>
        <v>-0.32308447089775938</v>
      </c>
      <c r="K126" s="6">
        <f t="shared" ref="K126" si="17">K120/G120-1</f>
        <v>0.10139487292542304</v>
      </c>
      <c r="L126" s="6">
        <f>L120/H120-1</f>
        <v>0.6834683764993581</v>
      </c>
      <c r="M126" s="11"/>
      <c r="Z126" s="6"/>
    </row>
    <row r="127" spans="1:115">
      <c r="A127" s="1" t="s">
        <v>1175</v>
      </c>
      <c r="B127" s="1"/>
      <c r="D127" s="6"/>
      <c r="E127" s="6"/>
      <c r="F127" s="6"/>
      <c r="G127" s="6">
        <f t="shared" ref="G127:J127" si="18">G120/F120-1</f>
        <v>-0.10005391300597355</v>
      </c>
      <c r="H127" s="6">
        <f t="shared" si="18"/>
        <v>-0.2729179946035839</v>
      </c>
      <c r="I127" s="6">
        <f t="shared" si="18"/>
        <v>-0.32253317579670526</v>
      </c>
      <c r="J127" s="6">
        <f t="shared" si="18"/>
        <v>0.52702643536130922</v>
      </c>
      <c r="K127" s="6">
        <f t="shared" ref="K127:K129" si="19">K120/J120-1</f>
        <v>0.46428315426459688</v>
      </c>
      <c r="L127" s="6">
        <f>L120/K120-1</f>
        <v>0.11133580997655712</v>
      </c>
      <c r="M127" s="11"/>
      <c r="Z127" s="6"/>
    </row>
    <row r="128" spans="1:115">
      <c r="A128" s="1" t="s">
        <v>1176</v>
      </c>
      <c r="B128" s="1"/>
      <c r="D128" s="1"/>
      <c r="G128" s="6">
        <f>G121/F121-1</f>
        <v>-4.6459116194056072E-2</v>
      </c>
      <c r="H128" s="6">
        <f t="shared" ref="H128:J128" si="20">H121/G121-1</f>
        <v>0.83706788995450476</v>
      </c>
      <c r="I128" s="6">
        <f t="shared" si="20"/>
        <v>-3.7044786460816992E-3</v>
      </c>
      <c r="J128" s="6">
        <f t="shared" si="20"/>
        <v>-0.14842783318816077</v>
      </c>
      <c r="K128" s="6">
        <f t="shared" si="19"/>
        <v>-0.1777520469235907</v>
      </c>
      <c r="L128" s="6">
        <f t="shared" ref="L128" si="21">L121/K121-1</f>
        <v>-6.3104409274443385E-2</v>
      </c>
      <c r="M128" s="11"/>
    </row>
    <row r="129" spans="1:14">
      <c r="A129" s="1" t="s">
        <v>1177</v>
      </c>
      <c r="B129" s="1"/>
      <c r="D129" s="1"/>
      <c r="G129" s="6">
        <f>G122/F122-1</f>
        <v>-0.22751150176890167</v>
      </c>
      <c r="H129" s="6">
        <f t="shared" ref="H129:J129" si="22">H122/G122-1</f>
        <v>-0.90151853415656402</v>
      </c>
      <c r="I129" s="6">
        <f t="shared" si="22"/>
        <v>7.4557085131155407</v>
      </c>
      <c r="J129" s="6">
        <f t="shared" si="22"/>
        <v>0.44996590038376238</v>
      </c>
      <c r="K129" s="6">
        <f t="shared" si="19"/>
        <v>-2.1579149056449864E-2</v>
      </c>
      <c r="L129" s="6">
        <f>L122/K122-1</f>
        <v>0.14413162480217223</v>
      </c>
      <c r="M129" s="11"/>
    </row>
    <row r="130" spans="1:14">
      <c r="A130" s="1" t="s">
        <v>1178</v>
      </c>
      <c r="B130" s="1"/>
      <c r="D130" s="1"/>
      <c r="G130" s="6">
        <f>G124/F124-1</f>
        <v>-1.1566771819137789E-2</v>
      </c>
      <c r="H130" s="6">
        <f t="shared" ref="H130:L130" si="23">H124/G124-1</f>
        <v>-1.1702127659574346E-2</v>
      </c>
      <c r="I130" s="6">
        <f t="shared" si="23"/>
        <v>-1.6146393972012896E-2</v>
      </c>
      <c r="J130" s="6">
        <f t="shared" si="23"/>
        <v>-1.094091903719896E-3</v>
      </c>
      <c r="K130" s="6">
        <f t="shared" si="23"/>
        <v>-1.3362541073384415E-2</v>
      </c>
      <c r="L130" s="6">
        <f t="shared" si="23"/>
        <v>1.9094138543516825E-2</v>
      </c>
      <c r="M130" s="11"/>
    </row>
    <row r="131" spans="1:14">
      <c r="A131" s="1"/>
      <c r="B131" s="1"/>
      <c r="D131" s="1"/>
      <c r="M131" s="11"/>
    </row>
    <row r="132" spans="1:14">
      <c r="A132" s="1"/>
      <c r="B132" s="1"/>
      <c r="D132" s="1"/>
      <c r="M132" s="11"/>
    </row>
    <row r="133" spans="1:14">
      <c r="A133" s="1"/>
      <c r="B133" s="1"/>
      <c r="D133" s="1"/>
      <c r="E133" s="23"/>
      <c r="F133" s="23"/>
      <c r="G133" s="134">
        <v>832151000</v>
      </c>
      <c r="H133" s="134">
        <v>793490000</v>
      </c>
      <c r="I133" s="134">
        <v>1457695000</v>
      </c>
      <c r="J133" s="134">
        <v>1452295000</v>
      </c>
    </row>
    <row r="134" spans="1:14">
      <c r="A134" s="1"/>
      <c r="B134" s="1"/>
      <c r="D134" s="1"/>
      <c r="F134" s="23"/>
      <c r="G134" s="134">
        <v>1236734000</v>
      </c>
      <c r="H134" s="134">
        <v>1016902000</v>
      </c>
      <c r="I134" s="134">
        <v>952731000</v>
      </c>
      <c r="J134" s="1">
        <v>935053000</v>
      </c>
      <c r="M134" s="11"/>
    </row>
    <row r="135" spans="1:14">
      <c r="A135" s="1"/>
      <c r="B135" s="1"/>
      <c r="D135" s="1"/>
      <c r="G135" s="6">
        <f>(G134-J133)/J133</f>
        <v>-0.1484278331881608</v>
      </c>
      <c r="H135" s="6">
        <f t="shared" ref="H135:I135" si="24">(H134-G134)/G134</f>
        <v>-0.17775204692359067</v>
      </c>
      <c r="I135" s="6">
        <f t="shared" si="24"/>
        <v>-6.3104409274443357E-2</v>
      </c>
      <c r="J135" s="6">
        <f>(J134-I134)/I134</f>
        <v>-1.8555080080316481E-2</v>
      </c>
      <c r="M135" s="11"/>
    </row>
    <row r="136" spans="1:14">
      <c r="A136" s="1"/>
      <c r="B136" s="1"/>
      <c r="D136" s="1"/>
      <c r="M136" s="11"/>
    </row>
    <row r="137" spans="1:14">
      <c r="A137" s="1"/>
      <c r="B137" s="1"/>
      <c r="D137" s="1"/>
      <c r="M137" s="11"/>
    </row>
    <row r="138" spans="1:14">
      <c r="A138" s="1"/>
      <c r="B138" s="1"/>
      <c r="G138" s="23">
        <v>927420000</v>
      </c>
      <c r="H138" s="23">
        <v>834628000</v>
      </c>
      <c r="I138" s="23">
        <v>606843000</v>
      </c>
      <c r="J138" s="23">
        <v>411116000</v>
      </c>
      <c r="K138" s="23"/>
      <c r="L138" s="23"/>
      <c r="M138" s="23"/>
      <c r="N138" s="311"/>
    </row>
    <row r="139" spans="1:14">
      <c r="A139" s="1"/>
      <c r="B139" s="1"/>
      <c r="D139" s="1"/>
      <c r="G139" s="23">
        <v>627785000</v>
      </c>
      <c r="H139" s="23">
        <v>919255000</v>
      </c>
      <c r="I139" s="23">
        <v>1021601000</v>
      </c>
      <c r="J139" s="311">
        <v>1175910000</v>
      </c>
      <c r="M139" s="11"/>
    </row>
    <row r="140" spans="1:14">
      <c r="A140" s="1"/>
      <c r="B140" s="1"/>
      <c r="D140" s="1"/>
      <c r="G140" s="6">
        <f>(G139-J138)/J138</f>
        <v>0.52702643536130922</v>
      </c>
      <c r="H140" s="6">
        <f t="shared" ref="H140:I140" si="25">(H139-G139)/G139</f>
        <v>0.46428315426459693</v>
      </c>
      <c r="I140" s="6">
        <f t="shared" si="25"/>
        <v>0.11133580997655711</v>
      </c>
      <c r="J140" s="6">
        <f>(J139-I139)/I139</f>
        <v>0.15104624995472793</v>
      </c>
      <c r="M140" s="11"/>
    </row>
    <row r="141" spans="1:14">
      <c r="A141" s="1"/>
      <c r="B141" s="1"/>
      <c r="D141" s="1"/>
      <c r="M141" s="11"/>
    </row>
    <row r="142" spans="1:14">
      <c r="A142" s="1"/>
      <c r="B142" s="1"/>
      <c r="D142" s="1"/>
      <c r="M142" s="11"/>
    </row>
    <row r="143" spans="1:14">
      <c r="A143" s="1"/>
      <c r="B143" s="1"/>
      <c r="D143" s="1"/>
      <c r="M143" s="11"/>
    </row>
    <row r="144" spans="1:14">
      <c r="A144" s="1"/>
      <c r="B144" s="1"/>
      <c r="D144" s="1"/>
      <c r="M144" s="11"/>
    </row>
    <row r="145" spans="1:13">
      <c r="A145" s="1"/>
      <c r="B145" s="1"/>
      <c r="D145" s="1"/>
      <c r="M145" s="11"/>
    </row>
    <row r="146" spans="1:13">
      <c r="A146" s="1"/>
      <c r="B146" s="1"/>
      <c r="D146" s="1"/>
      <c r="M146" s="11"/>
    </row>
    <row r="147" spans="1:13">
      <c r="A147" s="1"/>
      <c r="B147" s="1"/>
      <c r="D147" s="1"/>
      <c r="M147" s="11"/>
    </row>
    <row r="148" spans="1:13">
      <c r="A148" s="1"/>
      <c r="B148" s="1"/>
      <c r="D148" s="1"/>
      <c r="M148" s="11"/>
    </row>
    <row r="149" spans="1:13">
      <c r="A149" s="1"/>
      <c r="B149" s="1"/>
      <c r="D149" s="1"/>
      <c r="M149" s="11"/>
    </row>
    <row r="150" spans="1:13">
      <c r="A150" s="1"/>
      <c r="B150" s="1"/>
      <c r="D150" s="1"/>
      <c r="M150" s="11"/>
    </row>
    <row r="151" spans="1:13">
      <c r="A151" s="1"/>
      <c r="B151" s="1"/>
      <c r="D151" s="1"/>
      <c r="M151" s="11"/>
    </row>
    <row r="152" spans="1:13">
      <c r="A152" s="1"/>
      <c r="B152" s="1"/>
      <c r="D152" s="1"/>
      <c r="M152" s="11"/>
    </row>
    <row r="153" spans="1:13">
      <c r="A153" s="1"/>
      <c r="B153" s="1"/>
      <c r="D153" s="1"/>
      <c r="M153" s="11"/>
    </row>
    <row r="154" spans="1:13">
      <c r="A154" s="1"/>
      <c r="B154" s="1"/>
      <c r="D154" s="1"/>
      <c r="M154" s="11"/>
    </row>
    <row r="155" spans="1:13">
      <c r="A155" s="1"/>
      <c r="B155" s="1"/>
      <c r="D155" s="1"/>
      <c r="M155" s="11"/>
    </row>
    <row r="156" spans="1:13">
      <c r="A156" s="1"/>
      <c r="B156" s="1"/>
      <c r="D156" s="1"/>
      <c r="M156" s="11"/>
    </row>
    <row r="157" spans="1:13">
      <c r="A157" s="1"/>
      <c r="B157" s="1"/>
      <c r="D157" s="1"/>
      <c r="M157" s="11"/>
    </row>
    <row r="158" spans="1:13">
      <c r="A158" s="1"/>
      <c r="B158" s="1"/>
      <c r="D158" s="1"/>
      <c r="M158" s="11"/>
    </row>
    <row r="159" spans="1:13">
      <c r="A159" s="1"/>
      <c r="B159" s="1"/>
      <c r="D159" s="1"/>
      <c r="M159" s="11"/>
    </row>
    <row r="160" spans="1:13">
      <c r="A160" s="1"/>
      <c r="B160" s="1"/>
      <c r="D160" s="1"/>
      <c r="M160" s="11"/>
    </row>
    <row r="161" spans="1:13">
      <c r="A161" s="1"/>
      <c r="B161" s="1"/>
      <c r="D161" s="1"/>
      <c r="M161" s="11"/>
    </row>
    <row r="162" spans="1:13">
      <c r="A162" s="1"/>
      <c r="B162" s="1"/>
      <c r="D162" s="1"/>
      <c r="M162" s="11"/>
    </row>
    <row r="163" spans="1:13">
      <c r="A163" s="1"/>
      <c r="B163" s="1"/>
      <c r="D163" s="1"/>
      <c r="M163" s="11"/>
    </row>
    <row r="164" spans="1:13">
      <c r="A164" s="1"/>
      <c r="B164" s="1"/>
      <c r="D164" s="1"/>
      <c r="M164" s="11"/>
    </row>
    <row r="165" spans="1:13">
      <c r="A165" s="1"/>
      <c r="B165" s="1"/>
      <c r="D165" s="1"/>
      <c r="M165" s="11"/>
    </row>
    <row r="166" spans="1:13">
      <c r="A166" s="1"/>
      <c r="B166" s="1"/>
      <c r="D166" s="1"/>
      <c r="M166" s="11"/>
    </row>
    <row r="167" spans="1:13">
      <c r="A167" s="1"/>
      <c r="B167" s="1"/>
      <c r="D167" s="1"/>
      <c r="M167" s="11"/>
    </row>
    <row r="168" spans="1:13">
      <c r="A168" s="1"/>
      <c r="B168" s="1"/>
      <c r="D168" s="1"/>
      <c r="M168" s="11"/>
    </row>
    <row r="169" spans="1:13">
      <c r="A169" s="1"/>
      <c r="B169" s="1"/>
      <c r="D169" s="1"/>
    </row>
    <row r="170" spans="1:13">
      <c r="A170" s="1"/>
      <c r="B170" s="1"/>
      <c r="D170" s="1"/>
    </row>
    <row r="171" spans="1:13">
      <c r="A171" s="1"/>
      <c r="B171" s="1"/>
      <c r="D171" s="1"/>
    </row>
    <row r="172" spans="1:13">
      <c r="A172" s="1"/>
      <c r="B172" s="1"/>
      <c r="D172" s="1"/>
    </row>
    <row r="173" spans="1:13">
      <c r="A173" s="1"/>
      <c r="B173" s="1"/>
      <c r="D173" s="1"/>
    </row>
    <row r="174" spans="1:13">
      <c r="A174" s="1"/>
      <c r="B174" s="1"/>
      <c r="D174" s="1"/>
    </row>
    <row r="175" spans="1:13">
      <c r="A175" s="1"/>
      <c r="B175" s="1"/>
      <c r="D175" s="1"/>
    </row>
    <row r="176" spans="1:13">
      <c r="A176" s="1"/>
      <c r="B176" s="1"/>
      <c r="D176" s="1"/>
    </row>
    <row r="177" spans="1:4">
      <c r="A177" s="1"/>
      <c r="B177" s="1"/>
      <c r="D177" s="1"/>
    </row>
    <row r="178" spans="1:4">
      <c r="A178" s="1"/>
      <c r="B178" s="1"/>
      <c r="D178" s="1"/>
    </row>
    <row r="179" spans="1:4">
      <c r="A179" s="1"/>
      <c r="B179" s="1"/>
      <c r="D179" s="1"/>
    </row>
    <row r="180" spans="1:4">
      <c r="A180" s="1"/>
      <c r="B180" s="1"/>
      <c r="D180" s="1"/>
    </row>
    <row r="181" spans="1:4">
      <c r="A181" s="1"/>
      <c r="B181" s="1"/>
      <c r="D181" s="1"/>
    </row>
    <row r="182" spans="1:4">
      <c r="A182" s="1"/>
      <c r="B182" s="1"/>
      <c r="D182" s="1"/>
    </row>
    <row r="183" spans="1:4">
      <c r="A183" s="1"/>
      <c r="B183" s="1"/>
      <c r="D183" s="1"/>
    </row>
    <row r="184" spans="1:4">
      <c r="A184" s="1"/>
      <c r="B184" s="1"/>
      <c r="D184" s="1"/>
    </row>
    <row r="185" spans="1:4">
      <c r="A185" s="1"/>
      <c r="B185" s="1"/>
      <c r="D185" s="1"/>
    </row>
    <row r="186" spans="1:4">
      <c r="A186" s="1"/>
      <c r="B186" s="1"/>
      <c r="D186" s="1"/>
    </row>
    <row r="187" spans="1:4">
      <c r="A187" s="1"/>
      <c r="B187" s="1"/>
      <c r="D187" s="1"/>
    </row>
    <row r="188" spans="1:4">
      <c r="A188" s="1"/>
      <c r="B188" s="1"/>
      <c r="D188" s="1"/>
    </row>
    <row r="189" spans="1:4">
      <c r="A189" s="1"/>
      <c r="B189" s="1"/>
      <c r="D189" s="1"/>
    </row>
    <row r="190" spans="1:4">
      <c r="D190" s="1"/>
    </row>
    <row r="191" spans="1:4">
      <c r="D191" s="1"/>
    </row>
    <row r="192" spans="1: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22"/>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sheetData>
  <sortState xmlns:xlrd2="http://schemas.microsoft.com/office/spreadsheetml/2017/richdata2" ref="D125:E217">
    <sortCondition descending="1" ref="E125"/>
  </sortState>
  <phoneticPr fontId="45"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5521F-1B50-49FD-A283-5610C23F6F54}">
  <dimension ref="A1:AH65"/>
  <sheetViews>
    <sheetView zoomScale="130" zoomScaleNormal="130" workbookViewId="0">
      <pane xSplit="1" ySplit="2" topLeftCell="B122" activePane="bottomRight" state="frozen"/>
      <selection pane="topRight"/>
      <selection pane="bottomLeft"/>
      <selection pane="bottomRight" activeCell="E2" sqref="E2"/>
    </sheetView>
  </sheetViews>
  <sheetFormatPr defaultColWidth="8.83203125" defaultRowHeight="14"/>
  <cols>
    <col min="1" max="1" width="12.5" customWidth="1"/>
    <col min="2" max="2" width="12.58203125" bestFit="1" customWidth="1"/>
    <col min="3" max="3" width="10.33203125" customWidth="1"/>
    <col min="4" max="6" width="8.58203125" customWidth="1"/>
    <col min="11" max="11" width="11.83203125" bestFit="1" customWidth="1"/>
    <col min="12" max="12" width="10.08203125" customWidth="1"/>
    <col min="13" max="13" width="14.5" customWidth="1"/>
    <col min="14" max="14" width="11.33203125" customWidth="1"/>
    <col min="15" max="15" width="11.83203125" customWidth="1"/>
    <col min="16" max="16" width="9.08203125" customWidth="1"/>
    <col min="17" max="17" width="9.5" bestFit="1" customWidth="1"/>
    <col min="21" max="21" width="10.58203125" bestFit="1" customWidth="1"/>
    <col min="25" max="25" width="9.5" bestFit="1" customWidth="1"/>
    <col min="26" max="26" width="12.08203125" customWidth="1"/>
    <col min="27" max="27" width="10.83203125" customWidth="1"/>
    <col min="28" max="28" width="9.5" bestFit="1" customWidth="1"/>
    <col min="29" max="29" width="9.83203125" bestFit="1" customWidth="1"/>
    <col min="30" max="30" width="10.33203125" bestFit="1" customWidth="1"/>
    <col min="31" max="31" width="10.5" bestFit="1" customWidth="1"/>
    <col min="32" max="32" width="9.5" bestFit="1" customWidth="1"/>
  </cols>
  <sheetData>
    <row r="1" spans="1:34" ht="15.5">
      <c r="A1" s="299" t="s">
        <v>1167</v>
      </c>
      <c r="B1" s="537" t="s">
        <v>1179</v>
      </c>
      <c r="C1" s="538"/>
      <c r="D1" s="538"/>
      <c r="E1" s="538"/>
      <c r="F1" s="538"/>
      <c r="G1" s="538"/>
      <c r="H1" s="538"/>
      <c r="I1" s="538"/>
      <c r="J1" s="538"/>
      <c r="K1" s="539" t="s">
        <v>1180</v>
      </c>
      <c r="L1" s="539"/>
      <c r="M1" s="539"/>
      <c r="N1" s="539"/>
      <c r="O1" s="539"/>
      <c r="P1" s="539"/>
      <c r="Q1" s="539"/>
      <c r="R1" s="539"/>
      <c r="S1" s="539"/>
      <c r="T1" s="542" t="s">
        <v>1181</v>
      </c>
      <c r="U1" s="542"/>
      <c r="V1" s="542"/>
      <c r="W1" s="542"/>
      <c r="X1" s="542"/>
      <c r="Y1" s="281" t="s">
        <v>1182</v>
      </c>
      <c r="Z1" s="540" t="s">
        <v>1183</v>
      </c>
      <c r="AA1" s="540"/>
      <c r="AB1" s="540"/>
      <c r="AC1" s="540"/>
      <c r="AD1" s="541" t="s">
        <v>1184</v>
      </c>
      <c r="AE1" s="541"/>
      <c r="AF1" s="541"/>
      <c r="AG1" s="541"/>
      <c r="AH1" s="541"/>
    </row>
    <row r="2" spans="1:34" s="343" customFormat="1" ht="56.25" customHeight="1">
      <c r="A2" s="343" t="s">
        <v>1021</v>
      </c>
      <c r="B2" s="343" t="s">
        <v>199</v>
      </c>
      <c r="C2" s="344" t="s">
        <v>1185</v>
      </c>
      <c r="D2" s="344" t="s">
        <v>1186</v>
      </c>
      <c r="E2" s="344" t="s">
        <v>1046</v>
      </c>
      <c r="F2" s="344" t="s">
        <v>1187</v>
      </c>
      <c r="G2" s="343" t="s">
        <v>1188</v>
      </c>
      <c r="H2" s="344" t="s">
        <v>1189</v>
      </c>
      <c r="I2" s="344" t="s">
        <v>1190</v>
      </c>
      <c r="J2" s="343" t="s">
        <v>1051</v>
      </c>
      <c r="K2" s="343" t="s">
        <v>78</v>
      </c>
      <c r="L2" s="343" t="s">
        <v>1191</v>
      </c>
      <c r="M2" s="343" t="s">
        <v>1192</v>
      </c>
      <c r="N2" s="343" t="s">
        <v>1193</v>
      </c>
      <c r="O2" s="343" t="s">
        <v>1194</v>
      </c>
      <c r="P2" s="343" t="s">
        <v>1195</v>
      </c>
      <c r="Q2" s="343" t="s">
        <v>1196</v>
      </c>
      <c r="R2" s="343" t="s">
        <v>1197</v>
      </c>
      <c r="S2" s="343" t="s">
        <v>1032</v>
      </c>
      <c r="T2" s="343" t="s">
        <v>1198</v>
      </c>
      <c r="U2" s="343" t="s">
        <v>1199</v>
      </c>
      <c r="V2" s="343" t="s">
        <v>1200</v>
      </c>
      <c r="W2" s="343" t="s">
        <v>1201</v>
      </c>
      <c r="X2" s="343" t="s">
        <v>1202</v>
      </c>
      <c r="Y2" s="343" t="s">
        <v>1203</v>
      </c>
      <c r="Z2" s="343" t="s">
        <v>1204</v>
      </c>
      <c r="AA2" s="343" t="s">
        <v>1205</v>
      </c>
      <c r="AB2" s="343" t="s">
        <v>1206</v>
      </c>
      <c r="AC2" s="343" t="s">
        <v>1207</v>
      </c>
      <c r="AD2" s="343" t="s">
        <v>1208</v>
      </c>
      <c r="AE2" s="343" t="s">
        <v>1209</v>
      </c>
      <c r="AF2" s="343" t="s">
        <v>1210</v>
      </c>
      <c r="AG2" s="343" t="s">
        <v>1211</v>
      </c>
      <c r="AH2" s="343" t="s">
        <v>1212</v>
      </c>
    </row>
    <row r="3" spans="1:34" s="13" customFormat="1" ht="15.5">
      <c r="A3" s="282">
        <v>34334</v>
      </c>
      <c r="B3" s="283">
        <v>634400</v>
      </c>
      <c r="C3" s="283"/>
      <c r="D3" s="283"/>
      <c r="E3" s="283"/>
      <c r="F3" s="283"/>
      <c r="G3" s="282"/>
      <c r="H3" s="284"/>
      <c r="I3" s="284"/>
      <c r="J3" s="282"/>
      <c r="K3" s="283">
        <v>-7983</v>
      </c>
      <c r="L3" s="283">
        <v>40950</v>
      </c>
      <c r="M3" s="282"/>
      <c r="N3" s="282"/>
      <c r="O3" s="283">
        <v>6900</v>
      </c>
      <c r="P3" s="282"/>
      <c r="Q3" s="282"/>
      <c r="R3" s="285">
        <v>1.5681202266568119</v>
      </c>
      <c r="S3" s="282"/>
      <c r="T3" s="286">
        <v>0.98320714976945411</v>
      </c>
      <c r="U3" s="282"/>
      <c r="V3" s="282"/>
      <c r="W3" s="282"/>
      <c r="X3" s="282"/>
      <c r="Y3" s="287">
        <f t="shared" ref="Y3:Y28" si="0">-AC3/K3</f>
        <v>-15.11962921207566</v>
      </c>
      <c r="Z3" s="288">
        <v>-266800</v>
      </c>
      <c r="AA3" s="282"/>
      <c r="AB3" s="282"/>
      <c r="AC3" s="288">
        <v>-120700</v>
      </c>
      <c r="AD3" s="282"/>
      <c r="AE3" s="282"/>
      <c r="AF3" s="282"/>
      <c r="AG3" s="282"/>
      <c r="AH3" s="282"/>
    </row>
    <row r="4" spans="1:34" s="13" customFormat="1" ht="15.5">
      <c r="A4" s="282">
        <v>34699</v>
      </c>
      <c r="B4" s="283">
        <v>720500</v>
      </c>
      <c r="C4" s="283"/>
      <c r="D4" s="283"/>
      <c r="E4" s="283"/>
      <c r="F4" s="283"/>
      <c r="G4" s="282"/>
      <c r="H4" s="284"/>
      <c r="I4" s="284"/>
      <c r="J4" s="282"/>
      <c r="K4" s="283">
        <v>137500</v>
      </c>
      <c r="L4" s="283">
        <v>45212</v>
      </c>
      <c r="M4" s="282"/>
      <c r="N4" s="282"/>
      <c r="O4" s="283">
        <v>54300</v>
      </c>
      <c r="P4" s="282"/>
      <c r="Q4" s="282"/>
      <c r="R4" s="285">
        <v>1.6966434452184926</v>
      </c>
      <c r="S4" s="282"/>
      <c r="T4" s="286">
        <v>0.97483751976111011</v>
      </c>
      <c r="U4" s="282"/>
      <c r="V4" s="282"/>
      <c r="W4" s="282"/>
      <c r="X4" s="282"/>
      <c r="Y4" s="287">
        <f t="shared" si="0"/>
        <v>1.2923636363636364</v>
      </c>
      <c r="Z4" s="288">
        <v>-222700</v>
      </c>
      <c r="AA4" s="282"/>
      <c r="AB4" s="282"/>
      <c r="AC4" s="288">
        <v>-177700</v>
      </c>
      <c r="AD4" s="282"/>
      <c r="AE4" s="282"/>
      <c r="AF4" s="282"/>
      <c r="AG4" s="282"/>
      <c r="AH4" s="282"/>
    </row>
    <row r="5" spans="1:34" s="13" customFormat="1" ht="15.5">
      <c r="A5" s="282">
        <v>35064</v>
      </c>
      <c r="B5" s="283">
        <v>846000</v>
      </c>
      <c r="C5" s="283"/>
      <c r="D5" s="283"/>
      <c r="E5" s="283"/>
      <c r="F5" s="283"/>
      <c r="G5" s="282"/>
      <c r="H5" s="284"/>
      <c r="I5" s="284"/>
      <c r="J5" s="282"/>
      <c r="K5" s="283">
        <v>202600</v>
      </c>
      <c r="L5" s="283">
        <v>58360</v>
      </c>
      <c r="M5" s="287">
        <f t="shared" ref="M5:M28" si="1">K5/L5</f>
        <v>3.4715558601782042</v>
      </c>
      <c r="N5" s="282"/>
      <c r="O5" s="283">
        <v>101300</v>
      </c>
      <c r="P5" s="282"/>
      <c r="Q5" s="282"/>
      <c r="R5" s="285">
        <v>1.7007181328545782</v>
      </c>
      <c r="S5" s="282"/>
      <c r="T5" s="286">
        <v>0.90889532154592401</v>
      </c>
      <c r="U5" s="282"/>
      <c r="V5" s="282"/>
      <c r="W5" s="282"/>
      <c r="X5" s="282"/>
      <c r="Y5" s="287">
        <f t="shared" si="0"/>
        <v>1.2956564659427443</v>
      </c>
      <c r="Z5" s="288">
        <v>-199700</v>
      </c>
      <c r="AA5" s="282"/>
      <c r="AB5" s="282"/>
      <c r="AC5" s="288">
        <v>-262500</v>
      </c>
      <c r="AD5" s="282"/>
      <c r="AE5" s="282"/>
      <c r="AF5" s="282"/>
      <c r="AG5" s="282"/>
      <c r="AH5" s="282"/>
    </row>
    <row r="6" spans="1:34" s="13" customFormat="1" ht="15.5">
      <c r="A6" s="282">
        <v>35430</v>
      </c>
      <c r="B6" s="283">
        <v>1148800</v>
      </c>
      <c r="C6" s="283"/>
      <c r="D6" s="283"/>
      <c r="E6" s="283"/>
      <c r="F6" s="283"/>
      <c r="G6" s="283"/>
      <c r="H6" s="284"/>
      <c r="I6" s="284"/>
      <c r="J6" s="282"/>
      <c r="K6" s="283">
        <v>278200</v>
      </c>
      <c r="L6" s="283">
        <v>96876</v>
      </c>
      <c r="M6" s="287">
        <f>K6/L6</f>
        <v>2.8717122920021469</v>
      </c>
      <c r="N6" s="282"/>
      <c r="O6" s="283">
        <v>134600</v>
      </c>
      <c r="P6" s="282"/>
      <c r="Q6" s="282"/>
      <c r="R6" s="285">
        <v>1.7065891984682424</v>
      </c>
      <c r="S6" s="282"/>
      <c r="T6" s="286">
        <v>0.7786767075425296</v>
      </c>
      <c r="U6" s="282"/>
      <c r="V6" s="282"/>
      <c r="W6" s="282"/>
      <c r="X6" s="282"/>
      <c r="Y6" s="287">
        <f t="shared" si="0"/>
        <v>0.81919482386772102</v>
      </c>
      <c r="Z6" s="288">
        <v>-1243800</v>
      </c>
      <c r="AA6" s="282"/>
      <c r="AB6" s="282"/>
      <c r="AC6" s="288">
        <v>-227900</v>
      </c>
      <c r="AD6" s="282"/>
      <c r="AE6" s="282"/>
      <c r="AF6" s="282"/>
      <c r="AG6" s="282"/>
      <c r="AH6" s="282"/>
    </row>
    <row r="7" spans="1:34" s="13" customFormat="1" ht="15.5">
      <c r="A7" s="282">
        <v>35795</v>
      </c>
      <c r="B7" s="283">
        <v>1617600</v>
      </c>
      <c r="C7" s="283"/>
      <c r="D7" s="283"/>
      <c r="E7" s="283"/>
      <c r="F7" s="283"/>
      <c r="G7" s="282"/>
      <c r="H7" s="284"/>
      <c r="I7" s="284"/>
      <c r="J7" s="282"/>
      <c r="K7" s="283">
        <v>406300</v>
      </c>
      <c r="L7" s="283">
        <v>109639</v>
      </c>
      <c r="M7" s="287">
        <f t="shared" si="1"/>
        <v>3.7057981192823721</v>
      </c>
      <c r="N7" s="282"/>
      <c r="O7" s="283">
        <v>197800</v>
      </c>
      <c r="P7" s="289"/>
      <c r="Q7" s="282"/>
      <c r="R7" s="290">
        <v>1.7012297372833987</v>
      </c>
      <c r="S7" s="286"/>
      <c r="T7" s="286">
        <v>0.79682096389001267</v>
      </c>
      <c r="U7" s="282"/>
      <c r="V7" s="282"/>
      <c r="W7" s="282"/>
      <c r="X7" s="291"/>
      <c r="Y7" s="287">
        <f t="shared" si="0"/>
        <v>1.0075018459266551</v>
      </c>
      <c r="Z7" s="288">
        <v>-2102032</v>
      </c>
      <c r="AA7" s="282"/>
      <c r="AB7" s="282"/>
      <c r="AC7" s="288">
        <v>-409348</v>
      </c>
      <c r="AD7" s="282"/>
      <c r="AE7" s="282"/>
      <c r="AF7" s="282"/>
      <c r="AG7" s="282"/>
      <c r="AH7" s="282"/>
    </row>
    <row r="8" spans="1:34" s="13" customFormat="1" ht="15.5">
      <c r="A8" s="282">
        <v>36160</v>
      </c>
      <c r="B8" s="283">
        <v>642212</v>
      </c>
      <c r="C8" s="283"/>
      <c r="D8" s="283"/>
      <c r="E8" s="283"/>
      <c r="F8" s="283"/>
      <c r="G8" s="282"/>
      <c r="H8" s="284"/>
      <c r="I8" s="284"/>
      <c r="J8" s="282"/>
      <c r="K8" s="283">
        <v>501142</v>
      </c>
      <c r="L8" s="283">
        <v>166778</v>
      </c>
      <c r="M8" s="287">
        <f t="shared" si="1"/>
        <v>3.0048447636978497</v>
      </c>
      <c r="N8" s="282"/>
      <c r="O8" s="283">
        <v>222330</v>
      </c>
      <c r="P8" s="289"/>
      <c r="Q8" s="282"/>
      <c r="R8" s="290">
        <v>0.65527238628901385</v>
      </c>
      <c r="S8" s="286"/>
      <c r="T8" s="286">
        <v>0.74322444829404233</v>
      </c>
      <c r="U8" s="282"/>
      <c r="V8" s="282"/>
      <c r="W8" s="282"/>
      <c r="X8" s="291"/>
      <c r="Y8" s="287">
        <f t="shared" si="0"/>
        <v>1.029287108244769</v>
      </c>
      <c r="Z8" s="288">
        <v>-612876</v>
      </c>
      <c r="AA8" s="282"/>
      <c r="AB8" s="282"/>
      <c r="AC8" s="288">
        <v>-515819</v>
      </c>
      <c r="AD8" s="282"/>
      <c r="AE8" s="282"/>
      <c r="AF8" s="282"/>
      <c r="AG8" s="282"/>
      <c r="AH8" s="282"/>
    </row>
    <row r="9" spans="1:34" s="13" customFormat="1" ht="15.5">
      <c r="A9" s="282">
        <v>36525</v>
      </c>
      <c r="B9" s="283">
        <v>854245</v>
      </c>
      <c r="C9" s="283"/>
      <c r="D9" s="283"/>
      <c r="E9" s="283"/>
      <c r="F9" s="283"/>
      <c r="G9" s="282"/>
      <c r="H9" s="284"/>
      <c r="I9" s="284"/>
      <c r="J9" s="282"/>
      <c r="K9" s="283">
        <v>710104</v>
      </c>
      <c r="L9" s="283">
        <v>171384</v>
      </c>
      <c r="M9" s="287">
        <f t="shared" si="1"/>
        <v>4.1433506044905011</v>
      </c>
      <c r="N9" s="282"/>
      <c r="O9" s="283">
        <v>316100</v>
      </c>
      <c r="P9" s="289"/>
      <c r="Q9" s="282"/>
      <c r="R9" s="290">
        <v>0.65950600807416693</v>
      </c>
      <c r="S9" s="286"/>
      <c r="T9" s="286">
        <v>0.64373420323339758</v>
      </c>
      <c r="U9" s="292"/>
      <c r="V9" s="282"/>
      <c r="W9" s="282"/>
      <c r="X9" s="291"/>
      <c r="Y9" s="287">
        <f t="shared" si="0"/>
        <v>0.70680069398285317</v>
      </c>
      <c r="Z9" s="288">
        <v>-75941</v>
      </c>
      <c r="AA9" s="282"/>
      <c r="AB9" s="282"/>
      <c r="AC9" s="288">
        <v>-501902</v>
      </c>
      <c r="AD9" s="282"/>
      <c r="AE9" s="282"/>
      <c r="AF9" s="282"/>
      <c r="AG9" s="282"/>
      <c r="AH9" s="282"/>
    </row>
    <row r="10" spans="1:34" s="13" customFormat="1" ht="15.5">
      <c r="A10" s="282">
        <v>36891</v>
      </c>
      <c r="B10" s="283">
        <v>900568</v>
      </c>
      <c r="C10" s="283"/>
      <c r="D10" s="283"/>
      <c r="E10" s="283"/>
      <c r="F10" s="283"/>
      <c r="G10" s="282"/>
      <c r="H10" s="284"/>
      <c r="I10" s="284"/>
      <c r="J10" s="282"/>
      <c r="K10" s="283">
        <v>850613</v>
      </c>
      <c r="L10" s="283">
        <v>170274</v>
      </c>
      <c r="M10" s="287">
        <f t="shared" si="1"/>
        <v>4.9955542243677833</v>
      </c>
      <c r="N10" s="282"/>
      <c r="O10" s="283">
        <v>420141</v>
      </c>
      <c r="P10" s="289"/>
      <c r="Q10" s="282"/>
      <c r="R10" s="290">
        <v>0.65868580542580457</v>
      </c>
      <c r="S10" s="286"/>
      <c r="T10" s="286">
        <v>0.75575043523274055</v>
      </c>
      <c r="U10" s="292"/>
      <c r="V10" s="282"/>
      <c r="W10" s="282"/>
      <c r="X10" s="291"/>
      <c r="Y10" s="287">
        <f t="shared" si="0"/>
        <v>0.66267385991044103</v>
      </c>
      <c r="Z10" s="288">
        <v>-279432</v>
      </c>
      <c r="AA10" s="282"/>
      <c r="AB10" s="282"/>
      <c r="AC10" s="288">
        <v>-563679</v>
      </c>
      <c r="AD10" s="282"/>
      <c r="AE10" s="282"/>
      <c r="AF10" s="282"/>
      <c r="AG10" s="282"/>
      <c r="AH10" s="282"/>
    </row>
    <row r="11" spans="1:34" s="13" customFormat="1" ht="15.5">
      <c r="A11" s="282">
        <v>37256</v>
      </c>
      <c r="B11" s="283">
        <v>833418</v>
      </c>
      <c r="C11" s="283"/>
      <c r="D11" s="283"/>
      <c r="E11" s="283"/>
      <c r="F11" s="283"/>
      <c r="G11" s="282"/>
      <c r="H11" s="284"/>
      <c r="I11" s="284"/>
      <c r="J11" s="282"/>
      <c r="K11" s="283">
        <v>747189</v>
      </c>
      <c r="L11" s="283">
        <v>173802</v>
      </c>
      <c r="M11" s="287">
        <f t="shared" si="1"/>
        <v>4.2990817136741812</v>
      </c>
      <c r="N11" s="282"/>
      <c r="O11" s="283">
        <v>282297</v>
      </c>
      <c r="P11" s="289"/>
      <c r="Q11" s="282"/>
      <c r="R11" s="290">
        <v>0.63368206810211658</v>
      </c>
      <c r="S11" s="286"/>
      <c r="T11" s="286">
        <v>0.69719405335793605</v>
      </c>
      <c r="U11" s="292"/>
      <c r="V11" s="282"/>
      <c r="W11" s="282"/>
      <c r="X11" s="291"/>
      <c r="Y11" s="287">
        <f t="shared" si="0"/>
        <v>0.79748765038029201</v>
      </c>
      <c r="Z11" s="288">
        <v>-785730</v>
      </c>
      <c r="AA11" s="282"/>
      <c r="AB11" s="282"/>
      <c r="AC11" s="288">
        <v>-595874</v>
      </c>
      <c r="AD11" s="282"/>
      <c r="AE11" s="282"/>
      <c r="AF11" s="282"/>
      <c r="AG11" s="282"/>
      <c r="AH11" s="282"/>
    </row>
    <row r="12" spans="1:34" s="13" customFormat="1" ht="15.5">
      <c r="A12" s="282">
        <v>37621</v>
      </c>
      <c r="B12" s="283">
        <v>938738</v>
      </c>
      <c r="C12" s="283"/>
      <c r="D12" s="283"/>
      <c r="E12" s="283"/>
      <c r="F12" s="283"/>
      <c r="G12" s="282"/>
      <c r="H12" s="284"/>
      <c r="I12" s="284"/>
      <c r="J12" s="282"/>
      <c r="K12" s="283">
        <v>1008185</v>
      </c>
      <c r="L12" s="283">
        <v>185543</v>
      </c>
      <c r="M12" s="287">
        <f t="shared" si="1"/>
        <v>5.4337000048506274</v>
      </c>
      <c r="N12" s="282"/>
      <c r="O12" s="283">
        <v>516879</v>
      </c>
      <c r="P12" s="289"/>
      <c r="Q12" s="282"/>
      <c r="R12" s="290">
        <v>0.6542422415205037</v>
      </c>
      <c r="S12" s="286"/>
      <c r="T12" s="286">
        <v>0.69864742881043596</v>
      </c>
      <c r="U12" s="292"/>
      <c r="V12" s="282"/>
      <c r="W12" s="282"/>
      <c r="X12" s="291"/>
      <c r="Y12" s="287">
        <f t="shared" si="0"/>
        <v>0.64974285473400217</v>
      </c>
      <c r="Z12" s="288">
        <v>-761663</v>
      </c>
      <c r="AA12" s="282"/>
      <c r="AB12" s="282"/>
      <c r="AC12" s="288">
        <v>-655061</v>
      </c>
      <c r="AD12" s="282"/>
      <c r="AE12" s="282"/>
      <c r="AF12" s="282"/>
      <c r="AG12" s="282"/>
      <c r="AH12" s="282"/>
    </row>
    <row r="13" spans="1:34" s="13" customFormat="1" ht="15.5">
      <c r="A13" s="282">
        <v>37986</v>
      </c>
      <c r="B13" s="283">
        <v>985366</v>
      </c>
      <c r="C13" s="283"/>
      <c r="D13" s="283"/>
      <c r="E13" s="283"/>
      <c r="F13" s="283"/>
      <c r="G13" s="282"/>
      <c r="H13" s="284"/>
      <c r="I13" s="284"/>
      <c r="J13" s="282"/>
      <c r="K13" s="283">
        <v>939272</v>
      </c>
      <c r="L13" s="283">
        <v>204080</v>
      </c>
      <c r="M13" s="287">
        <f t="shared" si="1"/>
        <v>4.6024696197569579</v>
      </c>
      <c r="N13" s="282"/>
      <c r="O13" s="283">
        <v>420712</v>
      </c>
      <c r="P13" s="289"/>
      <c r="Q13" s="282"/>
      <c r="R13" s="290">
        <v>0.65002228078281399</v>
      </c>
      <c r="S13" s="286"/>
      <c r="T13" s="286">
        <v>0.71590843088633838</v>
      </c>
      <c r="U13" s="292"/>
      <c r="V13" s="282"/>
      <c r="W13" s="282"/>
      <c r="X13" s="291"/>
      <c r="Y13" s="287">
        <f t="shared" si="0"/>
        <v>0.77131863826452829</v>
      </c>
      <c r="Z13" s="288">
        <v>-2745697</v>
      </c>
      <c r="AA13" s="282"/>
      <c r="AB13" s="288"/>
      <c r="AC13" s="288">
        <v>-724478</v>
      </c>
      <c r="AD13" s="282"/>
      <c r="AE13" s="282"/>
      <c r="AF13" s="282"/>
      <c r="AG13" s="282"/>
      <c r="AH13" s="282"/>
    </row>
    <row r="14" spans="1:34" s="13" customFormat="1" ht="15.5">
      <c r="A14" s="282">
        <v>38352</v>
      </c>
      <c r="B14" s="283">
        <v>1053599</v>
      </c>
      <c r="C14" s="283"/>
      <c r="D14" s="283"/>
      <c r="E14" s="283"/>
      <c r="F14" s="283"/>
      <c r="G14" s="282"/>
      <c r="H14" s="284"/>
      <c r="I14" s="284"/>
      <c r="J14" s="282"/>
      <c r="K14" s="283">
        <v>1061137</v>
      </c>
      <c r="L14" s="283">
        <v>222710</v>
      </c>
      <c r="M14" s="287">
        <f t="shared" si="1"/>
        <v>4.764658075524224</v>
      </c>
      <c r="N14" s="282"/>
      <c r="O14" s="283">
        <v>450047</v>
      </c>
      <c r="P14" s="289"/>
      <c r="Q14" s="282"/>
      <c r="R14" s="290">
        <v>0.63449583249897512</v>
      </c>
      <c r="S14" s="286"/>
      <c r="T14" s="286">
        <v>0.72720231912804423</v>
      </c>
      <c r="U14" s="292"/>
      <c r="V14" s="282"/>
      <c r="W14" s="282"/>
      <c r="X14" s="291"/>
      <c r="Y14" s="287">
        <f t="shared" si="0"/>
        <v>0.18347960725146706</v>
      </c>
      <c r="Z14" s="288">
        <v>-52434</v>
      </c>
      <c r="AA14" s="282"/>
      <c r="AB14" s="288">
        <v>99725</v>
      </c>
      <c r="AC14" s="288">
        <v>-194697</v>
      </c>
      <c r="AD14" s="282"/>
      <c r="AE14" s="282"/>
      <c r="AF14" s="282"/>
      <c r="AG14" s="282"/>
      <c r="AH14" s="282"/>
    </row>
    <row r="15" spans="1:34" s="13" customFormat="1" ht="15.5">
      <c r="A15" s="282">
        <v>38717</v>
      </c>
      <c r="B15" s="283">
        <v>1205423</v>
      </c>
      <c r="C15" s="283"/>
      <c r="D15" s="283"/>
      <c r="E15" s="283"/>
      <c r="F15" s="283"/>
      <c r="G15" s="282"/>
      <c r="H15" s="284"/>
      <c r="I15" s="284"/>
      <c r="J15" s="282"/>
      <c r="K15" s="283">
        <v>1266727</v>
      </c>
      <c r="L15" s="283">
        <v>225165</v>
      </c>
      <c r="M15" s="287">
        <f t="shared" si="1"/>
        <v>5.6257722114893527</v>
      </c>
      <c r="N15" s="282"/>
      <c r="O15" s="283">
        <v>460089</v>
      </c>
      <c r="P15" s="289"/>
      <c r="Q15" s="282"/>
      <c r="R15" s="290">
        <v>0.64901465271675063</v>
      </c>
      <c r="S15" s="286"/>
      <c r="T15" s="286">
        <v>0.75520082093455032</v>
      </c>
      <c r="U15" s="292"/>
      <c r="V15" s="282"/>
      <c r="W15" s="282"/>
      <c r="X15" s="291"/>
      <c r="Y15" s="287">
        <f t="shared" si="0"/>
        <v>0.16155967307872968</v>
      </c>
      <c r="Z15" s="288">
        <v>-601851</v>
      </c>
      <c r="AA15" s="282"/>
      <c r="AB15" s="288">
        <v>3430</v>
      </c>
      <c r="AC15" s="288">
        <v>-204652</v>
      </c>
      <c r="AD15" s="282"/>
      <c r="AE15" s="282"/>
      <c r="AF15" s="282"/>
      <c r="AG15" s="282"/>
      <c r="AH15" s="282"/>
    </row>
    <row r="16" spans="1:34" s="13" customFormat="1" ht="15.5">
      <c r="A16" s="282">
        <v>39082</v>
      </c>
      <c r="B16" s="283">
        <v>1320229</v>
      </c>
      <c r="C16" s="283"/>
      <c r="D16" s="283"/>
      <c r="E16" s="283"/>
      <c r="F16" s="283"/>
      <c r="G16" s="282"/>
      <c r="H16" s="284"/>
      <c r="I16" s="284"/>
      <c r="J16" s="282"/>
      <c r="K16" s="283">
        <v>1376161</v>
      </c>
      <c r="L16" s="283">
        <v>221430</v>
      </c>
      <c r="M16" s="287">
        <f t="shared" si="1"/>
        <v>6.2148805491577477</v>
      </c>
      <c r="N16" s="287">
        <v>5.39</v>
      </c>
      <c r="O16" s="283">
        <v>563443</v>
      </c>
      <c r="P16" s="289"/>
      <c r="Q16" s="282"/>
      <c r="R16" s="290">
        <v>0.65316038814532584</v>
      </c>
      <c r="S16" s="286">
        <v>0.12186978297161936</v>
      </c>
      <c r="T16" s="286">
        <v>0.76567508684275887</v>
      </c>
      <c r="U16" s="292"/>
      <c r="V16" s="282"/>
      <c r="W16" s="282"/>
      <c r="X16" s="291"/>
      <c r="Y16" s="287">
        <f t="shared" si="0"/>
        <v>0.15725122278570602</v>
      </c>
      <c r="Z16" s="288">
        <v>-2036921</v>
      </c>
      <c r="AA16" s="282"/>
      <c r="AB16" s="288">
        <v>11321</v>
      </c>
      <c r="AC16" s="288">
        <v>-216403</v>
      </c>
      <c r="AD16" s="282"/>
      <c r="AE16" s="282"/>
      <c r="AF16" s="282"/>
      <c r="AG16" s="282"/>
      <c r="AH16" s="282"/>
    </row>
    <row r="17" spans="1:34" s="13" customFormat="1" ht="15.5">
      <c r="A17" s="282">
        <v>39447</v>
      </c>
      <c r="B17" s="283">
        <v>1590126</v>
      </c>
      <c r="C17" s="283"/>
      <c r="D17" s="283"/>
      <c r="E17" s="283"/>
      <c r="F17" s="283"/>
      <c r="G17" s="282"/>
      <c r="H17" s="284"/>
      <c r="I17" s="284"/>
      <c r="J17" s="282"/>
      <c r="K17" s="283">
        <v>1394588</v>
      </c>
      <c r="L17" s="283">
        <v>223032</v>
      </c>
      <c r="M17" s="287">
        <f t="shared" si="1"/>
        <v>6.2528605760608347</v>
      </c>
      <c r="N17" s="287">
        <v>5.9</v>
      </c>
      <c r="O17" s="283">
        <v>519304</v>
      </c>
      <c r="P17" s="289"/>
      <c r="Q17" s="282"/>
      <c r="R17" s="290">
        <v>0.68362076356435952</v>
      </c>
      <c r="S17" s="286">
        <v>0.12202753441802253</v>
      </c>
      <c r="T17" s="286">
        <v>0.80502550616881663</v>
      </c>
      <c r="U17" s="292"/>
      <c r="V17" s="282"/>
      <c r="W17" s="282"/>
      <c r="X17" s="291"/>
      <c r="Y17" s="287">
        <f t="shared" si="0"/>
        <v>0.77147874497701108</v>
      </c>
      <c r="Z17" s="288">
        <v>-1020872</v>
      </c>
      <c r="AA17" s="282"/>
      <c r="AB17" s="288">
        <v>217237</v>
      </c>
      <c r="AC17" s="288">
        <v>-1075895</v>
      </c>
      <c r="AD17" s="282"/>
      <c r="AE17" s="282"/>
      <c r="AF17" s="282"/>
      <c r="AG17" s="282"/>
      <c r="AH17" s="282"/>
    </row>
    <row r="18" spans="1:34" s="13" customFormat="1" ht="15.5">
      <c r="A18" s="282">
        <v>39813</v>
      </c>
      <c r="B18" s="283">
        <v>1560877</v>
      </c>
      <c r="C18" s="283"/>
      <c r="D18" s="283"/>
      <c r="E18" s="283"/>
      <c r="F18" s="283"/>
      <c r="G18" s="282"/>
      <c r="H18" s="286"/>
      <c r="I18" s="286"/>
      <c r="J18" s="282"/>
      <c r="K18" s="283">
        <v>1420483</v>
      </c>
      <c r="L18" s="283">
        <v>225810</v>
      </c>
      <c r="M18" s="287">
        <f t="shared" si="1"/>
        <v>6.2906115761038039</v>
      </c>
      <c r="N18" s="287">
        <v>6.42</v>
      </c>
      <c r="O18" s="283">
        <v>463656</v>
      </c>
      <c r="P18" s="289"/>
      <c r="Q18" s="282"/>
      <c r="R18" s="290">
        <v>0.63012327012771085</v>
      </c>
      <c r="S18" s="286">
        <v>0.13944817300522</v>
      </c>
      <c r="T18" s="286">
        <v>0.87116051788998039</v>
      </c>
      <c r="U18" s="292">
        <v>13.861116254119198</v>
      </c>
      <c r="V18" s="30">
        <v>1.4933135544903604</v>
      </c>
      <c r="W18" s="282"/>
      <c r="X18" s="291">
        <v>5.1200000000000002E-2</v>
      </c>
      <c r="Y18" s="287">
        <f t="shared" si="0"/>
        <v>0.15259316725367358</v>
      </c>
      <c r="Z18" s="288">
        <v>-418991</v>
      </c>
      <c r="AA18" s="288">
        <v>18915936</v>
      </c>
      <c r="AB18" s="288">
        <v>156710</v>
      </c>
      <c r="AC18" s="288">
        <v>-216756</v>
      </c>
      <c r="AD18" s="282"/>
      <c r="AE18" s="282"/>
      <c r="AF18" s="282"/>
      <c r="AG18" s="282"/>
      <c r="AH18" s="282"/>
    </row>
    <row r="19" spans="1:34" s="13" customFormat="1" ht="15.5">
      <c r="A19" s="282">
        <v>40178</v>
      </c>
      <c r="B19" s="283">
        <v>1604045</v>
      </c>
      <c r="C19" s="283"/>
      <c r="D19" s="283"/>
      <c r="E19" s="283"/>
      <c r="F19" s="283"/>
      <c r="G19" s="282"/>
      <c r="H19" s="286"/>
      <c r="I19" s="286"/>
      <c r="J19" s="282"/>
      <c r="K19" s="283">
        <v>1396752</v>
      </c>
      <c r="L19" s="283">
        <v>285752</v>
      </c>
      <c r="M19" s="287">
        <f t="shared" si="1"/>
        <v>4.8879867857442818</v>
      </c>
      <c r="N19" s="287">
        <v>5.5</v>
      </c>
      <c r="O19" s="283">
        <v>387262</v>
      </c>
      <c r="P19" s="289"/>
      <c r="Q19" s="282"/>
      <c r="R19" s="290">
        <v>0.63138029718034672</v>
      </c>
      <c r="S19" s="286">
        <v>5.7883131201764061E-2</v>
      </c>
      <c r="T19" s="286">
        <v>0.80025786694186041</v>
      </c>
      <c r="U19" s="292">
        <v>14.487132289769407</v>
      </c>
      <c r="V19" s="30">
        <v>1.385097750651419</v>
      </c>
      <c r="W19" s="282"/>
      <c r="X19" s="291">
        <v>5.62E-2</v>
      </c>
      <c r="Y19" s="287">
        <f t="shared" si="0"/>
        <v>0.65827219148424343</v>
      </c>
      <c r="Z19" s="288">
        <v>-1246695</v>
      </c>
      <c r="AA19" s="288">
        <v>-2638723</v>
      </c>
      <c r="AB19" s="288">
        <v>11106</v>
      </c>
      <c r="AC19" s="288">
        <v>-919443</v>
      </c>
      <c r="AD19" s="282"/>
      <c r="AE19" s="282"/>
      <c r="AF19" s="282"/>
      <c r="AG19" s="282"/>
      <c r="AH19" s="282"/>
    </row>
    <row r="20" spans="1:34" s="13" customFormat="1" ht="15.5">
      <c r="A20" s="282">
        <v>40543</v>
      </c>
      <c r="B20" s="283">
        <v>1812284</v>
      </c>
      <c r="C20" s="283"/>
      <c r="D20" s="283"/>
      <c r="E20" s="283"/>
      <c r="F20" s="283"/>
      <c r="G20" s="282"/>
      <c r="H20" s="286"/>
      <c r="I20" s="286"/>
      <c r="J20" s="282"/>
      <c r="K20" s="283">
        <v>1769541</v>
      </c>
      <c r="L20" s="283">
        <v>296965</v>
      </c>
      <c r="M20" s="287">
        <f t="shared" si="1"/>
        <v>5.9587527149664101</v>
      </c>
      <c r="N20" s="287">
        <v>5.03</v>
      </c>
      <c r="O20" s="283">
        <v>753514</v>
      </c>
      <c r="P20" s="289">
        <f t="shared" ref="P20:P29" si="2">O20/L15</f>
        <v>3.3464970133013567</v>
      </c>
      <c r="Q20" s="282"/>
      <c r="R20" s="290">
        <v>0.62596301321750647</v>
      </c>
      <c r="S20" s="286">
        <v>0.10920436817472699</v>
      </c>
      <c r="T20" s="286">
        <v>0.77335741359253207</v>
      </c>
      <c r="U20" s="292">
        <v>10.540786000437402</v>
      </c>
      <c r="V20" s="30">
        <v>1.4227590349832684</v>
      </c>
      <c r="W20" s="282">
        <v>9</v>
      </c>
      <c r="X20" s="291">
        <v>5.0999999999999997E-2</v>
      </c>
      <c r="Y20" s="287">
        <f t="shared" si="0"/>
        <v>0.58357449756744828</v>
      </c>
      <c r="Z20" s="288">
        <v>-994042</v>
      </c>
      <c r="AA20" s="288">
        <v>1578422</v>
      </c>
      <c r="AB20" s="288">
        <v>1642228</v>
      </c>
      <c r="AC20" s="288">
        <v>-1032659</v>
      </c>
      <c r="AD20" s="282"/>
      <c r="AE20" s="282"/>
      <c r="AF20" s="282"/>
      <c r="AG20" s="282"/>
      <c r="AH20" s="282"/>
    </row>
    <row r="21" spans="1:34" s="13" customFormat="1" ht="15.5">
      <c r="A21" s="282">
        <v>40908</v>
      </c>
      <c r="B21" s="283">
        <v>1935142</v>
      </c>
      <c r="C21" s="283"/>
      <c r="D21" s="283"/>
      <c r="E21" s="283"/>
      <c r="F21" s="283"/>
      <c r="G21" s="282"/>
      <c r="H21" s="286">
        <v>0.94499999999999995</v>
      </c>
      <c r="I21" s="286"/>
      <c r="J21" s="282"/>
      <c r="K21" s="283">
        <v>2358338</v>
      </c>
      <c r="L21" s="283">
        <v>297734</v>
      </c>
      <c r="M21" s="287">
        <f t="shared" si="1"/>
        <v>7.9209562898426116</v>
      </c>
      <c r="N21" s="287">
        <v>6.89</v>
      </c>
      <c r="O21" s="283">
        <v>1245900</v>
      </c>
      <c r="P21" s="289">
        <f t="shared" si="2"/>
        <v>5.6266088605879965</v>
      </c>
      <c r="Q21" s="282"/>
      <c r="R21" s="290">
        <v>0.77684890879503032</v>
      </c>
      <c r="S21" s="286">
        <v>0.18441971383147854</v>
      </c>
      <c r="T21" s="286">
        <v>0.78852256700585599</v>
      </c>
      <c r="U21" s="292">
        <v>8.6521490982208658</v>
      </c>
      <c r="V21" s="30">
        <v>2.2704117633900882</v>
      </c>
      <c r="W21" s="282">
        <v>6.3</v>
      </c>
      <c r="X21" s="294">
        <v>5.1999999999999998E-2</v>
      </c>
      <c r="Y21" s="287">
        <f t="shared" si="0"/>
        <v>0.62978249937031927</v>
      </c>
      <c r="Z21" s="288">
        <v>-3580671</v>
      </c>
      <c r="AA21" s="288">
        <v>1750407</v>
      </c>
      <c r="AB21" s="288">
        <v>4166</v>
      </c>
      <c r="AC21" s="288">
        <v>-1485240</v>
      </c>
      <c r="AD21" s="282"/>
      <c r="AE21" s="282"/>
      <c r="AF21" s="282"/>
      <c r="AG21" s="282"/>
      <c r="AH21" s="282"/>
    </row>
    <row r="22" spans="1:34" s="13" customFormat="1" ht="15.5">
      <c r="A22" s="282">
        <v>41274</v>
      </c>
      <c r="B22" s="283">
        <v>2214174</v>
      </c>
      <c r="C22" s="283"/>
      <c r="D22" s="283"/>
      <c r="E22" s="283"/>
      <c r="F22" s="283"/>
      <c r="G22" s="282"/>
      <c r="H22" s="286">
        <v>0.94599999999999995</v>
      </c>
      <c r="I22" s="286"/>
      <c r="J22" s="282"/>
      <c r="K22" s="283">
        <v>3002832</v>
      </c>
      <c r="L22" s="283">
        <v>309904</v>
      </c>
      <c r="M22" s="287">
        <f t="shared" si="1"/>
        <v>9.6895554752439459</v>
      </c>
      <c r="N22" s="287">
        <v>7.98</v>
      </c>
      <c r="O22" s="283">
        <v>1701528</v>
      </c>
      <c r="P22" s="289">
        <f t="shared" si="2"/>
        <v>7.6290756483374587</v>
      </c>
      <c r="Q22" s="282"/>
      <c r="R22" s="290">
        <v>0.85323141978703643</v>
      </c>
      <c r="S22" s="286">
        <v>0.21223021582733814</v>
      </c>
      <c r="T22" s="286">
        <v>0.78846864260733385</v>
      </c>
      <c r="U22" s="292">
        <v>8.3960484635837105</v>
      </c>
      <c r="V22" s="30">
        <v>2.5399055034271645</v>
      </c>
      <c r="W22" s="282">
        <v>5.9</v>
      </c>
      <c r="X22" s="294">
        <v>5.0099999999999999E-2</v>
      </c>
      <c r="Y22" s="287">
        <f t="shared" si="0"/>
        <v>0.56298620768661045</v>
      </c>
      <c r="Z22" s="288">
        <v>-948088</v>
      </c>
      <c r="AA22" s="288">
        <v>4421363</v>
      </c>
      <c r="AB22" s="288">
        <v>1213840</v>
      </c>
      <c r="AC22" s="288">
        <v>-1690553</v>
      </c>
      <c r="AD22" s="282"/>
      <c r="AE22" s="282"/>
      <c r="AF22" s="282"/>
      <c r="AG22" s="282"/>
      <c r="AH22" s="282"/>
    </row>
    <row r="23" spans="1:34" s="13" customFormat="1" ht="15.5">
      <c r="A23" s="282">
        <v>41639</v>
      </c>
      <c r="B23" s="283">
        <v>2415689</v>
      </c>
      <c r="C23" s="283"/>
      <c r="D23" s="283"/>
      <c r="E23" s="283"/>
      <c r="F23" s="283"/>
      <c r="G23" s="288"/>
      <c r="H23" s="286">
        <v>0.95299999999999996</v>
      </c>
      <c r="I23" s="286"/>
      <c r="J23" s="288"/>
      <c r="K23" s="283">
        <v>2777024</v>
      </c>
      <c r="L23" s="283">
        <v>310609</v>
      </c>
      <c r="M23" s="287">
        <f t="shared" si="1"/>
        <v>8.9405780257494154</v>
      </c>
      <c r="N23" s="287">
        <v>8.85</v>
      </c>
      <c r="O23" s="283">
        <v>1444074</v>
      </c>
      <c r="P23" s="289">
        <f t="shared" si="2"/>
        <v>6.3950843629600103</v>
      </c>
      <c r="Q23" s="286"/>
      <c r="R23" s="290">
        <v>0.78555214580345822</v>
      </c>
      <c r="S23" s="286">
        <v>0.19299044151115158</v>
      </c>
      <c r="T23" s="286">
        <v>0.79526724032541274</v>
      </c>
      <c r="U23" s="292">
        <v>9.3820705186559419</v>
      </c>
      <c r="V23" s="30">
        <v>2.3994102743815842</v>
      </c>
      <c r="W23" s="286">
        <v>5.4</v>
      </c>
      <c r="X23" s="295">
        <v>4.7800000000000002E-2</v>
      </c>
      <c r="Y23" s="287">
        <f t="shared" si="0"/>
        <v>0.67596030858933875</v>
      </c>
      <c r="Z23" s="288">
        <v>-897266</v>
      </c>
      <c r="AA23" s="288">
        <v>309967</v>
      </c>
      <c r="AB23" s="288">
        <v>99</v>
      </c>
      <c r="AC23" s="288">
        <v>-1877158</v>
      </c>
      <c r="AD23" s="286"/>
      <c r="AE23" s="286"/>
      <c r="AF23" s="286"/>
      <c r="AH23" s="296"/>
    </row>
    <row r="24" spans="1:34" s="13" customFormat="1" ht="15.5">
      <c r="A24" s="282">
        <v>42004</v>
      </c>
      <c r="B24" s="283">
        <v>2385342</v>
      </c>
      <c r="C24" s="283"/>
      <c r="D24" s="283"/>
      <c r="E24" s="283"/>
      <c r="F24" s="283"/>
      <c r="G24" s="288"/>
      <c r="H24" s="286">
        <v>0.96899999999999997</v>
      </c>
      <c r="I24" s="286"/>
      <c r="J24" s="288"/>
      <c r="K24" s="283">
        <v>2790901</v>
      </c>
      <c r="L24" s="283">
        <v>310788</v>
      </c>
      <c r="M24" s="287">
        <f t="shared" si="1"/>
        <v>8.9800796684556676</v>
      </c>
      <c r="N24" s="287">
        <v>8.9</v>
      </c>
      <c r="O24" s="283">
        <v>1505117</v>
      </c>
      <c r="P24" s="289">
        <f t="shared" si="2"/>
        <v>5.2672142277219409</v>
      </c>
      <c r="Q24" s="286"/>
      <c r="R24" s="290">
        <v>0.80656575548501297</v>
      </c>
      <c r="S24" s="286">
        <v>0.2360313315926893</v>
      </c>
      <c r="T24" s="286">
        <v>0.79847492561541877</v>
      </c>
      <c r="U24" s="292">
        <v>8.3413338559841428</v>
      </c>
      <c r="V24" s="30">
        <v>2.6625512164505172</v>
      </c>
      <c r="W24" s="286">
        <v>6.2</v>
      </c>
      <c r="X24" s="295">
        <v>4.3900000000000002E-2</v>
      </c>
      <c r="Y24" s="287">
        <f t="shared" si="0"/>
        <v>0.78685736255066019</v>
      </c>
      <c r="Z24" s="288">
        <v>-1462720</v>
      </c>
      <c r="AA24" s="288">
        <v>-1669817</v>
      </c>
      <c r="AB24" s="288">
        <v>277</v>
      </c>
      <c r="AC24" s="288">
        <v>-2196041</v>
      </c>
      <c r="AD24" s="286"/>
      <c r="AE24" s="286"/>
      <c r="AF24" s="286"/>
      <c r="AH24" s="297"/>
    </row>
    <row r="25" spans="1:34" s="13" customFormat="1" ht="15.5">
      <c r="A25" s="282">
        <v>42369</v>
      </c>
      <c r="B25" s="283">
        <v>2668873</v>
      </c>
      <c r="C25" s="283"/>
      <c r="D25" s="283"/>
      <c r="E25" s="283"/>
      <c r="F25" s="283"/>
      <c r="G25" s="288"/>
      <c r="H25" s="286">
        <v>0.97099999999999997</v>
      </c>
      <c r="I25" s="286"/>
      <c r="J25" s="288"/>
      <c r="K25" s="283">
        <v>3128073</v>
      </c>
      <c r="L25" s="283">
        <v>309421</v>
      </c>
      <c r="M25" s="287">
        <f t="shared" si="1"/>
        <v>10.109439889341706</v>
      </c>
      <c r="N25" s="287">
        <v>9.86</v>
      </c>
      <c r="O25" s="283">
        <v>1888859</v>
      </c>
      <c r="P25" s="289">
        <f t="shared" si="2"/>
        <v>6.3605441718721059</v>
      </c>
      <c r="R25" s="290">
        <v>0.82080734083628826</v>
      </c>
      <c r="S25" s="286">
        <v>0.3487544483985765</v>
      </c>
      <c r="T25" s="286">
        <v>0.82981225240959633</v>
      </c>
      <c r="U25" s="292">
        <v>8.0543254585171127</v>
      </c>
      <c r="V25" s="30">
        <v>3.3379365744394538</v>
      </c>
      <c r="W25" s="286">
        <v>5.9</v>
      </c>
      <c r="X25" s="295">
        <v>3.9100000000000003E-2</v>
      </c>
      <c r="Y25" s="287">
        <f t="shared" si="0"/>
        <v>0.75314258970298964</v>
      </c>
      <c r="Z25" s="288">
        <v>-969026</v>
      </c>
      <c r="AA25" s="288">
        <v>1825829</v>
      </c>
      <c r="AB25" s="288">
        <v>-285</v>
      </c>
      <c r="AC25" s="288">
        <v>-2355885</v>
      </c>
      <c r="AD25" s="286"/>
      <c r="AE25" s="286"/>
      <c r="AF25" s="286"/>
      <c r="AH25" s="297"/>
    </row>
    <row r="26" spans="1:34" s="13" customFormat="1" ht="15.5">
      <c r="A26" s="282">
        <v>42735</v>
      </c>
      <c r="B26" s="283">
        <v>2720828</v>
      </c>
      <c r="C26" s="283"/>
      <c r="D26" s="283"/>
      <c r="E26" s="283"/>
      <c r="F26" s="283"/>
      <c r="G26" s="288"/>
      <c r="H26" s="286">
        <v>0.96099999999999997</v>
      </c>
      <c r="I26" s="286"/>
      <c r="J26" s="288"/>
      <c r="K26" s="283">
        <v>3378101</v>
      </c>
      <c r="L26" s="283">
        <v>313075</v>
      </c>
      <c r="M26" s="287">
        <f t="shared" si="1"/>
        <v>10.790069472171204</v>
      </c>
      <c r="N26" s="287">
        <v>10.49</v>
      </c>
      <c r="O26" s="283">
        <v>2050155</v>
      </c>
      <c r="P26" s="289">
        <f t="shared" si="2"/>
        <v>6.8858612049681929</v>
      </c>
      <c r="Q26" s="286"/>
      <c r="R26" s="290">
        <v>0.8003129214978798</v>
      </c>
      <c r="S26" s="286">
        <v>0.37058080808080807</v>
      </c>
      <c r="T26" s="286">
        <v>0.84053564512738699</v>
      </c>
      <c r="U26" s="292">
        <v>7.5636767521160557</v>
      </c>
      <c r="V26" s="30">
        <v>3.5239040340316761</v>
      </c>
      <c r="W26" s="286">
        <v>7.4</v>
      </c>
      <c r="X26" s="295">
        <v>3.39E-2</v>
      </c>
      <c r="Y26" s="287">
        <f t="shared" si="0"/>
        <v>0.76130820244865383</v>
      </c>
      <c r="Z26" s="288">
        <v>-761467</v>
      </c>
      <c r="AA26" s="288">
        <v>497421</v>
      </c>
      <c r="AB26" s="288">
        <v>-328</v>
      </c>
      <c r="AC26" s="288">
        <v>-2571776</v>
      </c>
      <c r="AD26" s="286"/>
      <c r="AE26" s="286"/>
      <c r="AF26" s="286"/>
      <c r="AH26" s="297"/>
    </row>
    <row r="27" spans="1:34" s="13" customFormat="1" ht="15.5">
      <c r="A27" s="282">
        <v>43100</v>
      </c>
      <c r="B27" s="283">
        <v>2802340</v>
      </c>
      <c r="C27" s="283"/>
      <c r="D27" s="283"/>
      <c r="E27" s="283"/>
      <c r="F27" s="283"/>
      <c r="G27" s="288"/>
      <c r="H27" s="286">
        <v>0.95599999999999996</v>
      </c>
      <c r="I27" s="286"/>
      <c r="J27" s="288"/>
      <c r="K27" s="283">
        <v>3598608</v>
      </c>
      <c r="L27" s="283">
        <v>310667</v>
      </c>
      <c r="M27" s="287">
        <f t="shared" si="1"/>
        <v>11.583489717285712</v>
      </c>
      <c r="N27" s="287">
        <v>11.21</v>
      </c>
      <c r="O27" s="283">
        <v>2241257</v>
      </c>
      <c r="P27" s="289">
        <f t="shared" si="2"/>
        <v>7.2321009086684906</v>
      </c>
      <c r="Q27" s="286"/>
      <c r="R27" s="290">
        <v>0.80073628183091883</v>
      </c>
      <c r="S27" s="286">
        <v>0.45814977973568288</v>
      </c>
      <c r="T27" s="286">
        <v>0.868596578583962</v>
      </c>
      <c r="U27" s="292">
        <v>7.5884983860426027</v>
      </c>
      <c r="V27" s="30">
        <v>3.8024037766573224</v>
      </c>
      <c r="W27" s="286">
        <v>7</v>
      </c>
      <c r="X27" s="295">
        <v>3.2500000000000001E-2</v>
      </c>
      <c r="Y27" s="287">
        <f t="shared" si="0"/>
        <v>0.78409262692685622</v>
      </c>
      <c r="Z27" s="288">
        <v>-236506</v>
      </c>
      <c r="AA27" s="288">
        <v>834917</v>
      </c>
      <c r="AB27" s="288">
        <v>-328</v>
      </c>
      <c r="AC27" s="288">
        <v>-2821642</v>
      </c>
      <c r="AD27" s="286"/>
      <c r="AE27" s="286"/>
      <c r="AF27" s="286"/>
      <c r="AH27" s="297"/>
    </row>
    <row r="28" spans="1:34" s="13" customFormat="1" ht="15.5">
      <c r="A28" s="282">
        <v>43465</v>
      </c>
      <c r="B28" s="283">
        <v>2911087</v>
      </c>
      <c r="C28" s="283"/>
      <c r="D28" s="283"/>
      <c r="E28" s="283"/>
      <c r="F28" s="283"/>
      <c r="G28" s="288"/>
      <c r="H28" s="286">
        <v>0.95899999999999996</v>
      </c>
      <c r="I28" s="286"/>
      <c r="J28" s="288"/>
      <c r="K28" s="283">
        <v>3883292</v>
      </c>
      <c r="L28" s="283">
        <v>309017</v>
      </c>
      <c r="M28" s="287">
        <f t="shared" si="1"/>
        <v>12.566596659730694</v>
      </c>
      <c r="N28" s="287">
        <v>12.13</v>
      </c>
      <c r="O28" s="283">
        <v>2533516</v>
      </c>
      <c r="P28" s="289">
        <f t="shared" si="2"/>
        <v>8.1566084691686331</v>
      </c>
      <c r="Q28" s="286"/>
      <c r="R28" s="290">
        <v>0.88812512162157142</v>
      </c>
      <c r="S28" s="286">
        <v>0.66413502109704647</v>
      </c>
      <c r="T28" s="286">
        <v>0.87626512392874156</v>
      </c>
      <c r="U28" s="292">
        <v>6.7188488529834993</v>
      </c>
      <c r="V28" s="30">
        <v>4.5043024893280368</v>
      </c>
      <c r="W28" s="286">
        <v>6.4</v>
      </c>
      <c r="X28" s="295"/>
      <c r="Y28" s="287">
        <f t="shared" si="0"/>
        <v>0.75951048749360084</v>
      </c>
      <c r="Z28" s="288">
        <v>-1076707</v>
      </c>
      <c r="AA28" s="288">
        <v>-248805</v>
      </c>
      <c r="AB28" s="288">
        <v>-329</v>
      </c>
      <c r="AC28" s="288">
        <v>-2949401</v>
      </c>
      <c r="AD28" s="286"/>
      <c r="AE28" s="286"/>
      <c r="AF28" s="286"/>
      <c r="AH28" s="297"/>
    </row>
    <row r="29" spans="1:34" s="13" customFormat="1" ht="15.5">
      <c r="A29" s="282">
        <v>43830</v>
      </c>
      <c r="B29" s="283">
        <v>2907831</v>
      </c>
      <c r="C29" s="283">
        <v>150300</v>
      </c>
      <c r="D29" s="283"/>
      <c r="E29" s="283"/>
      <c r="F29" s="283"/>
      <c r="G29" s="288"/>
      <c r="H29" s="286">
        <v>0.95099999999999996</v>
      </c>
      <c r="I29" s="286"/>
      <c r="J29" s="288"/>
      <c r="K29" s="283">
        <v>3802478</v>
      </c>
      <c r="L29" s="283">
        <v>320443</v>
      </c>
      <c r="M29" s="287">
        <f>K29/L29</f>
        <v>11.866316318346788</v>
      </c>
      <c r="N29" s="287">
        <v>12.04</v>
      </c>
      <c r="O29" s="283">
        <v>2408306</v>
      </c>
      <c r="P29" s="289">
        <f t="shared" si="2"/>
        <v>7.7490314941374825</v>
      </c>
      <c r="Q29" s="286"/>
      <c r="R29" s="290">
        <v>0.80566719876619164</v>
      </c>
      <c r="S29" s="286">
        <v>0.74917491749174914</v>
      </c>
      <c r="T29" s="286">
        <v>0.90678520461468071</v>
      </c>
      <c r="U29" s="292">
        <v>7.114558190737724</v>
      </c>
      <c r="V29" s="30">
        <v>4.107914963267385</v>
      </c>
      <c r="W29" s="286">
        <v>7.4</v>
      </c>
      <c r="X29" s="295">
        <v>3.3300000000000003E-2</v>
      </c>
      <c r="Y29" s="287">
        <f>-AC29/K29</f>
        <v>0.77910431039969197</v>
      </c>
      <c r="Z29" s="288">
        <v>-1176825</v>
      </c>
      <c r="AA29" s="288">
        <v>806661</v>
      </c>
      <c r="AB29" s="288">
        <v>-328</v>
      </c>
      <c r="AC29" s="288">
        <v>-2962527</v>
      </c>
      <c r="AD29" s="286"/>
      <c r="AE29" s="286"/>
      <c r="AF29" s="286"/>
      <c r="AH29" s="297"/>
    </row>
    <row r="30" spans="1:34" s="13" customFormat="1" ht="15.5">
      <c r="A30" s="282">
        <v>44196</v>
      </c>
      <c r="B30" s="283">
        <v>1971809</v>
      </c>
      <c r="C30" s="283">
        <v>142300</v>
      </c>
      <c r="D30" s="283"/>
      <c r="E30" s="283"/>
      <c r="F30" s="283"/>
      <c r="H30" s="296">
        <v>0.91300000000000003</v>
      </c>
      <c r="I30" s="296"/>
      <c r="K30" s="283">
        <v>2480372</v>
      </c>
      <c r="L30" s="283">
        <v>316595</v>
      </c>
      <c r="M30" s="287">
        <f>K30/L30</f>
        <v>7.8345267613196672</v>
      </c>
      <c r="N30" s="287">
        <v>9.11</v>
      </c>
      <c r="Z30" s="288"/>
      <c r="AA30" s="288"/>
      <c r="AB30" s="282"/>
    </row>
    <row r="31" spans="1:34" s="13" customFormat="1" ht="15.5">
      <c r="A31" s="282">
        <v>44561</v>
      </c>
      <c r="B31" s="283"/>
      <c r="C31" s="283"/>
      <c r="D31" s="283"/>
      <c r="E31" s="283"/>
      <c r="F31" s="283"/>
      <c r="G31" s="288"/>
      <c r="L31" s="283"/>
      <c r="Y31" s="298"/>
      <c r="AF31" s="298"/>
    </row>
    <row r="32" spans="1:34">
      <c r="A32" s="6"/>
      <c r="B32" s="1"/>
      <c r="C32" s="1"/>
      <c r="D32" s="1"/>
      <c r="E32" s="1"/>
      <c r="F32" s="1"/>
      <c r="H32" s="6"/>
      <c r="I32" s="6"/>
      <c r="R32" s="3"/>
      <c r="V32" s="7"/>
    </row>
    <row r="33" spans="7:29">
      <c r="R33" s="3"/>
      <c r="T33" s="7"/>
      <c r="U33" s="7"/>
      <c r="W33" s="7"/>
      <c r="X33" s="7"/>
      <c r="Y33" s="7"/>
      <c r="Z33" s="7"/>
      <c r="AA33" s="7"/>
      <c r="AB33" s="7"/>
      <c r="AC33" s="7"/>
    </row>
    <row r="34" spans="7:29">
      <c r="G34" s="1"/>
      <c r="R34" s="3"/>
    </row>
    <row r="35" spans="7:29">
      <c r="H35" s="3"/>
      <c r="I35" s="3"/>
      <c r="J35" s="3"/>
      <c r="R35" s="3"/>
    </row>
    <row r="36" spans="7:29">
      <c r="G36" s="1"/>
      <c r="H36" s="3"/>
      <c r="I36" s="3"/>
      <c r="J36" s="3"/>
      <c r="R36" s="3"/>
    </row>
    <row r="37" spans="7:29">
      <c r="H37" s="3"/>
      <c r="I37" s="3"/>
      <c r="J37" s="3"/>
      <c r="R37" s="3"/>
    </row>
    <row r="38" spans="7:29">
      <c r="G38" s="1"/>
      <c r="H38" s="3"/>
      <c r="I38" s="3"/>
      <c r="J38" s="3"/>
      <c r="M38" s="5"/>
      <c r="R38" s="3"/>
    </row>
    <row r="39" spans="7:29">
      <c r="M39" s="5"/>
      <c r="R39" s="3"/>
    </row>
    <row r="40" spans="7:29">
      <c r="G40" s="1"/>
      <c r="H40" s="3"/>
      <c r="I40" s="3"/>
      <c r="J40" s="3"/>
      <c r="M40" s="5"/>
      <c r="N40" s="3"/>
      <c r="O40" s="3"/>
      <c r="P40" s="3"/>
      <c r="R40" s="3"/>
    </row>
    <row r="41" spans="7:29">
      <c r="H41" s="3"/>
      <c r="I41" s="3"/>
      <c r="J41" s="3"/>
      <c r="M41" s="5"/>
      <c r="N41" s="3"/>
      <c r="O41" s="3"/>
      <c r="P41" s="3"/>
      <c r="R41" s="3"/>
    </row>
    <row r="42" spans="7:29">
      <c r="G42" s="1"/>
      <c r="H42" s="3"/>
      <c r="I42" s="3"/>
      <c r="J42" s="3"/>
      <c r="M42" s="5"/>
      <c r="N42" s="3"/>
      <c r="O42" s="3"/>
      <c r="P42" s="3"/>
      <c r="R42" s="3"/>
      <c r="T42" s="7"/>
    </row>
    <row r="43" spans="7:29">
      <c r="H43" s="3"/>
      <c r="I43" s="3"/>
      <c r="J43" s="3"/>
      <c r="M43" s="28"/>
      <c r="N43" s="3"/>
      <c r="O43" s="3"/>
      <c r="P43" s="3"/>
      <c r="R43" s="3"/>
      <c r="T43" s="7"/>
    </row>
    <row r="44" spans="7:29">
      <c r="G44" s="1"/>
      <c r="M44" s="5"/>
      <c r="R44" s="3"/>
      <c r="T44" s="7"/>
    </row>
    <row r="45" spans="7:29">
      <c r="M45" s="5"/>
      <c r="R45" s="3"/>
    </row>
    <row r="46" spans="7:29">
      <c r="G46" s="1"/>
      <c r="M46" s="5"/>
      <c r="R46" s="3"/>
    </row>
    <row r="47" spans="7:29">
      <c r="M47" s="5"/>
      <c r="R47" s="3"/>
    </row>
    <row r="48" spans="7:29">
      <c r="G48" s="1"/>
      <c r="M48" s="1"/>
      <c r="R48" s="3"/>
    </row>
    <row r="49" spans="7:18">
      <c r="M49" s="1"/>
      <c r="R49" s="3"/>
    </row>
    <row r="50" spans="7:18">
      <c r="G50" s="1"/>
      <c r="M50" s="1"/>
      <c r="R50" s="3"/>
    </row>
    <row r="51" spans="7:18">
      <c r="M51" s="1"/>
      <c r="R51" s="3"/>
    </row>
    <row r="52" spans="7:18">
      <c r="G52" s="1"/>
      <c r="M52" s="1"/>
      <c r="R52" s="3"/>
    </row>
    <row r="53" spans="7:18">
      <c r="M53" s="1"/>
      <c r="R53" s="3"/>
    </row>
    <row r="54" spans="7:18">
      <c r="G54" s="1"/>
      <c r="M54" s="1"/>
      <c r="R54" s="3"/>
    </row>
    <row r="55" spans="7:18">
      <c r="M55" s="1"/>
    </row>
    <row r="56" spans="7:18">
      <c r="M56" s="28"/>
    </row>
    <row r="57" spans="7:18">
      <c r="K57" s="3"/>
      <c r="M57" s="1"/>
    </row>
    <row r="58" spans="7:18">
      <c r="M58" s="1"/>
    </row>
    <row r="59" spans="7:18">
      <c r="M59" s="1"/>
    </row>
    <row r="60" spans="7:18">
      <c r="M60" s="1"/>
    </row>
    <row r="61" spans="7:18">
      <c r="M61" s="1"/>
    </row>
    <row r="62" spans="7:18">
      <c r="M62" s="1"/>
    </row>
    <row r="63" spans="7:18">
      <c r="M63" s="29"/>
    </row>
    <row r="64" spans="7:18">
      <c r="M64" s="1"/>
    </row>
    <row r="65" spans="13:13">
      <c r="M65" s="1"/>
    </row>
  </sheetData>
  <sortState xmlns:xlrd2="http://schemas.microsoft.com/office/spreadsheetml/2017/richdata2" ref="L38:M64">
    <sortCondition ref="L37"/>
  </sortState>
  <mergeCells count="5">
    <mergeCell ref="B1:J1"/>
    <mergeCell ref="K1:S1"/>
    <mergeCell ref="Z1:AC1"/>
    <mergeCell ref="AD1:AH1"/>
    <mergeCell ref="T1:X1"/>
  </mergeCells>
  <phoneticPr fontId="45" type="noConversion"/>
  <pageMargins left="0.7" right="0.7" top="0.75" bottom="0.75" header="0.3" footer="0.3"/>
  <pageSetup paperSize="9" orientation="portrait" horizontalDpi="1200" verticalDpi="1200"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F4A38-E01A-44FC-985F-81D8F514A3C0}">
  <dimension ref="A1:AC54"/>
  <sheetViews>
    <sheetView zoomScale="140" zoomScaleNormal="140" workbookViewId="0">
      <selection activeCell="A19" sqref="A19"/>
    </sheetView>
  </sheetViews>
  <sheetFormatPr defaultColWidth="8.83203125" defaultRowHeight="14"/>
  <cols>
    <col min="1" max="1" width="51.33203125" bestFit="1" customWidth="1"/>
    <col min="2" max="24" width="10.58203125" bestFit="1" customWidth="1"/>
  </cols>
  <sheetData>
    <row r="1" spans="1:28">
      <c r="A1" t="s">
        <v>1213</v>
      </c>
      <c r="B1" t="s">
        <v>524</v>
      </c>
      <c r="C1" t="s">
        <v>523</v>
      </c>
      <c r="D1" t="s">
        <v>522</v>
      </c>
      <c r="E1" t="s">
        <v>521</v>
      </c>
      <c r="F1" t="s">
        <v>520</v>
      </c>
      <c r="G1" t="s">
        <v>519</v>
      </c>
      <c r="H1" t="s">
        <v>518</v>
      </c>
      <c r="I1" t="s">
        <v>517</v>
      </c>
      <c r="J1" t="s">
        <v>516</v>
      </c>
      <c r="K1" t="s">
        <v>515</v>
      </c>
      <c r="L1" t="s">
        <v>514</v>
      </c>
      <c r="M1" t="s">
        <v>513</v>
      </c>
      <c r="N1" t="s">
        <v>512</v>
      </c>
      <c r="O1" t="s">
        <v>511</v>
      </c>
      <c r="P1" t="s">
        <v>1214</v>
      </c>
      <c r="Q1" t="s">
        <v>1215</v>
      </c>
      <c r="R1" t="s">
        <v>1216</v>
      </c>
      <c r="S1" t="s">
        <v>1217</v>
      </c>
      <c r="T1" t="s">
        <v>1218</v>
      </c>
      <c r="U1" t="s">
        <v>1219</v>
      </c>
      <c r="V1" t="s">
        <v>1220</v>
      </c>
      <c r="W1" t="s">
        <v>1221</v>
      </c>
      <c r="X1" t="s">
        <v>1222</v>
      </c>
    </row>
    <row r="2" spans="1:28">
      <c r="A2" s="21" t="s">
        <v>71</v>
      </c>
      <c r="B2" s="1">
        <v>5755189</v>
      </c>
      <c r="C2" s="1">
        <v>5657919</v>
      </c>
      <c r="D2" s="1">
        <v>5538640</v>
      </c>
      <c r="E2" s="1">
        <v>5435229</v>
      </c>
      <c r="F2" s="1">
        <v>5266103</v>
      </c>
      <c r="G2" s="1">
        <v>4870818</v>
      </c>
      <c r="H2" s="1">
        <v>5170138</v>
      </c>
      <c r="I2" s="1">
        <v>4880084</v>
      </c>
      <c r="J2" s="1">
        <v>4306432</v>
      </c>
      <c r="K2" s="1">
        <v>3957630</v>
      </c>
      <c r="L2" s="1">
        <v>3775216</v>
      </c>
      <c r="M2" s="1">
        <v>3783155</v>
      </c>
      <c r="N2" s="1">
        <v>3650799</v>
      </c>
      <c r="O2" s="1">
        <v>3332154</v>
      </c>
      <c r="P2" s="1">
        <v>3166853</v>
      </c>
      <c r="Q2" s="1">
        <v>2641751</v>
      </c>
      <c r="R2" s="1">
        <v>2313653</v>
      </c>
      <c r="S2" s="1">
        <v>2185802</v>
      </c>
      <c r="T2" s="1">
        <v>2048835</v>
      </c>
      <c r="U2" s="1">
        <v>2020751</v>
      </c>
      <c r="V2" s="1">
        <v>1892703</v>
      </c>
      <c r="W2" s="1">
        <v>1405559</v>
      </c>
      <c r="X2" s="1">
        <v>1073400</v>
      </c>
      <c r="Y2" s="1">
        <v>757300</v>
      </c>
      <c r="Z2" s="1">
        <v>557000</v>
      </c>
      <c r="AA2" s="1">
        <v>473700</v>
      </c>
      <c r="AB2" s="1">
        <v>405900</v>
      </c>
    </row>
    <row r="3" spans="1:28">
      <c r="A3" t="s">
        <v>1223</v>
      </c>
      <c r="B3" s="1">
        <v>1021644</v>
      </c>
      <c r="C3" s="1">
        <v>1007964</v>
      </c>
      <c r="D3" s="1">
        <v>980080</v>
      </c>
      <c r="E3" s="1">
        <v>971147</v>
      </c>
      <c r="F3" s="1">
        <v>960192</v>
      </c>
      <c r="G3" s="1">
        <v>882803</v>
      </c>
      <c r="H3" s="1">
        <v>1040835</v>
      </c>
      <c r="I3" s="1">
        <v>1005190</v>
      </c>
      <c r="J3" s="1">
        <v>436571</v>
      </c>
      <c r="K3" s="1">
        <v>414264</v>
      </c>
      <c r="L3" s="1">
        <v>425703</v>
      </c>
      <c r="M3" s="1">
        <v>455874</v>
      </c>
      <c r="N3" s="1" t="s">
        <v>283</v>
      </c>
      <c r="O3" s="1" t="s">
        <v>283</v>
      </c>
      <c r="P3" s="1" t="s">
        <v>283</v>
      </c>
      <c r="Q3" s="1" t="s">
        <v>283</v>
      </c>
      <c r="R3" s="1" t="s">
        <v>283</v>
      </c>
      <c r="S3" s="1" t="s">
        <v>283</v>
      </c>
      <c r="T3" s="1" t="s">
        <v>283</v>
      </c>
      <c r="U3" s="1" t="s">
        <v>283</v>
      </c>
      <c r="V3" s="1" t="s">
        <v>283</v>
      </c>
      <c r="W3" s="1" t="s">
        <v>283</v>
      </c>
      <c r="X3" t="s">
        <v>283</v>
      </c>
      <c r="Y3" t="s">
        <v>283</v>
      </c>
      <c r="Z3" t="s">
        <v>283</v>
      </c>
      <c r="AA3" t="s">
        <v>283</v>
      </c>
      <c r="AB3" t="s">
        <v>283</v>
      </c>
    </row>
    <row r="4" spans="1:28">
      <c r="A4" t="s">
        <v>1224</v>
      </c>
      <c r="B4" s="1">
        <v>4733545</v>
      </c>
      <c r="C4" s="1">
        <v>4649955</v>
      </c>
      <c r="D4" s="1">
        <v>4558560</v>
      </c>
      <c r="E4" s="1">
        <v>4464082</v>
      </c>
      <c r="F4" s="1">
        <v>4305911</v>
      </c>
      <c r="G4" s="1">
        <v>3988015</v>
      </c>
      <c r="H4" s="1">
        <v>4129303</v>
      </c>
      <c r="I4" s="1">
        <v>3874894</v>
      </c>
      <c r="J4" s="1">
        <v>3869861</v>
      </c>
      <c r="K4" s="1">
        <v>3543366</v>
      </c>
      <c r="L4" s="1">
        <v>3349513</v>
      </c>
      <c r="M4" s="1">
        <v>3327281</v>
      </c>
      <c r="N4" t="s">
        <v>283</v>
      </c>
      <c r="O4" t="s">
        <v>283</v>
      </c>
      <c r="P4" t="s">
        <v>283</v>
      </c>
      <c r="Q4" t="s">
        <v>283</v>
      </c>
      <c r="R4" t="s">
        <v>283</v>
      </c>
      <c r="S4" t="s">
        <v>283</v>
      </c>
      <c r="T4" t="s">
        <v>283</v>
      </c>
      <c r="U4" t="s">
        <v>283</v>
      </c>
      <c r="V4" t="s">
        <v>283</v>
      </c>
      <c r="W4" t="s">
        <v>283</v>
      </c>
      <c r="X4" t="s">
        <v>283</v>
      </c>
      <c r="Y4" t="s">
        <v>283</v>
      </c>
      <c r="Z4" t="s">
        <v>283</v>
      </c>
      <c r="AA4" t="s">
        <v>283</v>
      </c>
      <c r="AB4" t="s">
        <v>283</v>
      </c>
    </row>
    <row r="5" spans="1:28">
      <c r="A5" t="s">
        <v>1225</v>
      </c>
      <c r="B5" s="1">
        <v>1825714</v>
      </c>
      <c r="C5" s="1">
        <v>1738868</v>
      </c>
      <c r="D5" s="1">
        <v>1756220</v>
      </c>
      <c r="E5" s="1">
        <v>1743254</v>
      </c>
      <c r="F5" s="1">
        <v>1637038</v>
      </c>
      <c r="G5" s="1">
        <v>1602673</v>
      </c>
      <c r="H5" s="1">
        <v>1713614</v>
      </c>
      <c r="I5" s="1">
        <v>1660720</v>
      </c>
      <c r="J5" s="1">
        <v>1934719</v>
      </c>
      <c r="K5" s="1">
        <v>1731082</v>
      </c>
      <c r="L5" s="1">
        <v>1745468</v>
      </c>
      <c r="M5" s="1">
        <v>1766404</v>
      </c>
      <c r="N5" s="1">
        <v>2060673</v>
      </c>
      <c r="O5" s="1">
        <v>2011925</v>
      </c>
      <c r="P5" s="1">
        <v>1961430</v>
      </c>
      <c r="Q5" s="1">
        <v>1588152</v>
      </c>
      <c r="R5" s="1">
        <v>1328287</v>
      </c>
      <c r="S5" s="1">
        <v>1247064</v>
      </c>
      <c r="T5" s="1">
        <v>1215417</v>
      </c>
      <c r="U5" s="1">
        <v>1120183</v>
      </c>
      <c r="V5" s="1">
        <v>1038458</v>
      </c>
      <c r="W5" s="1">
        <v>763347</v>
      </c>
      <c r="X5" s="1">
        <v>-544200</v>
      </c>
      <c r="Y5" s="1">
        <v>-391500</v>
      </c>
      <c r="Z5" s="1">
        <v>-289000</v>
      </c>
      <c r="AA5" s="1">
        <v>-246800</v>
      </c>
      <c r="AB5" s="1">
        <v>-228500</v>
      </c>
    </row>
    <row r="6" spans="1:28">
      <c r="A6" t="s">
        <v>1226</v>
      </c>
      <c r="B6" s="1">
        <v>185204</v>
      </c>
      <c r="C6" s="1">
        <v>197784</v>
      </c>
      <c r="D6" s="1">
        <v>202837</v>
      </c>
      <c r="E6" s="1">
        <v>207883</v>
      </c>
      <c r="F6" s="1">
        <v>195183</v>
      </c>
      <c r="G6" s="1">
        <v>196614</v>
      </c>
      <c r="H6" s="1">
        <v>186013</v>
      </c>
      <c r="I6" s="1">
        <v>175934</v>
      </c>
      <c r="J6" s="1">
        <v>395435</v>
      </c>
      <c r="K6" s="1">
        <v>296747</v>
      </c>
      <c r="L6" s="1">
        <v>319170</v>
      </c>
      <c r="M6" s="1">
        <v>370514</v>
      </c>
      <c r="N6" s="1">
        <v>250537</v>
      </c>
      <c r="O6" s="1">
        <v>234466</v>
      </c>
      <c r="P6" s="1">
        <v>227452</v>
      </c>
      <c r="Q6" s="1">
        <v>85840</v>
      </c>
      <c r="R6" s="1">
        <v>76848</v>
      </c>
      <c r="S6" s="1">
        <v>61327</v>
      </c>
      <c r="T6" s="1">
        <v>64941</v>
      </c>
      <c r="U6" s="1">
        <v>65797</v>
      </c>
      <c r="V6" s="1">
        <v>65843</v>
      </c>
      <c r="W6" s="1">
        <v>50754</v>
      </c>
      <c r="X6" s="1">
        <v>32900</v>
      </c>
      <c r="Y6" s="1">
        <v>24800</v>
      </c>
      <c r="Z6" s="1">
        <v>13500</v>
      </c>
      <c r="AA6" s="1">
        <v>12600</v>
      </c>
      <c r="AB6" s="1">
        <v>9900</v>
      </c>
    </row>
    <row r="7" spans="1:28">
      <c r="A7" t="s">
        <v>1227</v>
      </c>
      <c r="B7" s="1">
        <v>1825714</v>
      </c>
      <c r="C7" s="1">
        <v>1738868</v>
      </c>
      <c r="D7" s="1">
        <v>1756220</v>
      </c>
      <c r="E7" s="1">
        <v>1743254</v>
      </c>
      <c r="F7" s="1">
        <v>1637038</v>
      </c>
      <c r="G7" s="1">
        <v>1602673</v>
      </c>
      <c r="H7" s="1">
        <v>1713614</v>
      </c>
      <c r="I7" s="1">
        <v>1660720</v>
      </c>
      <c r="J7" s="1">
        <v>1934719</v>
      </c>
      <c r="K7" s="1">
        <v>1731082</v>
      </c>
      <c r="L7" s="1">
        <v>1745468</v>
      </c>
      <c r="M7" s="1">
        <v>1766404</v>
      </c>
      <c r="N7" s="1">
        <v>2060673</v>
      </c>
      <c r="O7" s="1">
        <v>2011925</v>
      </c>
      <c r="P7" s="1">
        <v>1961430</v>
      </c>
      <c r="Q7" s="1">
        <v>1588152</v>
      </c>
      <c r="R7" s="1">
        <v>1328287</v>
      </c>
      <c r="S7" s="1">
        <v>1247064</v>
      </c>
      <c r="T7" s="1">
        <v>1215417</v>
      </c>
      <c r="U7" s="1">
        <v>1120183</v>
      </c>
      <c r="V7" s="1">
        <v>1038458</v>
      </c>
      <c r="W7" s="1">
        <v>763347</v>
      </c>
      <c r="X7" s="1">
        <v>-544200</v>
      </c>
      <c r="Y7" s="1">
        <v>-391500</v>
      </c>
      <c r="Z7" s="1">
        <v>-289000</v>
      </c>
      <c r="AA7" s="1">
        <v>-246800</v>
      </c>
      <c r="AB7" s="1">
        <v>-228500</v>
      </c>
    </row>
    <row r="8" spans="1:28">
      <c r="A8" s="21" t="s">
        <v>1228</v>
      </c>
      <c r="B8" s="1">
        <v>2907831</v>
      </c>
      <c r="C8" s="1">
        <v>2911087</v>
      </c>
      <c r="D8" s="1">
        <v>2802340</v>
      </c>
      <c r="E8" s="1">
        <v>2720828</v>
      </c>
      <c r="F8" s="1">
        <v>2668873</v>
      </c>
      <c r="G8" s="1">
        <v>2385342</v>
      </c>
      <c r="H8" s="1">
        <v>2415689</v>
      </c>
      <c r="I8" s="1">
        <v>2214174</v>
      </c>
      <c r="J8" s="1">
        <v>1935142</v>
      </c>
      <c r="K8" s="1">
        <v>1812284</v>
      </c>
      <c r="L8" s="1">
        <v>1604045</v>
      </c>
      <c r="M8" s="1">
        <v>1560877</v>
      </c>
      <c r="N8" s="1">
        <v>1590126</v>
      </c>
      <c r="O8" s="1">
        <v>1320229</v>
      </c>
      <c r="P8" s="1">
        <v>1205423</v>
      </c>
      <c r="Q8" s="1">
        <v>1053599</v>
      </c>
      <c r="R8" s="1">
        <v>985366</v>
      </c>
      <c r="S8" s="1">
        <v>938738</v>
      </c>
      <c r="T8" s="1">
        <v>833418</v>
      </c>
      <c r="U8" s="1">
        <v>900568</v>
      </c>
      <c r="V8" s="1">
        <v>854245</v>
      </c>
      <c r="W8" s="1">
        <v>642212</v>
      </c>
      <c r="X8" s="1">
        <v>1617600</v>
      </c>
      <c r="Y8" s="1">
        <v>1148800</v>
      </c>
      <c r="Z8" s="1">
        <v>846000</v>
      </c>
      <c r="AA8" s="1">
        <v>720500</v>
      </c>
      <c r="AB8" s="1">
        <v>634400</v>
      </c>
    </row>
    <row r="9" spans="1:28">
      <c r="A9" t="s">
        <v>70</v>
      </c>
      <c r="B9" s="1">
        <v>789353</v>
      </c>
      <c r="C9" s="1">
        <v>815923</v>
      </c>
      <c r="D9" s="1">
        <v>809393</v>
      </c>
      <c r="E9" s="1">
        <v>857554</v>
      </c>
      <c r="F9" s="1">
        <v>923697</v>
      </c>
      <c r="G9" s="1">
        <v>992601</v>
      </c>
      <c r="H9" s="1">
        <v>1137139</v>
      </c>
      <c r="I9" s="1">
        <v>1127025</v>
      </c>
      <c r="J9" s="1">
        <v>983526</v>
      </c>
      <c r="K9" s="1">
        <v>1027091</v>
      </c>
      <c r="L9" s="1">
        <v>992065</v>
      </c>
      <c r="M9" s="1">
        <v>947140</v>
      </c>
      <c r="N9" s="1" t="s">
        <v>283</v>
      </c>
      <c r="O9" s="1" t="s">
        <v>283</v>
      </c>
      <c r="P9" s="1" t="s">
        <v>283</v>
      </c>
      <c r="Q9" s="1" t="s">
        <v>283</v>
      </c>
      <c r="R9" s="1" t="s">
        <v>283</v>
      </c>
      <c r="S9" s="1" t="s">
        <v>283</v>
      </c>
      <c r="T9" s="1" t="s">
        <v>283</v>
      </c>
      <c r="U9" s="1" t="s">
        <v>283</v>
      </c>
      <c r="V9" s="1" t="s">
        <v>283</v>
      </c>
      <c r="W9" s="1" t="s">
        <v>283</v>
      </c>
      <c r="X9" t="s">
        <v>283</v>
      </c>
      <c r="Y9" t="s">
        <v>283</v>
      </c>
      <c r="Z9" t="s">
        <v>283</v>
      </c>
      <c r="AA9" t="s">
        <v>283</v>
      </c>
      <c r="AB9" t="s">
        <v>283</v>
      </c>
    </row>
    <row r="10" spans="1:28">
      <c r="A10" t="s">
        <v>1229</v>
      </c>
      <c r="B10" s="1">
        <v>334764</v>
      </c>
      <c r="C10" s="1">
        <v>764077</v>
      </c>
      <c r="D10" s="1">
        <v>275299</v>
      </c>
      <c r="E10" s="1">
        <v>301110</v>
      </c>
      <c r="F10" s="1">
        <v>414369</v>
      </c>
      <c r="G10" s="1">
        <v>257509</v>
      </c>
      <c r="H10" s="1">
        <v>312774</v>
      </c>
      <c r="I10" s="1">
        <v>648363</v>
      </c>
      <c r="J10" s="1">
        <v>297867</v>
      </c>
      <c r="K10" s="1">
        <v>-350981</v>
      </c>
      <c r="L10" s="1">
        <v>-229938</v>
      </c>
      <c r="M10" s="1">
        <v>-21687</v>
      </c>
      <c r="N10" s="1">
        <v>-53455</v>
      </c>
      <c r="O10" s="1">
        <v>1110</v>
      </c>
      <c r="P10" s="1">
        <v>-13743</v>
      </c>
      <c r="Q10" s="1" t="s">
        <v>283</v>
      </c>
      <c r="R10" s="1">
        <v>-15727</v>
      </c>
      <c r="S10" s="1" t="s">
        <v>283</v>
      </c>
      <c r="T10" s="1">
        <v>2603</v>
      </c>
      <c r="U10" s="1">
        <v>9132</v>
      </c>
      <c r="V10" s="1" t="s">
        <v>283</v>
      </c>
      <c r="W10" s="1" t="s">
        <v>283</v>
      </c>
      <c r="X10" t="s">
        <v>283</v>
      </c>
      <c r="Y10" t="s">
        <v>283</v>
      </c>
      <c r="Z10" s="1">
        <v>1900</v>
      </c>
      <c r="AA10" t="s">
        <v>283</v>
      </c>
      <c r="AB10" t="s">
        <v>283</v>
      </c>
    </row>
    <row r="11" spans="1:28">
      <c r="A11" t="s">
        <v>1230</v>
      </c>
      <c r="B11" s="1">
        <v>2453242</v>
      </c>
      <c r="C11" s="1">
        <v>2859241</v>
      </c>
      <c r="D11" s="1">
        <v>2268246</v>
      </c>
      <c r="E11" s="1">
        <v>2164384</v>
      </c>
      <c r="F11" s="1">
        <v>2159545</v>
      </c>
      <c r="G11" s="1">
        <v>1650250</v>
      </c>
      <c r="H11" s="1">
        <v>1591324</v>
      </c>
      <c r="I11" s="1">
        <v>1735512</v>
      </c>
      <c r="J11" s="1">
        <v>1249483</v>
      </c>
      <c r="K11" s="1">
        <v>434212</v>
      </c>
      <c r="L11" s="1">
        <v>382042</v>
      </c>
      <c r="M11" s="1">
        <v>467237</v>
      </c>
      <c r="N11" s="1">
        <v>507982</v>
      </c>
      <c r="O11" s="1">
        <v>574813</v>
      </c>
      <c r="P11" s="1">
        <v>392588</v>
      </c>
      <c r="Q11" s="1">
        <v>391509</v>
      </c>
      <c r="R11" s="1">
        <v>372275</v>
      </c>
      <c r="S11" s="1" t="s">
        <v>283</v>
      </c>
      <c r="T11" s="1" t="s">
        <v>283</v>
      </c>
      <c r="U11" s="1" t="s">
        <v>283</v>
      </c>
      <c r="V11" s="1">
        <v>274652</v>
      </c>
      <c r="W11" s="1" t="s">
        <v>283</v>
      </c>
      <c r="X11" t="s">
        <v>283</v>
      </c>
      <c r="Y11" t="s">
        <v>283</v>
      </c>
      <c r="Z11" t="s">
        <v>283</v>
      </c>
      <c r="AA11" t="s">
        <v>283</v>
      </c>
      <c r="AB11" t="s">
        <v>283</v>
      </c>
    </row>
    <row r="12" spans="1:28">
      <c r="A12" t="s">
        <v>736</v>
      </c>
      <c r="B12" s="1">
        <v>30054</v>
      </c>
      <c r="C12" s="1">
        <v>36898</v>
      </c>
      <c r="D12" s="1">
        <v>23343</v>
      </c>
      <c r="E12" s="1">
        <v>29678</v>
      </c>
      <c r="F12" s="1">
        <v>20170</v>
      </c>
      <c r="G12" s="1">
        <v>28085</v>
      </c>
      <c r="H12" s="1">
        <v>39734</v>
      </c>
      <c r="I12" s="1">
        <v>15880</v>
      </c>
      <c r="J12" s="1">
        <v>3583</v>
      </c>
      <c r="K12" s="1">
        <v>1734</v>
      </c>
      <c r="L12" s="1">
        <v>-5220</v>
      </c>
      <c r="M12" s="1">
        <v>3581</v>
      </c>
      <c r="N12" s="1">
        <v>-11322</v>
      </c>
      <c r="O12" s="1">
        <v>11370</v>
      </c>
      <c r="P12" s="1">
        <v>-16229</v>
      </c>
      <c r="Q12" s="1">
        <v>-11770</v>
      </c>
      <c r="R12" s="1">
        <v>-7597</v>
      </c>
      <c r="S12" s="1" t="s">
        <v>283</v>
      </c>
      <c r="T12" s="1" t="s">
        <v>283</v>
      </c>
      <c r="U12" s="1" t="s">
        <v>283</v>
      </c>
      <c r="V12" s="1">
        <v>-3374</v>
      </c>
      <c r="W12" s="1" t="s">
        <v>283</v>
      </c>
      <c r="X12" t="s">
        <v>283</v>
      </c>
      <c r="Y12" t="s">
        <v>283</v>
      </c>
      <c r="Z12" t="s">
        <v>283</v>
      </c>
      <c r="AA12" t="s">
        <v>283</v>
      </c>
      <c r="AB12" t="s">
        <v>283</v>
      </c>
    </row>
    <row r="13" spans="1:28">
      <c r="A13" t="s">
        <v>1231</v>
      </c>
      <c r="B13" s="1">
        <v>2423188</v>
      </c>
      <c r="C13" s="1">
        <v>2822343</v>
      </c>
      <c r="D13" s="1">
        <v>2244903</v>
      </c>
      <c r="E13" s="1">
        <v>2134706</v>
      </c>
      <c r="F13" s="1">
        <v>2139375</v>
      </c>
      <c r="G13" s="1">
        <v>1622165</v>
      </c>
      <c r="H13" s="1">
        <v>1551590</v>
      </c>
      <c r="I13" s="1">
        <v>1719632</v>
      </c>
      <c r="J13" s="1">
        <v>1245900</v>
      </c>
      <c r="K13" s="1">
        <v>753514</v>
      </c>
      <c r="L13" s="1">
        <v>387262</v>
      </c>
      <c r="M13" s="1">
        <v>463656</v>
      </c>
      <c r="N13" s="1">
        <v>519304</v>
      </c>
      <c r="O13" s="1">
        <v>563443</v>
      </c>
      <c r="P13" s="1">
        <v>457328</v>
      </c>
      <c r="Q13" s="1">
        <v>450405</v>
      </c>
      <c r="R13" s="1">
        <v>451900</v>
      </c>
      <c r="S13" s="1">
        <v>547348</v>
      </c>
      <c r="T13" s="1">
        <v>282297</v>
      </c>
      <c r="U13" s="1">
        <v>347419</v>
      </c>
      <c r="V13" s="1">
        <v>316100</v>
      </c>
      <c r="W13" s="1">
        <v>236230</v>
      </c>
      <c r="X13" s="1">
        <v>203100</v>
      </c>
      <c r="Y13" s="1">
        <v>134700</v>
      </c>
      <c r="Z13" s="1">
        <v>101500</v>
      </c>
      <c r="AA13" s="1">
        <v>60400</v>
      </c>
      <c r="AB13" s="1">
        <v>6900</v>
      </c>
    </row>
    <row r="14" spans="1:28">
      <c r="A14" s="21" t="s">
        <v>74</v>
      </c>
      <c r="B14" s="1">
        <v>2101584</v>
      </c>
      <c r="C14" s="1">
        <v>2440058</v>
      </c>
      <c r="D14" s="1">
        <v>1947962</v>
      </c>
      <c r="E14" s="1">
        <v>1838896</v>
      </c>
      <c r="F14" s="1">
        <v>1827720</v>
      </c>
      <c r="G14" s="1">
        <v>1408588</v>
      </c>
      <c r="H14" s="1">
        <v>1319641</v>
      </c>
      <c r="I14" s="1">
        <v>1434496</v>
      </c>
      <c r="J14" s="1">
        <v>1024799</v>
      </c>
      <c r="K14" s="1">
        <v>617038</v>
      </c>
      <c r="L14" s="1">
        <v>309407</v>
      </c>
      <c r="M14" s="1">
        <v>463636</v>
      </c>
      <c r="N14" s="1">
        <v>491239</v>
      </c>
      <c r="O14" s="1">
        <v>563840</v>
      </c>
      <c r="P14" s="1">
        <v>475749</v>
      </c>
      <c r="Q14" s="1">
        <v>342993</v>
      </c>
      <c r="R14" s="1">
        <v>368715</v>
      </c>
      <c r="S14" s="1">
        <v>422588</v>
      </c>
      <c r="T14" s="1">
        <v>199149</v>
      </c>
      <c r="U14" s="1">
        <v>223336</v>
      </c>
      <c r="V14" s="1">
        <v>204385</v>
      </c>
      <c r="W14" s="1">
        <v>167253</v>
      </c>
      <c r="X14" s="1">
        <v>203200</v>
      </c>
      <c r="Y14" s="1">
        <v>131200</v>
      </c>
      <c r="Z14" s="1">
        <v>137200</v>
      </c>
      <c r="AA14" s="1">
        <v>45100</v>
      </c>
      <c r="AB14" s="1">
        <v>33100</v>
      </c>
    </row>
    <row r="15" spans="1:28">
      <c r="A15" t="s">
        <v>1232</v>
      </c>
      <c r="B15" s="1">
        <v>2098247</v>
      </c>
      <c r="C15" s="1">
        <v>2436721</v>
      </c>
      <c r="D15" s="1">
        <v>1944625</v>
      </c>
      <c r="E15" s="1">
        <v>1835559</v>
      </c>
      <c r="F15" s="1">
        <v>1824383</v>
      </c>
      <c r="G15" s="1">
        <v>1405251</v>
      </c>
      <c r="H15" s="1">
        <v>1316304</v>
      </c>
      <c r="I15" s="1">
        <v>1431159</v>
      </c>
      <c r="J15" s="1">
        <v>1021462</v>
      </c>
      <c r="K15" s="1">
        <v>610424</v>
      </c>
      <c r="L15" s="1">
        <v>283098</v>
      </c>
      <c r="M15" s="1">
        <v>422517</v>
      </c>
      <c r="N15" s="1">
        <v>436164</v>
      </c>
      <c r="O15" s="1">
        <v>486145</v>
      </c>
      <c r="P15" s="1">
        <v>401895</v>
      </c>
      <c r="Q15" s="1">
        <v>300647</v>
      </c>
      <c r="R15" s="1">
        <v>313577</v>
      </c>
      <c r="S15" s="1">
        <v>358387</v>
      </c>
      <c r="T15" s="1">
        <v>147789</v>
      </c>
      <c r="U15" s="1">
        <v>186528</v>
      </c>
      <c r="V15" s="1">
        <v>167314</v>
      </c>
      <c r="W15" s="1">
        <v>133598</v>
      </c>
      <c r="X15" s="1">
        <v>174000</v>
      </c>
      <c r="Y15" s="1">
        <v>118500</v>
      </c>
      <c r="Z15" s="1">
        <v>137200</v>
      </c>
      <c r="AA15" s="1">
        <v>45100</v>
      </c>
      <c r="AB15" s="1">
        <v>33100</v>
      </c>
    </row>
    <row r="16" spans="1:28">
      <c r="A16" t="s">
        <v>746</v>
      </c>
      <c r="B16" s="1">
        <v>6.81</v>
      </c>
      <c r="C16" s="1">
        <v>7.87</v>
      </c>
      <c r="D16" s="1">
        <v>6.24</v>
      </c>
      <c r="E16" s="1">
        <v>5.87</v>
      </c>
      <c r="F16">
        <v>5.88</v>
      </c>
      <c r="G16" s="1">
        <v>4.5199999999999996</v>
      </c>
      <c r="H16" s="1">
        <v>4.24</v>
      </c>
      <c r="I16" s="1">
        <v>4.72</v>
      </c>
      <c r="J16" s="1">
        <v>3.48</v>
      </c>
      <c r="K16">
        <v>2.1</v>
      </c>
      <c r="L16" s="1">
        <v>1.06</v>
      </c>
      <c r="M16" s="1">
        <v>1.88</v>
      </c>
      <c r="N16" s="1">
        <v>1.96</v>
      </c>
      <c r="O16" s="1">
        <v>2.2000000000000002</v>
      </c>
      <c r="P16" s="1">
        <v>1.82</v>
      </c>
      <c r="Q16">
        <v>1.45</v>
      </c>
      <c r="R16">
        <v>1.65</v>
      </c>
      <c r="S16">
        <v>1.99</v>
      </c>
      <c r="T16" s="1">
        <v>0.86</v>
      </c>
      <c r="U16" s="1">
        <v>1.08</v>
      </c>
      <c r="V16" s="1">
        <v>0.97</v>
      </c>
      <c r="W16" s="1">
        <v>1.06</v>
      </c>
      <c r="X16">
        <v>1.08</v>
      </c>
      <c r="Y16">
        <v>0.99</v>
      </c>
      <c r="Z16">
        <v>1.04</v>
      </c>
      <c r="AA16">
        <v>0.5</v>
      </c>
      <c r="AB16">
        <v>-0.28000000000000003</v>
      </c>
    </row>
    <row r="17" spans="1:29">
      <c r="A17" t="s">
        <v>1233</v>
      </c>
      <c r="B17" s="1">
        <v>6.81</v>
      </c>
      <c r="C17" s="1">
        <v>7.87</v>
      </c>
      <c r="D17" s="1">
        <v>6.24</v>
      </c>
      <c r="E17" s="1">
        <v>5.87</v>
      </c>
      <c r="F17" s="1">
        <v>5.88</v>
      </c>
      <c r="G17" s="1">
        <v>4.5199999999999996</v>
      </c>
      <c r="H17" s="1">
        <v>4.24</v>
      </c>
      <c r="I17" s="1">
        <v>4.72</v>
      </c>
      <c r="J17" s="1">
        <v>3.48</v>
      </c>
      <c r="K17" s="1">
        <v>2.1</v>
      </c>
      <c r="L17" s="1">
        <v>1.05</v>
      </c>
      <c r="M17" s="1">
        <v>1.87</v>
      </c>
      <c r="N17" s="1">
        <v>1.95</v>
      </c>
      <c r="O17" s="1">
        <v>2.19</v>
      </c>
      <c r="P17" s="1">
        <v>1.82</v>
      </c>
      <c r="Q17" s="1">
        <v>1.44</v>
      </c>
      <c r="R17" s="1">
        <v>1.65</v>
      </c>
      <c r="S17" s="1">
        <v>1.99</v>
      </c>
      <c r="T17" s="1">
        <v>0.85</v>
      </c>
      <c r="U17" s="1">
        <v>1.08</v>
      </c>
      <c r="V17" s="1">
        <v>0.97</v>
      </c>
      <c r="W17" s="1">
        <v>1.06</v>
      </c>
      <c r="X17">
        <v>1.08</v>
      </c>
      <c r="Y17">
        <v>0.98</v>
      </c>
      <c r="Z17">
        <v>1.04</v>
      </c>
      <c r="AA17">
        <v>0.5</v>
      </c>
      <c r="AB17">
        <v>-0.28000000000000003</v>
      </c>
    </row>
    <row r="18" spans="1:29">
      <c r="A18" t="s">
        <v>1234</v>
      </c>
      <c r="B18" s="1">
        <v>308113</v>
      </c>
      <c r="C18" s="1">
        <v>309627</v>
      </c>
      <c r="D18" s="1">
        <v>311517</v>
      </c>
      <c r="E18" s="1">
        <v>312691</v>
      </c>
      <c r="F18" s="1">
        <v>310103</v>
      </c>
      <c r="G18" s="1">
        <v>310731</v>
      </c>
      <c r="H18" s="1">
        <v>310255</v>
      </c>
      <c r="I18" s="1">
        <v>303137</v>
      </c>
      <c r="J18" s="1">
        <v>293504</v>
      </c>
      <c r="K18" s="1">
        <v>291076</v>
      </c>
      <c r="L18" s="1">
        <v>267055</v>
      </c>
      <c r="M18" s="1">
        <v>225333</v>
      </c>
      <c r="N18" s="1">
        <v>222533</v>
      </c>
      <c r="O18" s="1">
        <v>220975</v>
      </c>
      <c r="P18" s="1">
        <v>220821</v>
      </c>
      <c r="Q18" s="1">
        <v>207343</v>
      </c>
      <c r="R18" s="1">
        <v>190047</v>
      </c>
      <c r="S18" s="1">
        <v>180094</v>
      </c>
      <c r="T18" s="1">
        <v>171848</v>
      </c>
      <c r="U18" s="1">
        <v>172711</v>
      </c>
      <c r="V18" s="1">
        <v>172489</v>
      </c>
      <c r="W18" s="1">
        <v>126036</v>
      </c>
      <c r="X18" s="1">
        <v>158824</v>
      </c>
      <c r="Y18" s="1">
        <v>119697</v>
      </c>
      <c r="Z18" s="1">
        <v>59747</v>
      </c>
      <c r="AA18" s="1">
        <v>46364</v>
      </c>
      <c r="AB18" s="1">
        <v>40508</v>
      </c>
    </row>
    <row r="19" spans="1:29">
      <c r="A19" t="s">
        <v>1235</v>
      </c>
      <c r="B19" s="1">
        <v>308113</v>
      </c>
      <c r="C19" s="1">
        <v>309627</v>
      </c>
      <c r="D19" s="1">
        <v>311517</v>
      </c>
      <c r="E19" s="1">
        <v>312691</v>
      </c>
      <c r="F19" s="1">
        <v>310103</v>
      </c>
      <c r="G19" s="1">
        <v>310731</v>
      </c>
      <c r="H19" s="1">
        <v>310255</v>
      </c>
      <c r="I19" s="1">
        <v>303138</v>
      </c>
      <c r="J19" s="1">
        <v>293573</v>
      </c>
      <c r="K19" s="1">
        <v>291350</v>
      </c>
      <c r="L19" s="1">
        <v>268472</v>
      </c>
      <c r="M19" s="1">
        <v>225884</v>
      </c>
      <c r="N19" s="1">
        <v>223674</v>
      </c>
      <c r="O19" s="1">
        <v>221984</v>
      </c>
      <c r="P19" s="1">
        <v>220821</v>
      </c>
      <c r="Q19" s="1">
        <v>208783</v>
      </c>
      <c r="R19" s="1">
        <v>190047</v>
      </c>
      <c r="S19" s="1">
        <v>180094</v>
      </c>
      <c r="T19" s="1">
        <v>173869</v>
      </c>
      <c r="U19" s="1">
        <v>172711</v>
      </c>
      <c r="V19" s="1">
        <v>172489</v>
      </c>
      <c r="W19" s="1">
        <v>126036</v>
      </c>
      <c r="X19" s="1">
        <v>158824</v>
      </c>
      <c r="Y19" s="1">
        <v>120918</v>
      </c>
      <c r="Z19" s="1">
        <v>59747</v>
      </c>
      <c r="AA19" s="1">
        <v>46364</v>
      </c>
      <c r="AB19" s="1">
        <v>40508</v>
      </c>
    </row>
    <row r="20" spans="1:29">
      <c r="A20" t="s">
        <v>757</v>
      </c>
      <c r="B20" s="1">
        <v>4636767</v>
      </c>
      <c r="C20" s="1">
        <v>5024940</v>
      </c>
      <c r="D20" s="1">
        <v>4434990</v>
      </c>
      <c r="E20" s="1">
        <v>4349884</v>
      </c>
      <c r="F20" s="1">
        <v>4322456</v>
      </c>
      <c r="G20" s="1">
        <v>3928635</v>
      </c>
      <c r="H20" s="1">
        <v>4061413</v>
      </c>
      <c r="I20" s="1">
        <v>4163841</v>
      </c>
      <c r="J20" s="1">
        <v>3345447</v>
      </c>
      <c r="K20" s="1">
        <v>2477330</v>
      </c>
      <c r="L20" s="1">
        <v>2383597</v>
      </c>
      <c r="M20" s="1">
        <v>2383854</v>
      </c>
      <c r="N20" s="1">
        <v>2495762</v>
      </c>
      <c r="O20" s="1">
        <v>2176431</v>
      </c>
      <c r="P20" s="1">
        <v>2055334</v>
      </c>
      <c r="Q20" s="1">
        <v>1676180</v>
      </c>
      <c r="R20" s="1">
        <v>1503926</v>
      </c>
      <c r="S20" s="1">
        <v>1430044</v>
      </c>
      <c r="T20" s="1">
        <v>1298310</v>
      </c>
      <c r="U20" s="1">
        <v>1331040</v>
      </c>
      <c r="V20" s="1">
        <v>1248249</v>
      </c>
      <c r="W20" s="1">
        <v>921024</v>
      </c>
      <c r="X20" s="1">
        <v>1826100</v>
      </c>
      <c r="Y20" s="1">
        <v>1292400</v>
      </c>
      <c r="Z20" s="1">
        <v>947300</v>
      </c>
      <c r="AA20" s="1">
        <v>803700</v>
      </c>
      <c r="AB20" s="1">
        <v>636500</v>
      </c>
    </row>
    <row r="21" spans="1:29">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row>
    <row r="23" spans="1:29">
      <c r="B23" s="1"/>
      <c r="C23" s="1"/>
      <c r="D23" s="1"/>
      <c r="E23" s="1"/>
      <c r="F23" s="1"/>
      <c r="G23" s="1"/>
      <c r="H23" s="1"/>
      <c r="I23" s="1"/>
      <c r="J23" s="1"/>
      <c r="K23" s="1"/>
      <c r="L23" s="1"/>
      <c r="M23" s="1"/>
      <c r="N23" s="1"/>
      <c r="O23" s="1"/>
      <c r="P23" s="1"/>
      <c r="Q23" s="1"/>
      <c r="R23" s="1"/>
      <c r="S23" s="1"/>
      <c r="T23" s="1"/>
      <c r="U23" s="1"/>
      <c r="V23" s="1"/>
      <c r="W23" s="1"/>
      <c r="X23" s="1"/>
    </row>
    <row r="24" spans="1:29">
      <c r="B24" s="1"/>
      <c r="C24" s="1"/>
      <c r="D24" s="1"/>
      <c r="E24" s="1"/>
      <c r="F24" s="1"/>
      <c r="G24" s="1"/>
      <c r="H24" s="1"/>
      <c r="I24" s="1"/>
      <c r="J24" s="1"/>
      <c r="K24" s="1"/>
      <c r="L24" s="1"/>
      <c r="M24" s="1"/>
      <c r="N24" s="1"/>
      <c r="O24" s="1"/>
      <c r="P24" s="1"/>
      <c r="Q24" s="1"/>
      <c r="R24" s="1"/>
      <c r="S24" s="1"/>
      <c r="T24" s="1"/>
      <c r="U24" s="1"/>
      <c r="V24" s="1"/>
      <c r="W24" s="1"/>
      <c r="X24" s="1"/>
    </row>
    <row r="25" spans="1:29">
      <c r="B25" s="1"/>
      <c r="C25" s="1"/>
      <c r="D25" s="1"/>
      <c r="E25" s="1"/>
      <c r="F25" s="1"/>
      <c r="G25" s="1"/>
      <c r="H25" s="1"/>
      <c r="I25" s="1"/>
      <c r="J25" s="1"/>
      <c r="K25" s="1"/>
      <c r="L25" s="1"/>
      <c r="M25" s="1"/>
      <c r="N25" s="1"/>
      <c r="O25" s="1"/>
      <c r="P25" s="1"/>
      <c r="Q25" s="1"/>
      <c r="R25" s="1"/>
      <c r="S25" s="1"/>
      <c r="T25" s="1"/>
      <c r="U25" s="1"/>
      <c r="W25" s="1"/>
      <c r="X25" s="1"/>
    </row>
    <row r="26" spans="1:29">
      <c r="B26" s="1"/>
      <c r="C26" s="1"/>
      <c r="D26" s="1"/>
      <c r="E26" s="1"/>
      <c r="F26" s="1"/>
      <c r="G26" s="1"/>
      <c r="H26" s="1"/>
      <c r="I26" s="1"/>
      <c r="J26" s="1"/>
      <c r="K26" s="1"/>
      <c r="L26" s="1"/>
      <c r="M26" s="1"/>
      <c r="N26" s="1"/>
      <c r="O26" s="1"/>
      <c r="P26" s="1"/>
      <c r="Q26" s="1"/>
      <c r="R26" s="1"/>
      <c r="S26" s="1"/>
      <c r="T26" s="1"/>
      <c r="U26" s="1"/>
      <c r="V26" s="1"/>
      <c r="W26" s="1"/>
      <c r="X26" s="1"/>
    </row>
    <row r="27" spans="1:29">
      <c r="B27" s="1"/>
      <c r="C27" s="1"/>
      <c r="D27" s="1"/>
      <c r="E27" s="1"/>
      <c r="F27" s="1"/>
      <c r="G27" s="1"/>
      <c r="H27" s="1"/>
      <c r="I27" s="1"/>
      <c r="J27" s="1"/>
      <c r="K27" s="1"/>
      <c r="L27" s="1"/>
      <c r="M27" s="1"/>
      <c r="N27" s="1"/>
      <c r="O27" s="1"/>
      <c r="P27" s="1"/>
      <c r="Q27" s="1"/>
      <c r="R27" s="1"/>
      <c r="S27" s="1"/>
      <c r="T27" s="1"/>
      <c r="U27" s="1"/>
      <c r="V27" s="1"/>
      <c r="W27" s="1"/>
      <c r="X27" s="1"/>
    </row>
    <row r="28" spans="1:29" ht="14.5" thickBot="1">
      <c r="A28" s="27"/>
      <c r="B28" s="1"/>
      <c r="C28" s="25"/>
      <c r="D28" s="1"/>
      <c r="E28" s="1"/>
      <c r="F28" s="1"/>
      <c r="G28" s="1"/>
      <c r="H28" s="1"/>
      <c r="I28" s="1"/>
      <c r="J28" s="1"/>
      <c r="K28" s="1"/>
      <c r="L28" s="1"/>
      <c r="M28" s="1"/>
      <c r="N28" s="1"/>
      <c r="O28" s="1"/>
      <c r="P28" s="1"/>
      <c r="Q28" s="1"/>
      <c r="R28" s="1"/>
      <c r="S28" s="1"/>
      <c r="T28" s="1"/>
      <c r="U28" s="1"/>
      <c r="V28" s="1"/>
      <c r="W28" s="1"/>
      <c r="X28" s="1"/>
    </row>
    <row r="29" spans="1:29" ht="14.5" thickBot="1">
      <c r="A29" s="27"/>
      <c r="B29" s="1"/>
      <c r="C29" s="25"/>
      <c r="D29" s="1"/>
      <c r="E29" s="1"/>
      <c r="F29" s="1"/>
      <c r="G29" s="1"/>
      <c r="H29" s="1"/>
      <c r="I29" s="1"/>
      <c r="J29" s="1"/>
      <c r="K29" s="1"/>
      <c r="L29" s="1"/>
      <c r="M29" s="1"/>
      <c r="N29" s="1"/>
      <c r="O29" s="1"/>
      <c r="P29" s="1"/>
      <c r="Q29" s="1"/>
      <c r="R29" s="1"/>
      <c r="S29" s="1"/>
      <c r="T29" s="1"/>
      <c r="U29" s="1"/>
      <c r="V29" s="1"/>
      <c r="W29" s="1"/>
      <c r="X29" s="1"/>
    </row>
    <row r="30" spans="1:29" ht="14.5" thickBot="1">
      <c r="A30" s="27"/>
      <c r="B30" s="1"/>
      <c r="C30" s="25"/>
      <c r="D30" s="1"/>
      <c r="J30" s="1"/>
      <c r="K30" s="1"/>
      <c r="L30" s="1"/>
      <c r="M30" s="1"/>
      <c r="N30" s="1"/>
      <c r="O30" s="1"/>
      <c r="P30" s="1"/>
      <c r="Q30" s="1"/>
      <c r="R30" s="1"/>
      <c r="S30" s="1"/>
      <c r="T30" s="1"/>
      <c r="U30" s="1"/>
      <c r="V30" s="1"/>
      <c r="W30" s="1"/>
      <c r="X30" s="1"/>
    </row>
    <row r="31" spans="1:29" ht="14.5" thickBot="1">
      <c r="A31" s="27"/>
      <c r="B31" s="1"/>
      <c r="C31" s="25"/>
      <c r="D31" s="1"/>
      <c r="E31" s="1"/>
      <c r="F31" s="1"/>
      <c r="G31" s="1"/>
      <c r="H31" s="1"/>
      <c r="I31" s="1"/>
      <c r="J31" s="1"/>
      <c r="K31" s="1"/>
      <c r="L31" s="1"/>
      <c r="M31" s="1"/>
      <c r="N31" s="1"/>
      <c r="O31" s="1"/>
      <c r="P31" s="1"/>
      <c r="Q31" s="1"/>
      <c r="R31" s="1"/>
      <c r="S31" s="1"/>
      <c r="T31" s="1"/>
      <c r="U31" s="1"/>
      <c r="V31" s="1"/>
      <c r="W31" s="1"/>
      <c r="X31" s="1"/>
    </row>
    <row r="32" spans="1:29" ht="14.5" thickBot="1">
      <c r="A32" s="27"/>
      <c r="B32" s="1"/>
      <c r="C32" s="25"/>
      <c r="D32" s="1"/>
    </row>
    <row r="33" spans="1:7" ht="14.5" thickBot="1">
      <c r="A33" s="27"/>
      <c r="B33" s="1"/>
      <c r="C33" s="25"/>
      <c r="D33" s="1"/>
      <c r="E33" s="2"/>
      <c r="F33" s="2"/>
      <c r="G33" s="2"/>
    </row>
    <row r="34" spans="1:7" ht="14.5" thickBot="1">
      <c r="A34" s="27"/>
      <c r="B34" s="2"/>
      <c r="C34" s="25"/>
      <c r="D34" s="1"/>
    </row>
    <row r="35" spans="1:7" ht="14.5" thickBot="1">
      <c r="A35" s="27"/>
      <c r="B35" s="1"/>
      <c r="C35" s="25"/>
      <c r="D35" s="1"/>
    </row>
    <row r="36" spans="1:7" ht="14.5" thickBot="1">
      <c r="A36" s="27"/>
      <c r="B36" s="1"/>
      <c r="C36" s="25"/>
      <c r="D36" s="1"/>
    </row>
    <row r="37" spans="1:7" ht="14.5" thickBot="1">
      <c r="A37" s="27"/>
      <c r="B37" s="1"/>
      <c r="C37" s="25"/>
      <c r="D37" s="1"/>
    </row>
    <row r="38" spans="1:7" ht="14.5" thickBot="1">
      <c r="A38" s="27"/>
      <c r="B38" s="1"/>
      <c r="C38" s="25"/>
      <c r="D38" s="1"/>
    </row>
    <row r="39" spans="1:7" ht="14.5" thickBot="1">
      <c r="A39" s="27"/>
      <c r="B39" s="1"/>
      <c r="C39" s="25"/>
      <c r="D39" s="1"/>
    </row>
    <row r="40" spans="1:7" ht="14.5" thickBot="1">
      <c r="A40" s="27"/>
    </row>
    <row r="41" spans="1:7" ht="14.5" thickBot="1">
      <c r="A41" s="27"/>
    </row>
    <row r="42" spans="1:7" ht="14.5" thickBot="1">
      <c r="A42" s="27"/>
    </row>
    <row r="43" spans="1:7" ht="14.5" thickBot="1">
      <c r="A43" s="27"/>
    </row>
    <row r="44" spans="1:7" ht="14.5" thickBot="1">
      <c r="A44" s="27"/>
    </row>
    <row r="45" spans="1:7" ht="14.5" thickBot="1">
      <c r="A45" s="27"/>
    </row>
    <row r="46" spans="1:7" ht="14.5" thickBot="1">
      <c r="A46" s="27"/>
    </row>
    <row r="47" spans="1:7" ht="14.5" thickBot="1">
      <c r="A47" s="27"/>
    </row>
    <row r="48" spans="1:7" ht="14.5" thickBot="1">
      <c r="A48" s="27"/>
    </row>
    <row r="49" spans="1:1" ht="14.5" thickBot="1">
      <c r="A49" s="27"/>
    </row>
    <row r="50" spans="1:1" ht="14.5" thickBot="1">
      <c r="A50" s="27"/>
    </row>
    <row r="51" spans="1:1" ht="14.5" thickBot="1">
      <c r="A51" s="27"/>
    </row>
    <row r="52" spans="1:1" ht="14.5" thickBot="1">
      <c r="A52" s="27"/>
    </row>
    <row r="53" spans="1:1" ht="14.5" thickBot="1">
      <c r="A53" s="27"/>
    </row>
    <row r="54" spans="1:1" ht="14.5" thickBot="1">
      <c r="A54" s="27"/>
    </row>
  </sheetData>
  <sortState xmlns:xlrd2="http://schemas.microsoft.com/office/spreadsheetml/2017/richdata2" ref="A28:D54">
    <sortCondition descending="1" ref="D28"/>
  </sortState>
  <phoneticPr fontId="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D262C-5E9C-4696-8CD0-18A1F8BB981A}">
  <dimension ref="A1:AC58"/>
  <sheetViews>
    <sheetView zoomScale="150" zoomScaleNormal="150" workbookViewId="0">
      <selection activeCell="A10" sqref="A10"/>
    </sheetView>
  </sheetViews>
  <sheetFormatPr defaultColWidth="8.83203125" defaultRowHeight="14"/>
  <cols>
    <col min="1" max="1" width="43.58203125" customWidth="1"/>
    <col min="2" max="3" width="10.83203125" bestFit="1" customWidth="1"/>
    <col min="4" max="4" width="10.58203125" bestFit="1" customWidth="1"/>
    <col min="5" max="6" width="10.83203125" bestFit="1" customWidth="1"/>
    <col min="7" max="24" width="10.58203125" bestFit="1" customWidth="1"/>
    <col min="25" max="26" width="9.83203125" bestFit="1" customWidth="1"/>
    <col min="27" max="29" width="8.33203125" bestFit="1" customWidth="1"/>
  </cols>
  <sheetData>
    <row r="1" spans="1:29" s="21" customFormat="1">
      <c r="A1" s="21" t="s">
        <v>1213</v>
      </c>
      <c r="B1" s="21" t="s">
        <v>524</v>
      </c>
      <c r="C1" s="21" t="s">
        <v>523</v>
      </c>
      <c r="D1" s="21" t="s">
        <v>522</v>
      </c>
      <c r="E1" s="21" t="s">
        <v>521</v>
      </c>
      <c r="F1" s="21" t="s">
        <v>520</v>
      </c>
      <c r="G1" s="21" t="s">
        <v>519</v>
      </c>
      <c r="H1" s="21" t="s">
        <v>518</v>
      </c>
      <c r="I1" s="21" t="s">
        <v>517</v>
      </c>
      <c r="J1" s="21" t="s">
        <v>516</v>
      </c>
      <c r="K1" s="21" t="s">
        <v>515</v>
      </c>
      <c r="L1" s="21" t="s">
        <v>514</v>
      </c>
      <c r="M1" s="21" t="s">
        <v>513</v>
      </c>
      <c r="N1" s="21" t="s">
        <v>512</v>
      </c>
      <c r="O1" s="21" t="s">
        <v>511</v>
      </c>
      <c r="P1" s="21" t="s">
        <v>1214</v>
      </c>
      <c r="Q1" s="21" t="s">
        <v>1215</v>
      </c>
      <c r="R1" s="21" t="s">
        <v>1216</v>
      </c>
      <c r="S1" s="21" t="s">
        <v>1217</v>
      </c>
      <c r="T1" s="21" t="s">
        <v>1218</v>
      </c>
      <c r="U1" s="21" t="s">
        <v>1219</v>
      </c>
      <c r="V1" s="21" t="s">
        <v>1220</v>
      </c>
      <c r="W1" s="21" t="s">
        <v>1221</v>
      </c>
      <c r="X1" s="21" t="s">
        <v>1222</v>
      </c>
      <c r="Y1" s="21" t="s">
        <v>1236</v>
      </c>
      <c r="Z1" s="21" t="s">
        <v>1237</v>
      </c>
      <c r="AA1" s="21" t="s">
        <v>1238</v>
      </c>
      <c r="AB1" s="21" t="s">
        <v>1239</v>
      </c>
      <c r="AC1" s="21" t="s">
        <v>1240</v>
      </c>
    </row>
    <row r="2" spans="1:29">
      <c r="A2" t="s">
        <v>1241</v>
      </c>
      <c r="B2" s="1">
        <v>3711791</v>
      </c>
      <c r="C2" s="1">
        <v>3807831</v>
      </c>
      <c r="D2" s="1">
        <v>3750796</v>
      </c>
      <c r="E2" s="1">
        <v>3593788</v>
      </c>
      <c r="F2" s="1">
        <v>3372694</v>
      </c>
      <c r="G2" s="1">
        <v>3024685</v>
      </c>
      <c r="H2" s="1">
        <v>2730420</v>
      </c>
      <c r="I2" s="1">
        <v>2700996</v>
      </c>
      <c r="J2" s="1">
        <v>2513072</v>
      </c>
      <c r="K2" s="1">
        <v>2005887</v>
      </c>
      <c r="L2" s="1">
        <v>1755210</v>
      </c>
      <c r="M2" s="1">
        <v>1720520</v>
      </c>
      <c r="N2" s="1">
        <v>1606233</v>
      </c>
      <c r="O2" s="1">
        <v>1455745</v>
      </c>
      <c r="P2" s="1">
        <v>1273367</v>
      </c>
      <c r="Q2" s="1">
        <v>1172861</v>
      </c>
      <c r="R2" s="1">
        <v>1082858</v>
      </c>
      <c r="S2" s="1">
        <v>951967</v>
      </c>
      <c r="T2" s="1">
        <v>882990</v>
      </c>
      <c r="U2" s="1">
        <v>803813</v>
      </c>
      <c r="V2" s="1">
        <v>701516</v>
      </c>
      <c r="W2" s="1">
        <v>627056</v>
      </c>
      <c r="X2" s="1">
        <v>529415</v>
      </c>
      <c r="Y2" s="1">
        <v>370900</v>
      </c>
      <c r="Z2" s="1">
        <v>236500</v>
      </c>
      <c r="AA2" s="1">
        <v>194300</v>
      </c>
      <c r="AB2" s="1">
        <v>155200</v>
      </c>
      <c r="AC2" s="1">
        <v>7000</v>
      </c>
    </row>
    <row r="3" spans="1:29">
      <c r="A3" t="s">
        <v>74</v>
      </c>
      <c r="B3" s="1">
        <v>1990714</v>
      </c>
      <c r="C3" s="1">
        <v>2101584</v>
      </c>
      <c r="D3" s="1">
        <v>2440058</v>
      </c>
      <c r="E3" s="1">
        <v>1947962</v>
      </c>
      <c r="F3" s="1">
        <v>1838896</v>
      </c>
      <c r="G3" s="1">
        <v>1827720</v>
      </c>
      <c r="H3" s="1">
        <v>1408588</v>
      </c>
      <c r="I3" s="1">
        <v>1319641</v>
      </c>
      <c r="J3" s="1">
        <v>1434496</v>
      </c>
      <c r="K3" s="1">
        <v>1024799</v>
      </c>
      <c r="L3" s="1">
        <v>617038</v>
      </c>
      <c r="M3" s="1">
        <v>309407</v>
      </c>
      <c r="N3" s="1">
        <v>463636</v>
      </c>
      <c r="O3" s="1">
        <v>491239</v>
      </c>
      <c r="P3" s="1">
        <v>563840</v>
      </c>
      <c r="Q3" s="1">
        <v>475749</v>
      </c>
      <c r="R3" s="1">
        <v>342993</v>
      </c>
      <c r="S3" s="1">
        <v>368715</v>
      </c>
      <c r="T3" s="1">
        <v>422588</v>
      </c>
      <c r="U3" s="1">
        <v>199149</v>
      </c>
      <c r="V3" s="1">
        <v>223336</v>
      </c>
      <c r="W3" s="1">
        <v>204385</v>
      </c>
      <c r="X3" s="1">
        <v>167253</v>
      </c>
      <c r="Y3" s="1">
        <v>203200</v>
      </c>
      <c r="Z3" s="1">
        <v>131200</v>
      </c>
      <c r="AA3" s="1">
        <v>137200</v>
      </c>
      <c r="AB3" s="1">
        <v>45100</v>
      </c>
      <c r="AC3" s="1">
        <v>33100</v>
      </c>
    </row>
    <row r="4" spans="1:29">
      <c r="A4" t="s">
        <v>1242</v>
      </c>
      <c r="B4" s="1">
        <v>1394519</v>
      </c>
      <c r="C4" s="1">
        <v>1394172</v>
      </c>
      <c r="D4" s="1">
        <v>1349776</v>
      </c>
      <c r="E4" s="1">
        <v>1357351</v>
      </c>
      <c r="F4" s="1">
        <v>1327946</v>
      </c>
      <c r="G4" s="1">
        <v>1239214</v>
      </c>
      <c r="H4" s="1">
        <v>1285784</v>
      </c>
      <c r="I4" s="1">
        <v>1332950</v>
      </c>
      <c r="J4" s="1">
        <v>1301304</v>
      </c>
      <c r="K4" s="1">
        <v>1112438</v>
      </c>
      <c r="L4" s="1">
        <v>1016027</v>
      </c>
      <c r="M4" s="1">
        <v>1009490</v>
      </c>
      <c r="N4" s="1">
        <v>956827</v>
      </c>
      <c r="O4" s="1">
        <v>875284</v>
      </c>
      <c r="P4" s="1">
        <v>812718</v>
      </c>
      <c r="Q4" s="1">
        <v>806638</v>
      </c>
      <c r="R4" s="1">
        <v>611090</v>
      </c>
      <c r="S4" s="1">
        <v>518560</v>
      </c>
      <c r="T4" s="1">
        <v>491306</v>
      </c>
      <c r="U4" s="1">
        <v>464892</v>
      </c>
      <c r="V4" s="1">
        <v>430472</v>
      </c>
      <c r="W4" s="1">
        <v>394004</v>
      </c>
      <c r="X4" s="1">
        <v>278812</v>
      </c>
      <c r="Y4" s="1">
        <v>208500</v>
      </c>
      <c r="Z4" s="1">
        <v>143600</v>
      </c>
      <c r="AA4" s="1">
        <v>101300</v>
      </c>
      <c r="AB4" s="1">
        <v>83200</v>
      </c>
      <c r="AC4" s="1">
        <v>2100</v>
      </c>
    </row>
    <row r="5" spans="1:29">
      <c r="A5" t="s">
        <v>1243</v>
      </c>
      <c r="B5" s="1">
        <v>-58479</v>
      </c>
      <c r="C5" s="1">
        <v>-36395</v>
      </c>
      <c r="D5" s="1">
        <v>-8649</v>
      </c>
      <c r="E5" s="1">
        <v>-59184</v>
      </c>
      <c r="F5" s="1">
        <v>-105309</v>
      </c>
      <c r="G5" s="1">
        <v>-77217</v>
      </c>
      <c r="H5" s="1">
        <v>-101876</v>
      </c>
      <c r="I5" s="1">
        <v>-1560</v>
      </c>
      <c r="J5" s="1">
        <v>27099</v>
      </c>
      <c r="K5" s="1">
        <v>-137253</v>
      </c>
      <c r="L5" s="1">
        <v>-60794</v>
      </c>
      <c r="M5" s="1">
        <v>13165</v>
      </c>
      <c r="N5" s="1">
        <v>2863</v>
      </c>
      <c r="O5" s="1">
        <v>-10016</v>
      </c>
      <c r="P5" s="1">
        <v>-67155</v>
      </c>
      <c r="Q5" s="1">
        <v>-92623</v>
      </c>
      <c r="R5" s="1">
        <v>6063</v>
      </c>
      <c r="S5" s="1">
        <v>-17049</v>
      </c>
      <c r="T5" s="1">
        <v>-4224</v>
      </c>
      <c r="U5" s="1">
        <v>77142</v>
      </c>
      <c r="V5" s="1">
        <v>18744</v>
      </c>
      <c r="W5" s="1">
        <v>-11605</v>
      </c>
      <c r="X5" s="1">
        <v>37654</v>
      </c>
      <c r="Y5" s="1">
        <v>-92200</v>
      </c>
      <c r="Z5" s="1">
        <v>-66000</v>
      </c>
      <c r="AA5" s="1">
        <v>-13400</v>
      </c>
      <c r="AB5" s="1">
        <v>-29800</v>
      </c>
      <c r="AC5" s="1">
        <v>-7400</v>
      </c>
    </row>
    <row r="6" spans="1:29">
      <c r="A6" t="s">
        <v>323</v>
      </c>
      <c r="B6" s="1" t="s">
        <v>283</v>
      </c>
      <c r="C6" s="1" t="s">
        <v>283</v>
      </c>
      <c r="D6" s="1" t="s">
        <v>283</v>
      </c>
      <c r="E6" s="1" t="s">
        <v>283</v>
      </c>
      <c r="F6" s="1" t="s">
        <v>283</v>
      </c>
      <c r="G6" s="1" t="s">
        <v>283</v>
      </c>
      <c r="H6" s="1" t="s">
        <v>283</v>
      </c>
      <c r="I6" s="1" t="s">
        <v>283</v>
      </c>
      <c r="J6" s="1" t="s">
        <v>283</v>
      </c>
      <c r="K6" s="1" t="s">
        <v>283</v>
      </c>
      <c r="L6" s="1" t="s">
        <v>283</v>
      </c>
      <c r="M6" s="1" t="s">
        <v>283</v>
      </c>
      <c r="N6" t="s">
        <v>283</v>
      </c>
      <c r="O6" s="1">
        <v>-123769</v>
      </c>
      <c r="P6" s="1">
        <v>-136369</v>
      </c>
      <c r="Q6" s="1">
        <v>-1294</v>
      </c>
      <c r="R6" s="1">
        <v>-84178</v>
      </c>
      <c r="S6" s="1">
        <v>7881</v>
      </c>
      <c r="T6" s="1">
        <v>-1541</v>
      </c>
      <c r="U6" s="1">
        <v>-37564</v>
      </c>
      <c r="V6" s="1">
        <v>-3151</v>
      </c>
      <c r="W6" s="1">
        <v>-60100</v>
      </c>
      <c r="X6" s="1">
        <v>-20700</v>
      </c>
      <c r="Y6" s="1">
        <v>-82500</v>
      </c>
      <c r="Z6" s="1">
        <v>-19200</v>
      </c>
      <c r="AA6" s="1">
        <v>-8800</v>
      </c>
      <c r="AB6" s="1">
        <v>-2700</v>
      </c>
      <c r="AC6" s="1">
        <v>-22700</v>
      </c>
    </row>
    <row r="7" spans="1:29">
      <c r="A7" t="s">
        <v>820</v>
      </c>
      <c r="B7" s="1" t="s">
        <v>283</v>
      </c>
      <c r="C7" s="1" t="s">
        <v>283</v>
      </c>
      <c r="D7" s="1" t="s">
        <v>283</v>
      </c>
      <c r="E7" s="1" t="s">
        <v>283</v>
      </c>
      <c r="F7" s="1" t="s">
        <v>283</v>
      </c>
      <c r="G7" t="s">
        <v>283</v>
      </c>
      <c r="H7" s="1" t="s">
        <v>283</v>
      </c>
      <c r="I7" s="1" t="s">
        <v>283</v>
      </c>
      <c r="J7" s="1" t="s">
        <v>283</v>
      </c>
      <c r="K7" s="1">
        <v>-58959</v>
      </c>
      <c r="L7" s="1" t="s">
        <v>283</v>
      </c>
      <c r="M7" s="1">
        <v>3789</v>
      </c>
      <c r="N7" s="1">
        <v>39873</v>
      </c>
      <c r="O7" s="1">
        <v>113753</v>
      </c>
      <c r="P7" s="1">
        <v>69214</v>
      </c>
      <c r="Q7" s="1">
        <v>-91329</v>
      </c>
      <c r="R7" s="1">
        <v>90241</v>
      </c>
      <c r="S7" s="1">
        <v>-24930</v>
      </c>
      <c r="T7" s="1">
        <v>-2683</v>
      </c>
      <c r="U7" s="1">
        <v>110886</v>
      </c>
      <c r="V7" s="1">
        <v>25552</v>
      </c>
      <c r="W7" s="1">
        <v>48400</v>
      </c>
      <c r="X7" s="1">
        <v>76900</v>
      </c>
      <c r="Y7" s="1">
        <v>36400</v>
      </c>
      <c r="Z7" s="1">
        <v>-13800</v>
      </c>
      <c r="AA7" s="1">
        <v>2100</v>
      </c>
      <c r="AB7" s="1">
        <v>-12200</v>
      </c>
      <c r="AC7" s="1">
        <v>19000</v>
      </c>
    </row>
    <row r="8" spans="1:29">
      <c r="A8" t="s">
        <v>1244</v>
      </c>
      <c r="B8" s="1">
        <v>2839347</v>
      </c>
      <c r="C8" s="1">
        <v>2931820</v>
      </c>
      <c r="D8" s="1">
        <v>2968887</v>
      </c>
      <c r="E8" s="1">
        <v>2861688</v>
      </c>
      <c r="F8" s="1">
        <v>2574229</v>
      </c>
      <c r="G8" s="1">
        <v>2003761</v>
      </c>
      <c r="H8" s="1">
        <v>1933684</v>
      </c>
      <c r="I8" s="1">
        <v>1859787</v>
      </c>
      <c r="J8" s="1">
        <v>1710645</v>
      </c>
      <c r="K8" s="1">
        <v>1560392</v>
      </c>
      <c r="L8" s="1">
        <v>1498898</v>
      </c>
      <c r="M8" s="1">
        <v>1344245</v>
      </c>
      <c r="N8" s="1">
        <v>731947</v>
      </c>
      <c r="O8" s="1">
        <v>438273</v>
      </c>
      <c r="P8" s="1">
        <v>505657</v>
      </c>
      <c r="Q8" s="1">
        <v>446475</v>
      </c>
      <c r="R8" s="1">
        <v>533554</v>
      </c>
      <c r="S8" s="1">
        <v>598064</v>
      </c>
      <c r="T8" s="1">
        <v>669000</v>
      </c>
      <c r="U8" s="1">
        <v>238426</v>
      </c>
      <c r="V8" s="1">
        <v>-127599</v>
      </c>
      <c r="W8" s="1">
        <v>-721205</v>
      </c>
      <c r="X8" s="1">
        <v>-2108593</v>
      </c>
      <c r="Y8" s="1">
        <v>-914700</v>
      </c>
      <c r="Z8" s="1">
        <v>40700</v>
      </c>
      <c r="AA8" s="1">
        <v>96100</v>
      </c>
      <c r="AB8" s="1">
        <v>155200</v>
      </c>
      <c r="AC8" s="1">
        <v>7000</v>
      </c>
    </row>
    <row r="9" spans="1:29">
      <c r="A9" t="s">
        <v>1245</v>
      </c>
      <c r="B9" s="1">
        <v>-63864</v>
      </c>
      <c r="C9" s="1">
        <v>-67139</v>
      </c>
      <c r="D9" s="1">
        <v>-307152</v>
      </c>
      <c r="E9" s="1">
        <v>-30190</v>
      </c>
      <c r="F9" s="1">
        <v>-99719</v>
      </c>
      <c r="G9" s="1">
        <v>-304645</v>
      </c>
      <c r="H9" s="1">
        <v>-207430</v>
      </c>
      <c r="I9" s="1">
        <v>-155779</v>
      </c>
      <c r="J9" s="1">
        <v>-548028</v>
      </c>
      <c r="K9" s="1">
        <v>-246937</v>
      </c>
      <c r="L9" s="1">
        <v>-345523</v>
      </c>
      <c r="M9" s="1">
        <v>-24653</v>
      </c>
      <c r="N9" s="1">
        <v>112308</v>
      </c>
      <c r="O9" s="1">
        <v>44177</v>
      </c>
      <c r="P9" s="1">
        <v>-36036</v>
      </c>
      <c r="Q9" s="1">
        <v>129204</v>
      </c>
      <c r="R9" s="1">
        <v>122712</v>
      </c>
      <c r="S9" s="1">
        <v>81741</v>
      </c>
      <c r="T9" s="1">
        <v>-12373</v>
      </c>
      <c r="U9" s="1">
        <v>62874</v>
      </c>
      <c r="V9" s="1">
        <v>-101707</v>
      </c>
      <c r="W9" s="1">
        <v>14852</v>
      </c>
      <c r="X9" s="1">
        <v>-15705</v>
      </c>
      <c r="Y9" s="1">
        <v>51500</v>
      </c>
      <c r="Z9" s="1">
        <v>24200</v>
      </c>
      <c r="AA9" s="1">
        <v>4900</v>
      </c>
      <c r="AB9" s="1">
        <v>41400</v>
      </c>
      <c r="AC9" s="1">
        <v>5400</v>
      </c>
    </row>
    <row r="10" spans="1:29">
      <c r="A10" s="21" t="s">
        <v>1246</v>
      </c>
      <c r="B10" s="1">
        <v>3711791</v>
      </c>
      <c r="C10" s="1">
        <v>3807831</v>
      </c>
      <c r="D10" s="1">
        <v>3750796</v>
      </c>
      <c r="E10" s="1">
        <v>3593788</v>
      </c>
      <c r="F10" s="1">
        <v>3372694</v>
      </c>
      <c r="G10" s="1">
        <v>3024685</v>
      </c>
      <c r="H10" s="1">
        <v>2730420</v>
      </c>
      <c r="I10" s="1">
        <v>2700996</v>
      </c>
      <c r="J10" s="1">
        <v>2513072</v>
      </c>
      <c r="K10" s="1">
        <v>2005887</v>
      </c>
      <c r="L10" s="1">
        <v>1755210</v>
      </c>
      <c r="M10" s="1">
        <v>1720520</v>
      </c>
      <c r="N10" s="1">
        <v>1606233</v>
      </c>
      <c r="O10" s="1">
        <v>1455745</v>
      </c>
      <c r="P10" s="1">
        <v>1273367</v>
      </c>
      <c r="Q10" s="1">
        <v>1172861</v>
      </c>
      <c r="R10" s="1">
        <v>1082858</v>
      </c>
      <c r="S10" s="1">
        <v>951967</v>
      </c>
      <c r="T10" s="1">
        <v>882990</v>
      </c>
      <c r="U10" s="1">
        <v>803813</v>
      </c>
      <c r="V10" s="1">
        <v>701516</v>
      </c>
      <c r="W10" s="1">
        <v>627056</v>
      </c>
      <c r="X10" s="1">
        <v>529415</v>
      </c>
      <c r="Y10" s="1">
        <v>370900</v>
      </c>
      <c r="Z10" s="1">
        <v>236500</v>
      </c>
      <c r="AA10" s="1">
        <v>194300</v>
      </c>
      <c r="AB10" s="1">
        <v>155200</v>
      </c>
      <c r="AC10" s="1">
        <v>7000</v>
      </c>
    </row>
    <row r="11" spans="1:29">
      <c r="A11" t="s">
        <v>1247</v>
      </c>
      <c r="B11" s="1">
        <v>-1176825</v>
      </c>
      <c r="C11" s="1">
        <v>-1076707</v>
      </c>
      <c r="D11" s="1">
        <v>-236506</v>
      </c>
      <c r="E11" s="1">
        <v>-761467</v>
      </c>
      <c r="F11" s="1">
        <v>-969026</v>
      </c>
      <c r="G11" s="1">
        <v>-1462720</v>
      </c>
      <c r="H11" s="1">
        <v>-897266</v>
      </c>
      <c r="I11" s="1">
        <v>-948088</v>
      </c>
      <c r="J11" s="1">
        <v>-3580671</v>
      </c>
      <c r="K11" s="1">
        <v>-994042</v>
      </c>
      <c r="L11" s="1">
        <v>-1246695</v>
      </c>
      <c r="M11" s="1">
        <v>-418991</v>
      </c>
      <c r="N11" s="1">
        <v>-1020872</v>
      </c>
      <c r="O11" s="1">
        <v>-2036921</v>
      </c>
      <c r="P11" s="1">
        <v>-601851</v>
      </c>
      <c r="Q11" s="1">
        <v>-52434</v>
      </c>
      <c r="R11" s="1">
        <v>-2745697</v>
      </c>
      <c r="S11" s="1">
        <v>-761663</v>
      </c>
      <c r="T11" s="1">
        <v>-785730</v>
      </c>
      <c r="U11" s="1">
        <v>-279432</v>
      </c>
      <c r="V11" s="1">
        <v>-75941</v>
      </c>
      <c r="W11" s="1">
        <v>-612876</v>
      </c>
      <c r="X11" s="1">
        <v>-2102032</v>
      </c>
      <c r="Y11" s="1">
        <v>-1243800</v>
      </c>
      <c r="Z11" s="1">
        <v>-199700</v>
      </c>
      <c r="AA11" s="1">
        <v>-222700</v>
      </c>
      <c r="AB11" s="1">
        <v>-266800</v>
      </c>
      <c r="AC11" s="1">
        <v>-229400</v>
      </c>
    </row>
    <row r="12" spans="1:29">
      <c r="A12" t="s">
        <v>1248</v>
      </c>
      <c r="B12" s="1">
        <v>-872444</v>
      </c>
      <c r="C12" s="1">
        <v>-876011</v>
      </c>
      <c r="D12" s="1">
        <v>-781909</v>
      </c>
      <c r="E12" s="1">
        <v>-732100</v>
      </c>
      <c r="F12" s="1">
        <v>-798465</v>
      </c>
      <c r="G12" s="1">
        <v>-1020924</v>
      </c>
      <c r="H12" s="1">
        <v>-796736</v>
      </c>
      <c r="I12" s="1">
        <v>-841209</v>
      </c>
      <c r="J12" s="1">
        <v>-802427</v>
      </c>
      <c r="K12" s="1">
        <v>-445495</v>
      </c>
      <c r="L12" s="1">
        <v>-256312</v>
      </c>
      <c r="M12" s="1">
        <v>-376275</v>
      </c>
      <c r="N12" s="1">
        <v>-874286</v>
      </c>
      <c r="O12" s="1">
        <v>-1017472</v>
      </c>
      <c r="P12" s="1">
        <v>-767710</v>
      </c>
      <c r="Q12" s="1">
        <v>-726386</v>
      </c>
      <c r="R12" s="1">
        <v>-549304</v>
      </c>
      <c r="S12" s="1">
        <v>-353903</v>
      </c>
      <c r="T12" s="1">
        <v>-213990</v>
      </c>
      <c r="U12" s="1">
        <v>-565387</v>
      </c>
      <c r="V12" s="1">
        <v>-829115</v>
      </c>
      <c r="W12" s="1">
        <v>-1348261</v>
      </c>
      <c r="X12" s="1">
        <v>-2638008</v>
      </c>
      <c r="Y12" s="1">
        <v>-1285600</v>
      </c>
      <c r="Z12" s="1">
        <v>-195800</v>
      </c>
      <c r="AA12" s="1">
        <v>-98200</v>
      </c>
      <c r="AB12" t="s">
        <v>283</v>
      </c>
      <c r="AC12" t="s">
        <v>283</v>
      </c>
    </row>
    <row r="13" spans="1:29">
      <c r="A13" t="s">
        <v>1249</v>
      </c>
      <c r="B13" s="1">
        <v>-213953</v>
      </c>
      <c r="C13" s="1">
        <v>-76589</v>
      </c>
      <c r="D13" s="1">
        <v>-114457</v>
      </c>
      <c r="E13" s="1">
        <v>-421661</v>
      </c>
      <c r="F13" s="1">
        <v>-812136</v>
      </c>
      <c r="G13" s="1">
        <v>-1740809</v>
      </c>
      <c r="H13" s="1">
        <v>-325285</v>
      </c>
      <c r="I13" s="1">
        <v>-1009690</v>
      </c>
      <c r="J13" s="1">
        <v>-3937048</v>
      </c>
      <c r="K13" s="1">
        <v>-1259623</v>
      </c>
      <c r="L13" s="1">
        <v>-949261</v>
      </c>
      <c r="M13" s="1">
        <v>-107204</v>
      </c>
      <c r="N13" s="1">
        <v>-137509</v>
      </c>
      <c r="O13" s="1">
        <v>-263098</v>
      </c>
      <c r="P13" s="1">
        <v>-158394</v>
      </c>
      <c r="Q13" s="1">
        <v>-37505</v>
      </c>
      <c r="R13" s="1">
        <v>-2359056</v>
      </c>
      <c r="S13" s="1">
        <v>-814629</v>
      </c>
      <c r="T13" s="1">
        <v>-1129139</v>
      </c>
      <c r="U13" s="1">
        <v>-164295</v>
      </c>
      <c r="V13" s="1">
        <v>-1325</v>
      </c>
      <c r="W13" s="1">
        <v>-339065</v>
      </c>
      <c r="X13" s="1">
        <v>-1942724</v>
      </c>
      <c r="Y13" t="s">
        <v>283</v>
      </c>
      <c r="Z13" t="s">
        <v>283</v>
      </c>
      <c r="AA13" t="s">
        <v>283</v>
      </c>
      <c r="AB13" t="s">
        <v>283</v>
      </c>
      <c r="AC13" t="s">
        <v>283</v>
      </c>
    </row>
    <row r="14" spans="1:29">
      <c r="A14" t="s">
        <v>1250</v>
      </c>
      <c r="B14" s="1">
        <v>-391396</v>
      </c>
      <c r="C14" s="1">
        <v>-374231</v>
      </c>
      <c r="D14" s="1">
        <v>-21563</v>
      </c>
      <c r="E14" s="1">
        <v>-25000</v>
      </c>
      <c r="F14" s="1">
        <v>-38809</v>
      </c>
      <c r="G14" s="1">
        <v>-59523</v>
      </c>
      <c r="H14" s="1">
        <v>-391188</v>
      </c>
      <c r="I14" s="1">
        <v>-44117</v>
      </c>
      <c r="J14" s="1">
        <v>-184804</v>
      </c>
      <c r="K14" s="1">
        <v>-62822</v>
      </c>
      <c r="L14" s="1">
        <v>-672615</v>
      </c>
      <c r="M14" s="1">
        <v>-252984</v>
      </c>
      <c r="N14" s="1">
        <v>-353594</v>
      </c>
      <c r="O14" s="1">
        <v>-687327</v>
      </c>
      <c r="P14" s="1">
        <v>-157309</v>
      </c>
      <c r="Q14" s="1">
        <v>-76710</v>
      </c>
      <c r="R14" s="1">
        <v>-84876</v>
      </c>
      <c r="S14" s="1">
        <v>-81480</v>
      </c>
      <c r="T14" s="1">
        <v>-90113</v>
      </c>
      <c r="U14" s="1">
        <v>-147933</v>
      </c>
      <c r="V14" s="1">
        <v>-161580</v>
      </c>
      <c r="W14" s="1">
        <v>-83125</v>
      </c>
      <c r="X14" s="1">
        <v>-55523</v>
      </c>
      <c r="Y14" t="s">
        <v>283</v>
      </c>
      <c r="Z14" t="s">
        <v>283</v>
      </c>
      <c r="AA14" t="s">
        <v>283</v>
      </c>
      <c r="AB14" t="s">
        <v>283</v>
      </c>
      <c r="AC14" t="s">
        <v>283</v>
      </c>
    </row>
    <row r="15" spans="1:29">
      <c r="A15" t="s">
        <v>1251</v>
      </c>
      <c r="B15" s="1" t="s">
        <v>283</v>
      </c>
      <c r="C15" s="1">
        <v>0</v>
      </c>
      <c r="D15" s="1">
        <v>25000</v>
      </c>
      <c r="E15" s="1">
        <v>56268</v>
      </c>
      <c r="F15" s="1">
        <v>42600</v>
      </c>
      <c r="G15" s="1">
        <v>504012</v>
      </c>
      <c r="H15" s="1">
        <v>0</v>
      </c>
      <c r="I15" s="1">
        <v>47495</v>
      </c>
      <c r="J15" s="1">
        <v>415848</v>
      </c>
      <c r="K15" s="1">
        <v>241990</v>
      </c>
      <c r="L15" s="1">
        <v>375674</v>
      </c>
      <c r="M15" s="1">
        <v>82816</v>
      </c>
      <c r="N15" s="1">
        <v>35300</v>
      </c>
      <c r="O15" s="1" t="s">
        <v>283</v>
      </c>
      <c r="P15" s="1" t="s">
        <v>283</v>
      </c>
      <c r="Q15" s="1" t="s">
        <v>283</v>
      </c>
      <c r="R15" s="1" t="s">
        <v>283</v>
      </c>
      <c r="S15" s="1" t="s">
        <v>283</v>
      </c>
      <c r="T15" s="1" t="s">
        <v>283</v>
      </c>
      <c r="U15" s="1" t="s">
        <v>283</v>
      </c>
      <c r="V15" s="1">
        <v>49998</v>
      </c>
      <c r="W15" s="1" t="s">
        <v>283</v>
      </c>
      <c r="X15" s="1">
        <v>63209</v>
      </c>
      <c r="Y15">
        <v>600</v>
      </c>
      <c r="Z15" t="s">
        <v>283</v>
      </c>
      <c r="AA15" t="s">
        <v>283</v>
      </c>
      <c r="AB15" t="s">
        <v>283</v>
      </c>
      <c r="AC15" t="s">
        <v>283</v>
      </c>
    </row>
    <row r="16" spans="1:29">
      <c r="A16" t="s">
        <v>1252</v>
      </c>
      <c r="B16" s="1">
        <v>18745</v>
      </c>
      <c r="C16" s="1">
        <v>20079</v>
      </c>
      <c r="D16" s="1">
        <v>197683</v>
      </c>
      <c r="E16" s="1">
        <v>-51588</v>
      </c>
      <c r="F16" s="1">
        <v>44765</v>
      </c>
      <c r="G16" s="1">
        <v>33015</v>
      </c>
      <c r="H16" s="1">
        <v>120061</v>
      </c>
      <c r="I16" s="1">
        <v>174979</v>
      </c>
      <c r="J16" s="1">
        <v>614948</v>
      </c>
      <c r="K16" s="1" t="s">
        <v>283</v>
      </c>
      <c r="L16" s="1">
        <v>255819</v>
      </c>
      <c r="M16" s="1">
        <v>33106</v>
      </c>
      <c r="N16" s="1" t="s">
        <v>283</v>
      </c>
      <c r="O16" s="1">
        <v>-69024</v>
      </c>
      <c r="P16" s="1">
        <v>323168</v>
      </c>
      <c r="Q16" s="1">
        <v>750662</v>
      </c>
      <c r="R16" s="1">
        <v>-406732</v>
      </c>
      <c r="S16" s="1">
        <v>-145887</v>
      </c>
      <c r="T16" s="1">
        <v>202646</v>
      </c>
      <c r="U16" s="1">
        <v>309223</v>
      </c>
      <c r="V16" s="1">
        <v>503990</v>
      </c>
      <c r="W16" s="1">
        <v>935868</v>
      </c>
      <c r="X16" s="1">
        <v>2275457</v>
      </c>
      <c r="Y16" s="1">
        <v>41200</v>
      </c>
      <c r="Z16" s="1">
        <v>-3900</v>
      </c>
      <c r="AA16" s="1">
        <v>-124500</v>
      </c>
      <c r="AB16" s="1">
        <v>-266800</v>
      </c>
      <c r="AC16" s="1">
        <v>-229400</v>
      </c>
    </row>
    <row r="17" spans="1:29">
      <c r="A17" s="21" t="s">
        <v>1253</v>
      </c>
      <c r="B17" s="1">
        <v>-1176825</v>
      </c>
      <c r="C17" s="1">
        <v>-1076707</v>
      </c>
      <c r="D17" s="1">
        <v>-236506</v>
      </c>
      <c r="E17" s="1">
        <v>-761467</v>
      </c>
      <c r="F17" s="1">
        <v>-969026</v>
      </c>
      <c r="G17" s="1">
        <v>-1462720</v>
      </c>
      <c r="H17" s="1">
        <v>-897266</v>
      </c>
      <c r="I17" s="1">
        <v>-948088</v>
      </c>
      <c r="J17" s="1">
        <v>-3580671</v>
      </c>
      <c r="K17" s="1">
        <v>-994042</v>
      </c>
      <c r="L17" s="1">
        <v>-1246695</v>
      </c>
      <c r="M17" s="1">
        <v>-418991</v>
      </c>
      <c r="N17" s="1">
        <v>-1020872</v>
      </c>
      <c r="O17" s="1">
        <v>-2036921</v>
      </c>
      <c r="P17" s="1">
        <v>-601851</v>
      </c>
      <c r="Q17" s="1">
        <v>-52434</v>
      </c>
      <c r="R17" s="1">
        <v>-2745697</v>
      </c>
      <c r="S17" s="1">
        <v>-761663</v>
      </c>
      <c r="T17" s="1">
        <v>-785730</v>
      </c>
      <c r="U17" s="1">
        <v>-279432</v>
      </c>
      <c r="V17" s="1">
        <v>-75941</v>
      </c>
      <c r="W17" s="1">
        <v>-612876</v>
      </c>
      <c r="X17" s="1">
        <v>-2102032</v>
      </c>
      <c r="Y17" s="1">
        <v>-1243800</v>
      </c>
      <c r="Z17" s="1">
        <v>-199700</v>
      </c>
      <c r="AA17" s="1">
        <v>-222700</v>
      </c>
      <c r="AB17" s="1">
        <v>-266800</v>
      </c>
      <c r="AC17" s="1">
        <v>-229400</v>
      </c>
    </row>
    <row r="18" spans="1:29">
      <c r="A18" t="s">
        <v>1254</v>
      </c>
      <c r="B18" s="1">
        <v>753085</v>
      </c>
      <c r="C18" s="1">
        <v>-2576086</v>
      </c>
      <c r="D18" s="1">
        <v>-4482264</v>
      </c>
      <c r="E18" s="1">
        <v>-1910071</v>
      </c>
      <c r="F18" s="1">
        <v>-2544743</v>
      </c>
      <c r="G18" s="1">
        <v>-1473113</v>
      </c>
      <c r="H18" s="1">
        <v>-2937735</v>
      </c>
      <c r="I18" s="1">
        <v>-1220563</v>
      </c>
      <c r="J18" s="1">
        <v>1453467</v>
      </c>
      <c r="K18" s="1">
        <v>-1009913</v>
      </c>
      <c r="L18" s="1">
        <v>-3669515</v>
      </c>
      <c r="M18" s="1">
        <v>1882645</v>
      </c>
      <c r="N18" s="1">
        <v>-313799</v>
      </c>
      <c r="O18" s="1">
        <v>153798</v>
      </c>
      <c r="P18" s="1">
        <v>-79204</v>
      </c>
      <c r="Q18" s="1">
        <v>-1303463</v>
      </c>
      <c r="R18" s="1">
        <v>1647300</v>
      </c>
      <c r="S18" s="1">
        <v>-51810</v>
      </c>
      <c r="T18" s="1">
        <v>40109</v>
      </c>
      <c r="U18" s="1">
        <v>-487732</v>
      </c>
      <c r="V18" s="1">
        <v>-560096</v>
      </c>
      <c r="W18" s="1">
        <v>14257</v>
      </c>
      <c r="X18" s="1">
        <v>1592113</v>
      </c>
      <c r="Y18" s="1">
        <v>918300</v>
      </c>
      <c r="Z18" s="1">
        <v>-35100</v>
      </c>
      <c r="AA18" s="1">
        <v>-14100</v>
      </c>
      <c r="AB18" s="1">
        <v>106100</v>
      </c>
      <c r="AC18" s="1">
        <v>293600</v>
      </c>
    </row>
    <row r="19" spans="1:29">
      <c r="A19" t="s">
        <v>1255</v>
      </c>
      <c r="B19" s="1">
        <v>-12786007</v>
      </c>
      <c r="C19" s="1">
        <v>-12427699</v>
      </c>
      <c r="D19" s="1">
        <v>-9118685</v>
      </c>
      <c r="E19" s="1">
        <v>-10456671</v>
      </c>
      <c r="F19" s="1">
        <v>-14650168</v>
      </c>
      <c r="G19" s="1">
        <v>-9112020</v>
      </c>
      <c r="H19" s="1">
        <v>-5323186</v>
      </c>
      <c r="I19" s="1">
        <v>-2446191</v>
      </c>
      <c r="J19" s="1">
        <v>-4560562</v>
      </c>
      <c r="K19" s="1">
        <v>-1398697</v>
      </c>
      <c r="L19" s="1">
        <v>-6227814</v>
      </c>
      <c r="M19" s="1">
        <v>-2678639</v>
      </c>
      <c r="N19" s="1">
        <v>-3692136</v>
      </c>
      <c r="O19" s="1">
        <v>-4177763</v>
      </c>
      <c r="P19" s="1">
        <v>-4442332</v>
      </c>
      <c r="Q19" s="1">
        <v>-4197795</v>
      </c>
      <c r="R19" s="1">
        <v>-3221906</v>
      </c>
      <c r="S19" s="1">
        <v>-1926974</v>
      </c>
      <c r="T19" s="1">
        <v>-2103586</v>
      </c>
      <c r="U19" s="1">
        <v>-2347065</v>
      </c>
      <c r="V19" s="1">
        <v>-1426131</v>
      </c>
      <c r="W19" s="1">
        <v>-1593889</v>
      </c>
      <c r="X19" s="1">
        <v>-1867913</v>
      </c>
      <c r="Y19" s="1">
        <v>-2030800</v>
      </c>
      <c r="Z19" s="1">
        <v>-1267900</v>
      </c>
      <c r="AA19" s="1">
        <v>-531600</v>
      </c>
      <c r="AB19" s="1">
        <v>-283300</v>
      </c>
      <c r="AC19" s="1">
        <v>-588900</v>
      </c>
    </row>
    <row r="20" spans="1:29">
      <c r="A20" t="s">
        <v>1256</v>
      </c>
      <c r="B20" s="1" t="s">
        <v>283</v>
      </c>
      <c r="C20" s="1" t="s">
        <v>283</v>
      </c>
      <c r="D20" s="1" t="s">
        <v>283</v>
      </c>
      <c r="E20" s="1" t="s">
        <v>283</v>
      </c>
      <c r="F20" s="1" t="s">
        <v>283</v>
      </c>
      <c r="G20" s="1" t="s">
        <v>283</v>
      </c>
      <c r="H20" s="1">
        <v>277</v>
      </c>
      <c r="I20" s="1">
        <v>99</v>
      </c>
      <c r="J20" s="1">
        <v>1213840</v>
      </c>
      <c r="K20" s="1">
        <v>5313</v>
      </c>
      <c r="L20" s="1">
        <v>4166</v>
      </c>
      <c r="M20" s="1">
        <v>1642228</v>
      </c>
      <c r="N20" s="1">
        <v>11106</v>
      </c>
      <c r="O20" s="1">
        <v>156710</v>
      </c>
      <c r="P20" s="1">
        <v>217237</v>
      </c>
      <c r="Q20" s="1">
        <v>11321</v>
      </c>
      <c r="R20" s="1">
        <v>103306</v>
      </c>
      <c r="S20" s="1">
        <v>193679</v>
      </c>
      <c r="T20" s="1">
        <v>341445</v>
      </c>
      <c r="U20" s="1">
        <v>8003</v>
      </c>
      <c r="V20" t="s">
        <v>283</v>
      </c>
      <c r="W20" s="1">
        <v>2100</v>
      </c>
      <c r="X20" s="1">
        <v>92600</v>
      </c>
      <c r="Y20" s="1">
        <v>344400</v>
      </c>
      <c r="Z20" s="1">
        <v>201700</v>
      </c>
      <c r="AA20" s="1">
        <v>242400</v>
      </c>
      <c r="AB20" s="1">
        <v>106800</v>
      </c>
      <c r="AC20" t="s">
        <v>283</v>
      </c>
    </row>
    <row r="21" spans="1:29">
      <c r="A21" t="s">
        <v>1257</v>
      </c>
      <c r="B21" s="1">
        <v>-530546</v>
      </c>
      <c r="C21" s="1">
        <v>-369902</v>
      </c>
      <c r="D21" s="1">
        <v>-438854</v>
      </c>
      <c r="E21" s="1">
        <v>-410119</v>
      </c>
      <c r="F21" s="1">
        <v>-259894</v>
      </c>
      <c r="G21" s="1">
        <v>-509277</v>
      </c>
      <c r="H21" s="1">
        <v>-14435</v>
      </c>
      <c r="I21" s="1">
        <v>0</v>
      </c>
      <c r="J21" s="1">
        <v>-248000</v>
      </c>
      <c r="K21" s="1">
        <v>0</v>
      </c>
      <c r="L21" s="1">
        <v>-10994</v>
      </c>
      <c r="M21" s="1">
        <v>-87689</v>
      </c>
      <c r="N21" s="1">
        <v>-17854</v>
      </c>
      <c r="O21" s="1">
        <v>-684929</v>
      </c>
      <c r="P21" s="1">
        <v>-803266</v>
      </c>
      <c r="Q21" s="1">
        <v>-206316</v>
      </c>
      <c r="R21" s="1">
        <v>-162987</v>
      </c>
      <c r="S21" s="1">
        <v>-93954</v>
      </c>
      <c r="T21" t="s">
        <v>283</v>
      </c>
      <c r="U21" t="s">
        <v>283</v>
      </c>
      <c r="V21" s="1">
        <v>-50828</v>
      </c>
      <c r="W21" t="s">
        <v>283</v>
      </c>
      <c r="X21" t="s">
        <v>283</v>
      </c>
      <c r="Y21" t="s">
        <v>283</v>
      </c>
      <c r="Z21" t="s">
        <v>283</v>
      </c>
      <c r="AA21" t="s">
        <v>283</v>
      </c>
      <c r="AB21" t="s">
        <v>283</v>
      </c>
      <c r="AC21" t="s">
        <v>283</v>
      </c>
    </row>
    <row r="22" spans="1:29">
      <c r="A22" t="s">
        <v>1258</v>
      </c>
      <c r="B22" s="1">
        <v>-2962527</v>
      </c>
      <c r="C22" s="1">
        <v>-2949401</v>
      </c>
      <c r="D22" s="1">
        <v>-2821642</v>
      </c>
      <c r="E22" s="1">
        <v>-2571776</v>
      </c>
      <c r="F22" s="1">
        <v>-2355885</v>
      </c>
      <c r="G22" s="1">
        <v>-2196041</v>
      </c>
      <c r="H22" s="1">
        <v>-1877158</v>
      </c>
      <c r="I22" s="1">
        <v>-1690553</v>
      </c>
      <c r="J22" s="1">
        <v>-1485240</v>
      </c>
      <c r="K22" s="1">
        <v>-1032659</v>
      </c>
      <c r="L22" s="1">
        <v>-919443</v>
      </c>
      <c r="M22" s="1">
        <v>-216756</v>
      </c>
      <c r="N22" s="1">
        <v>-1075895</v>
      </c>
      <c r="O22" s="1">
        <v>-216403</v>
      </c>
      <c r="P22" s="1">
        <v>-204652</v>
      </c>
      <c r="Q22" s="1">
        <v>-194697</v>
      </c>
      <c r="R22" s="1">
        <v>-724478</v>
      </c>
      <c r="S22" s="1">
        <v>-655061</v>
      </c>
      <c r="T22" s="1">
        <v>-595874</v>
      </c>
      <c r="U22" s="1">
        <v>-563679</v>
      </c>
      <c r="V22" s="1">
        <v>-501902</v>
      </c>
      <c r="W22" s="1">
        <v>-515819</v>
      </c>
      <c r="X22" s="1">
        <v>-409348</v>
      </c>
      <c r="Y22" s="1">
        <v>-227900</v>
      </c>
      <c r="Z22" s="1">
        <v>-262500</v>
      </c>
      <c r="AA22" s="1">
        <v>-177700</v>
      </c>
      <c r="AB22" s="1">
        <v>-120700</v>
      </c>
      <c r="AC22" t="s">
        <v>283</v>
      </c>
    </row>
    <row r="23" spans="1:29">
      <c r="A23" t="s">
        <v>1259</v>
      </c>
      <c r="B23" s="1">
        <v>-144102</v>
      </c>
      <c r="C23" s="1">
        <v>-141385</v>
      </c>
      <c r="D23" s="1">
        <v>-76802</v>
      </c>
      <c r="E23" s="1">
        <v>-139531</v>
      </c>
      <c r="F23" s="1">
        <v>-145001</v>
      </c>
      <c r="G23" s="1">
        <v>-124442</v>
      </c>
      <c r="H23" s="1">
        <v>-353522</v>
      </c>
      <c r="I23" s="1">
        <v>-3282</v>
      </c>
      <c r="J23" s="1">
        <v>-239014</v>
      </c>
      <c r="K23" s="1">
        <v>-239073</v>
      </c>
      <c r="L23" s="1">
        <v>-374245</v>
      </c>
      <c r="M23" s="1">
        <v>2795</v>
      </c>
      <c r="N23" s="1">
        <v>4005</v>
      </c>
      <c r="O23" s="1">
        <v>-500900</v>
      </c>
      <c r="P23" s="1">
        <v>-353926</v>
      </c>
      <c r="Q23" s="1">
        <v>-690075</v>
      </c>
      <c r="R23" s="1">
        <v>-60951</v>
      </c>
      <c r="S23" s="1">
        <v>-105998</v>
      </c>
      <c r="T23" s="1">
        <v>-10561</v>
      </c>
      <c r="U23" s="1">
        <v>-39985</v>
      </c>
      <c r="V23" s="1">
        <v>-55762</v>
      </c>
      <c r="W23" s="1">
        <v>-46204</v>
      </c>
      <c r="X23" s="1">
        <v>-5540</v>
      </c>
      <c r="Y23" s="1">
        <v>-143600</v>
      </c>
      <c r="Z23" t="s">
        <v>283</v>
      </c>
      <c r="AA23" s="1">
        <v>-3700</v>
      </c>
      <c r="AB23" s="1">
        <v>-2100</v>
      </c>
      <c r="AC23" s="1">
        <v>623500</v>
      </c>
    </row>
    <row r="24" spans="1:29">
      <c r="A24" s="21" t="s">
        <v>1260</v>
      </c>
      <c r="B24" s="1">
        <v>753085</v>
      </c>
      <c r="C24" s="1">
        <v>-2576086</v>
      </c>
      <c r="D24" s="1">
        <v>-4482264</v>
      </c>
      <c r="E24" s="1">
        <v>-1910071</v>
      </c>
      <c r="F24" s="1">
        <v>-2544743</v>
      </c>
      <c r="G24" s="1">
        <v>-1473113</v>
      </c>
      <c r="H24" s="1">
        <v>-2937735</v>
      </c>
      <c r="I24" s="1">
        <v>-1220563</v>
      </c>
      <c r="J24" s="1">
        <v>1453467</v>
      </c>
      <c r="K24" s="1">
        <v>-1009913</v>
      </c>
      <c r="L24" s="1">
        <v>-3669515</v>
      </c>
      <c r="M24" s="1">
        <v>1882645</v>
      </c>
      <c r="N24" s="1">
        <v>-313799</v>
      </c>
      <c r="O24" s="1">
        <v>153798</v>
      </c>
      <c r="P24" s="1">
        <v>-79204</v>
      </c>
      <c r="Q24" s="1">
        <v>-1303463</v>
      </c>
      <c r="R24" s="1">
        <v>1647300</v>
      </c>
      <c r="S24" s="1">
        <v>-51810</v>
      </c>
      <c r="T24" s="1">
        <v>40109</v>
      </c>
      <c r="U24" s="1">
        <v>-487732</v>
      </c>
      <c r="V24" s="1">
        <v>-560096</v>
      </c>
      <c r="W24" s="1">
        <v>14257</v>
      </c>
      <c r="X24" s="1">
        <v>1592113</v>
      </c>
      <c r="Y24" s="1">
        <v>918300</v>
      </c>
      <c r="Z24" s="1">
        <v>-35100</v>
      </c>
      <c r="AA24" s="1">
        <v>-14100</v>
      </c>
      <c r="AB24" s="1">
        <v>106100</v>
      </c>
      <c r="AC24" s="1">
        <v>293600</v>
      </c>
    </row>
    <row r="25" spans="1:29">
      <c r="A25" t="s">
        <v>1261</v>
      </c>
      <c r="B25" s="1">
        <v>3288051</v>
      </c>
      <c r="C25" s="1">
        <v>155038</v>
      </c>
      <c r="D25" s="1">
        <v>-967974</v>
      </c>
      <c r="E25" s="1">
        <v>922250</v>
      </c>
      <c r="F25" s="1">
        <v>-141075</v>
      </c>
      <c r="G25" s="1">
        <v>88852</v>
      </c>
      <c r="H25" s="1">
        <v>-1104581</v>
      </c>
      <c r="I25" s="1">
        <v>532345</v>
      </c>
      <c r="J25" s="1">
        <v>385868</v>
      </c>
      <c r="K25" s="1">
        <v>1932</v>
      </c>
      <c r="L25" s="1">
        <v>-3161000</v>
      </c>
      <c r="M25" s="1">
        <v>3184174</v>
      </c>
      <c r="N25" s="1">
        <v>271562</v>
      </c>
      <c r="O25" s="1">
        <v>-427378</v>
      </c>
      <c r="P25" s="1">
        <v>592312</v>
      </c>
      <c r="Q25" s="1">
        <v>-183036</v>
      </c>
      <c r="R25" s="1">
        <v>-15539</v>
      </c>
      <c r="S25" s="1">
        <v>138494</v>
      </c>
      <c r="T25" s="1">
        <v>137369</v>
      </c>
      <c r="U25" s="1">
        <v>36649</v>
      </c>
      <c r="V25" s="1">
        <v>65479</v>
      </c>
      <c r="W25" s="1">
        <v>28437</v>
      </c>
      <c r="X25" s="1">
        <v>19496</v>
      </c>
      <c r="Y25" s="1">
        <v>45400</v>
      </c>
      <c r="Z25" s="1">
        <v>1600</v>
      </c>
      <c r="AA25" s="1">
        <v>-42400</v>
      </c>
      <c r="AB25" s="1">
        <v>-5500</v>
      </c>
      <c r="AC25" s="1">
        <v>71200</v>
      </c>
    </row>
    <row r="26" spans="1:29">
      <c r="A26" t="s">
        <v>1262</v>
      </c>
      <c r="B26" s="1">
        <v>436802</v>
      </c>
      <c r="C26" s="1">
        <v>514335</v>
      </c>
      <c r="D26" s="1">
        <v>1482309</v>
      </c>
      <c r="E26" s="1">
        <v>560059</v>
      </c>
      <c r="F26" s="1">
        <v>701134</v>
      </c>
      <c r="G26" s="1">
        <v>612282</v>
      </c>
      <c r="H26" s="1">
        <v>1716863</v>
      </c>
      <c r="I26" s="1">
        <v>1184518</v>
      </c>
      <c r="J26" s="1">
        <v>798650</v>
      </c>
      <c r="K26" s="1">
        <v>796718</v>
      </c>
      <c r="L26" s="1">
        <v>3957718</v>
      </c>
      <c r="M26" s="1">
        <v>773544</v>
      </c>
      <c r="N26" s="1">
        <v>501982</v>
      </c>
      <c r="O26" s="1">
        <v>929360</v>
      </c>
      <c r="P26" s="1">
        <v>337048</v>
      </c>
      <c r="Q26" s="1">
        <v>520084</v>
      </c>
      <c r="R26" s="1">
        <v>535623</v>
      </c>
      <c r="S26" s="1">
        <v>397129</v>
      </c>
      <c r="T26" s="1">
        <v>259760</v>
      </c>
      <c r="U26" s="1">
        <v>223111</v>
      </c>
      <c r="V26" s="1">
        <v>157632</v>
      </c>
      <c r="W26" s="1">
        <v>129195</v>
      </c>
      <c r="X26" s="1">
        <v>109699</v>
      </c>
      <c r="Y26" s="1">
        <v>64300</v>
      </c>
      <c r="Z26" s="1">
        <v>62700</v>
      </c>
      <c r="AA26" s="1">
        <v>105100</v>
      </c>
      <c r="AB26" s="1">
        <v>110600</v>
      </c>
      <c r="AC26" s="1">
        <v>39400</v>
      </c>
    </row>
    <row r="27" spans="1:29">
      <c r="A27" t="s">
        <v>1263</v>
      </c>
      <c r="B27" s="1">
        <v>3724853</v>
      </c>
      <c r="C27" s="1">
        <v>669373</v>
      </c>
      <c r="D27" s="1">
        <v>514335</v>
      </c>
      <c r="E27" s="1">
        <v>1482309</v>
      </c>
      <c r="F27" s="1">
        <v>560059</v>
      </c>
      <c r="G27" s="1">
        <v>701134</v>
      </c>
      <c r="H27" s="1">
        <v>612282</v>
      </c>
      <c r="I27" s="1">
        <v>1716863</v>
      </c>
      <c r="J27" s="1">
        <v>1184518</v>
      </c>
      <c r="K27" s="1">
        <v>798650</v>
      </c>
      <c r="L27" s="1">
        <v>796718</v>
      </c>
      <c r="M27" s="1">
        <v>3957718</v>
      </c>
      <c r="N27" s="1">
        <v>773544</v>
      </c>
      <c r="O27" s="1">
        <v>501982</v>
      </c>
      <c r="P27" s="1">
        <v>929360</v>
      </c>
      <c r="Q27" s="1">
        <v>337048</v>
      </c>
      <c r="R27" s="1">
        <v>520084</v>
      </c>
      <c r="S27" s="1">
        <v>535623</v>
      </c>
      <c r="T27" s="1">
        <v>397129</v>
      </c>
      <c r="U27" s="1">
        <v>259760</v>
      </c>
      <c r="V27" s="1">
        <v>223111</v>
      </c>
      <c r="W27" s="1">
        <v>157632</v>
      </c>
      <c r="X27" s="1">
        <v>129195</v>
      </c>
      <c r="Y27" t="s">
        <v>283</v>
      </c>
      <c r="Z27" t="s">
        <v>283</v>
      </c>
      <c r="AA27" t="s">
        <v>283</v>
      </c>
      <c r="AB27" t="s">
        <v>283</v>
      </c>
      <c r="AC27" t="s">
        <v>283</v>
      </c>
    </row>
    <row r="28" spans="1:29">
      <c r="A28" t="s">
        <v>1264</v>
      </c>
      <c r="B28" s="1">
        <v>2839347</v>
      </c>
      <c r="C28" s="1">
        <v>2931820</v>
      </c>
      <c r="D28" s="1">
        <v>2968887</v>
      </c>
      <c r="E28" s="1">
        <v>2861688</v>
      </c>
      <c r="F28" s="1">
        <v>2574229</v>
      </c>
      <c r="G28" s="1">
        <v>2003761</v>
      </c>
      <c r="H28" s="1">
        <v>1933684</v>
      </c>
      <c r="I28" s="1">
        <v>1859787</v>
      </c>
      <c r="J28" s="1">
        <v>1710645</v>
      </c>
      <c r="K28" s="1">
        <v>1560392</v>
      </c>
      <c r="L28" s="1">
        <v>1498898</v>
      </c>
      <c r="M28" s="1">
        <v>1344245</v>
      </c>
      <c r="N28" s="1">
        <v>731947</v>
      </c>
      <c r="O28" s="1">
        <v>438273</v>
      </c>
      <c r="P28" s="1">
        <v>505657</v>
      </c>
      <c r="Q28" s="1">
        <v>446475</v>
      </c>
      <c r="R28" s="1">
        <v>533554</v>
      </c>
      <c r="S28" s="1">
        <v>598064</v>
      </c>
      <c r="T28" s="1">
        <v>669000</v>
      </c>
      <c r="U28" s="1">
        <v>238426</v>
      </c>
      <c r="V28" s="1">
        <v>-127599</v>
      </c>
      <c r="W28" s="1">
        <v>-721205</v>
      </c>
      <c r="X28" s="1">
        <v>-2108593</v>
      </c>
      <c r="Y28" s="1">
        <v>-914700</v>
      </c>
      <c r="Z28" s="1">
        <v>40700</v>
      </c>
      <c r="AA28" s="1">
        <v>96100</v>
      </c>
      <c r="AB28" s="1">
        <v>155200</v>
      </c>
      <c r="AC28" s="1">
        <v>7000</v>
      </c>
    </row>
    <row r="29" spans="1:29">
      <c r="A29" t="s">
        <v>1265</v>
      </c>
      <c r="B29" s="1">
        <v>3711791</v>
      </c>
      <c r="C29" s="1">
        <v>3807831</v>
      </c>
      <c r="D29" s="1">
        <v>3750796</v>
      </c>
      <c r="E29" s="1">
        <v>3593788</v>
      </c>
      <c r="F29" s="1">
        <v>3372694</v>
      </c>
      <c r="G29" s="1">
        <v>3024685</v>
      </c>
      <c r="H29" s="1">
        <v>2730420</v>
      </c>
      <c r="I29" s="1">
        <v>2700996</v>
      </c>
      <c r="J29" s="1">
        <v>2513072</v>
      </c>
      <c r="K29" s="1">
        <v>2005887</v>
      </c>
      <c r="L29" s="1">
        <v>1755210</v>
      </c>
      <c r="M29" s="1">
        <v>1720520</v>
      </c>
      <c r="N29" s="1">
        <v>1606233</v>
      </c>
      <c r="O29" s="1">
        <v>1455745</v>
      </c>
      <c r="P29" s="1">
        <v>1273367</v>
      </c>
      <c r="Q29" s="1">
        <v>1172861</v>
      </c>
      <c r="R29" s="1">
        <v>1082858</v>
      </c>
      <c r="S29" s="1">
        <v>951967</v>
      </c>
      <c r="T29" s="1">
        <v>882990</v>
      </c>
      <c r="U29" s="1">
        <v>803813</v>
      </c>
      <c r="V29" s="1">
        <v>701516</v>
      </c>
      <c r="W29" s="1">
        <v>627056</v>
      </c>
      <c r="X29" s="1">
        <v>529415</v>
      </c>
      <c r="Y29" s="1">
        <v>370900</v>
      </c>
      <c r="Z29" s="1">
        <v>236500</v>
      </c>
      <c r="AA29" s="1">
        <v>194300</v>
      </c>
      <c r="AB29" s="1">
        <v>155200</v>
      </c>
      <c r="AC29" s="1">
        <v>7000</v>
      </c>
    </row>
    <row r="30" spans="1:29">
      <c r="A30" t="s">
        <v>101</v>
      </c>
      <c r="B30" s="1">
        <v>-872444</v>
      </c>
      <c r="C30" s="1">
        <v>-876011</v>
      </c>
      <c r="D30" s="1">
        <v>-781909</v>
      </c>
      <c r="E30" s="1">
        <v>-732100</v>
      </c>
      <c r="F30" s="1">
        <v>-798465</v>
      </c>
      <c r="G30" s="1">
        <v>-1020924</v>
      </c>
      <c r="H30" s="1">
        <v>-796736</v>
      </c>
      <c r="I30" s="1">
        <v>-841209</v>
      </c>
      <c r="J30" s="1">
        <v>-802427</v>
      </c>
      <c r="K30" s="1">
        <v>-445495</v>
      </c>
      <c r="L30" s="1">
        <v>-256312</v>
      </c>
      <c r="M30" s="1">
        <v>-376275</v>
      </c>
      <c r="N30" s="1">
        <v>-874286</v>
      </c>
      <c r="O30" s="1">
        <v>-1017472</v>
      </c>
      <c r="P30" s="1">
        <v>-767710</v>
      </c>
      <c r="Q30" s="1">
        <v>-726386</v>
      </c>
      <c r="R30" s="1">
        <v>-549304</v>
      </c>
      <c r="S30" s="1">
        <v>-353903</v>
      </c>
      <c r="T30" s="1">
        <v>-213990</v>
      </c>
      <c r="U30" s="1">
        <v>-565387</v>
      </c>
      <c r="V30" s="1">
        <v>-829115</v>
      </c>
      <c r="W30" s="1">
        <v>-1348261</v>
      </c>
      <c r="X30" s="1">
        <v>-2638008</v>
      </c>
      <c r="Y30" s="1">
        <v>-1285600</v>
      </c>
      <c r="Z30" s="1">
        <v>-195800</v>
      </c>
      <c r="AA30" s="1">
        <v>-98200</v>
      </c>
      <c r="AB30" t="s">
        <v>283</v>
      </c>
      <c r="AC30" t="s">
        <v>283</v>
      </c>
    </row>
    <row r="31" spans="1:29">
      <c r="A31" s="21" t="s">
        <v>1264</v>
      </c>
      <c r="B31" s="1">
        <v>2839347</v>
      </c>
      <c r="C31" s="1">
        <v>2931820</v>
      </c>
      <c r="D31" s="1">
        <v>2968887</v>
      </c>
      <c r="E31" s="1">
        <v>2861688</v>
      </c>
      <c r="F31" s="1">
        <v>2574229</v>
      </c>
      <c r="G31" s="1">
        <v>2003761</v>
      </c>
      <c r="H31" s="1">
        <v>1933684</v>
      </c>
      <c r="I31" s="1">
        <v>1859787</v>
      </c>
      <c r="J31" s="1">
        <v>1710645</v>
      </c>
      <c r="K31" s="1">
        <v>1560392</v>
      </c>
      <c r="L31" s="1">
        <v>1498898</v>
      </c>
      <c r="M31" s="1">
        <v>1344245</v>
      </c>
      <c r="N31" s="1">
        <v>731947</v>
      </c>
      <c r="O31" s="1">
        <v>438273</v>
      </c>
      <c r="P31" s="1">
        <v>505657</v>
      </c>
      <c r="Q31" s="1">
        <v>446475</v>
      </c>
      <c r="R31" s="1">
        <v>533554</v>
      </c>
      <c r="S31" s="1">
        <v>598064</v>
      </c>
      <c r="T31" s="1">
        <v>669000</v>
      </c>
      <c r="U31" s="1">
        <v>238426</v>
      </c>
      <c r="V31" s="1">
        <v>-127599</v>
      </c>
      <c r="W31" s="1">
        <v>-721205</v>
      </c>
      <c r="X31" s="1">
        <v>-2108593</v>
      </c>
      <c r="Y31" s="1">
        <v>-914700</v>
      </c>
      <c r="Z31" s="1">
        <v>40700</v>
      </c>
      <c r="AA31" s="1">
        <v>96100</v>
      </c>
      <c r="AB31" s="1">
        <v>155200</v>
      </c>
      <c r="AC31" s="1">
        <v>7000</v>
      </c>
    </row>
    <row r="32" spans="1:29">
      <c r="B32" s="1"/>
      <c r="C32" s="1"/>
      <c r="D32" s="1"/>
      <c r="E32" s="1"/>
      <c r="F32" s="1"/>
      <c r="G32" s="1"/>
      <c r="H32" s="1"/>
      <c r="I32" s="1"/>
      <c r="K32" s="1"/>
      <c r="L32" s="1"/>
      <c r="M32" s="1"/>
      <c r="Q32" s="1"/>
      <c r="R32" s="1"/>
      <c r="T32" s="1"/>
    </row>
    <row r="33" spans="2:24">
      <c r="B33" s="3"/>
      <c r="C33" s="3"/>
      <c r="D33" s="3"/>
      <c r="E33" s="3"/>
      <c r="F33" s="3"/>
      <c r="G33" s="3"/>
      <c r="H33" s="3"/>
      <c r="I33" s="3"/>
      <c r="J33" s="3"/>
      <c r="K33" s="3"/>
      <c r="L33" s="3"/>
      <c r="M33" s="3"/>
      <c r="N33" s="3"/>
      <c r="O33" s="3"/>
      <c r="P33" s="3"/>
      <c r="Q33" s="3"/>
      <c r="R33" s="3"/>
      <c r="S33" s="3"/>
      <c r="T33" s="3"/>
      <c r="U33" s="3"/>
      <c r="V33" s="3"/>
      <c r="W33" s="3"/>
      <c r="X33" s="3"/>
    </row>
    <row r="34" spans="2:24">
      <c r="B34" s="9"/>
      <c r="C34" s="9"/>
      <c r="D34" s="9"/>
      <c r="E34" s="9"/>
      <c r="F34" s="9"/>
      <c r="G34" s="9"/>
      <c r="H34" s="9"/>
      <c r="I34" s="9"/>
      <c r="J34" s="9"/>
      <c r="K34" s="9"/>
    </row>
    <row r="35" spans="2:24">
      <c r="C35" s="10"/>
      <c r="D35" s="10"/>
      <c r="E35" s="10"/>
      <c r="F35" s="10"/>
      <c r="G35" s="10"/>
      <c r="H35" s="10"/>
      <c r="I35" s="10"/>
      <c r="J35" s="10"/>
      <c r="K35" s="10"/>
      <c r="L35" s="10"/>
      <c r="M35" s="10"/>
    </row>
    <row r="36" spans="2:24">
      <c r="B36" s="3"/>
      <c r="C36" s="10"/>
    </row>
    <row r="37" spans="2:24">
      <c r="B37" s="3"/>
    </row>
    <row r="38" spans="2:24">
      <c r="B38" s="3"/>
      <c r="C38" s="10"/>
    </row>
    <row r="39" spans="2:24">
      <c r="B39" s="3"/>
    </row>
    <row r="40" spans="2:24">
      <c r="B40" s="3"/>
      <c r="C40" s="10"/>
    </row>
    <row r="41" spans="2:24">
      <c r="B41" s="3"/>
    </row>
    <row r="42" spans="2:24">
      <c r="B42" s="3"/>
      <c r="C42" s="10"/>
    </row>
    <row r="43" spans="2:24">
      <c r="B43" s="3"/>
    </row>
    <row r="44" spans="2:24">
      <c r="B44" s="3"/>
      <c r="C44" s="10"/>
    </row>
    <row r="45" spans="2:24">
      <c r="B45" s="3"/>
    </row>
    <row r="46" spans="2:24">
      <c r="B46" s="3"/>
      <c r="C46" s="10"/>
    </row>
    <row r="47" spans="2:24">
      <c r="B47" s="3"/>
    </row>
    <row r="48" spans="2:24">
      <c r="B48" s="3"/>
      <c r="C48" s="10"/>
    </row>
    <row r="49" spans="2:3">
      <c r="B49" s="3"/>
    </row>
    <row r="50" spans="2:3">
      <c r="B50" s="3"/>
      <c r="C50" s="10"/>
    </row>
    <row r="51" spans="2:3">
      <c r="B51" s="3"/>
    </row>
    <row r="52" spans="2:3">
      <c r="B52" s="3"/>
      <c r="C52" s="10"/>
    </row>
    <row r="53" spans="2:3">
      <c r="B53" s="3"/>
    </row>
    <row r="54" spans="2:3">
      <c r="B54" s="3"/>
      <c r="C54" s="10"/>
    </row>
    <row r="55" spans="2:3">
      <c r="B55" s="3"/>
    </row>
    <row r="56" spans="2:3">
      <c r="B56" s="3"/>
      <c r="C56" s="10"/>
    </row>
    <row r="57" spans="2:3">
      <c r="B57" s="3"/>
    </row>
    <row r="58" spans="2:3">
      <c r="B58" s="3"/>
    </row>
  </sheetData>
  <sortState xmlns:xlrd2="http://schemas.microsoft.com/office/spreadsheetml/2017/richdata2" ref="B36:C57">
    <sortCondition descending="1" ref="C36"/>
  </sortState>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E7E90-B165-42C9-99C8-81C0FE3F2670}">
  <dimension ref="A1:AB111"/>
  <sheetViews>
    <sheetView zoomScale="150" zoomScaleNormal="150" workbookViewId="0">
      <selection activeCell="D10" sqref="D10"/>
    </sheetView>
  </sheetViews>
  <sheetFormatPr defaultColWidth="8.83203125" defaultRowHeight="14"/>
  <cols>
    <col min="1" max="1" width="40" bestFit="1" customWidth="1"/>
    <col min="2" max="2" width="14.33203125" bestFit="1" customWidth="1"/>
    <col min="3" max="3" width="11.83203125" bestFit="1" customWidth="1"/>
    <col min="4" max="24" width="10.58203125" bestFit="1" customWidth="1"/>
  </cols>
  <sheetData>
    <row r="1" spans="1:28">
      <c r="A1" t="s">
        <v>1213</v>
      </c>
      <c r="B1" t="s">
        <v>524</v>
      </c>
      <c r="C1" t="s">
        <v>523</v>
      </c>
      <c r="D1" t="s">
        <v>522</v>
      </c>
      <c r="E1" t="s">
        <v>521</v>
      </c>
      <c r="F1" t="s">
        <v>520</v>
      </c>
      <c r="G1" t="s">
        <v>519</v>
      </c>
      <c r="H1" t="s">
        <v>518</v>
      </c>
      <c r="I1" t="s">
        <v>517</v>
      </c>
      <c r="J1" t="s">
        <v>516</v>
      </c>
      <c r="K1" t="s">
        <v>515</v>
      </c>
      <c r="L1" t="s">
        <v>514</v>
      </c>
      <c r="M1" t="s">
        <v>513</v>
      </c>
      <c r="N1" t="s">
        <v>512</v>
      </c>
      <c r="O1" t="s">
        <v>511</v>
      </c>
      <c r="P1" t="s">
        <v>1214</v>
      </c>
      <c r="Q1" t="s">
        <v>1215</v>
      </c>
      <c r="R1" t="s">
        <v>1216</v>
      </c>
      <c r="S1" t="s">
        <v>1217</v>
      </c>
      <c r="T1" t="s">
        <v>1218</v>
      </c>
      <c r="U1" t="s">
        <v>1219</v>
      </c>
      <c r="V1" t="s">
        <v>1220</v>
      </c>
      <c r="W1" t="s">
        <v>1221</v>
      </c>
      <c r="X1" t="s">
        <v>1222</v>
      </c>
    </row>
    <row r="2" spans="1:28">
      <c r="A2" t="s">
        <v>1266</v>
      </c>
      <c r="B2" s="1">
        <v>31231630</v>
      </c>
      <c r="C2" s="1">
        <v>30686223</v>
      </c>
      <c r="D2" s="1">
        <v>32257638</v>
      </c>
      <c r="E2" s="1">
        <v>31103578</v>
      </c>
      <c r="F2" s="1">
        <v>30650673</v>
      </c>
      <c r="G2" s="1">
        <v>29532330</v>
      </c>
      <c r="H2" s="1">
        <v>33324574</v>
      </c>
      <c r="I2" s="1">
        <v>32586606</v>
      </c>
      <c r="J2" s="1">
        <v>26216925</v>
      </c>
      <c r="K2" s="1">
        <v>24857429</v>
      </c>
      <c r="L2" s="1">
        <v>25948266</v>
      </c>
      <c r="M2" s="1">
        <v>23596672</v>
      </c>
      <c r="N2" s="1">
        <v>23605662</v>
      </c>
      <c r="O2" s="1">
        <v>22084455</v>
      </c>
      <c r="P2" s="1">
        <v>21131039</v>
      </c>
      <c r="Q2" s="1">
        <v>22070019</v>
      </c>
      <c r="R2" s="1">
        <v>15684721</v>
      </c>
      <c r="S2" s="1">
        <v>14904502</v>
      </c>
      <c r="T2" s="1">
        <v>13810954</v>
      </c>
      <c r="U2" s="1">
        <v>13937945</v>
      </c>
      <c r="V2" s="1">
        <v>14223243</v>
      </c>
      <c r="W2" s="1">
        <v>13277000</v>
      </c>
      <c r="X2" s="1">
        <v>7662700</v>
      </c>
      <c r="Y2" s="1">
        <v>5895900</v>
      </c>
      <c r="Z2" s="1">
        <v>2556400</v>
      </c>
      <c r="AA2" s="1">
        <v>2277200</v>
      </c>
      <c r="AB2" s="1">
        <v>1756700</v>
      </c>
    </row>
    <row r="3" spans="1:28">
      <c r="A3" t="s">
        <v>1267</v>
      </c>
      <c r="B3" s="1">
        <v>1994106</v>
      </c>
      <c r="C3" s="1">
        <v>1794613</v>
      </c>
      <c r="D3" s="1">
        <v>2809171</v>
      </c>
      <c r="E3" s="1">
        <v>1676135</v>
      </c>
      <c r="F3" s="1">
        <v>1711315</v>
      </c>
      <c r="G3" s="1">
        <v>1564796</v>
      </c>
      <c r="H3" s="1">
        <v>2795197</v>
      </c>
      <c r="I3" s="1">
        <v>2165396</v>
      </c>
      <c r="J3" s="1">
        <v>1936381</v>
      </c>
      <c r="K3" s="1">
        <v>1223454</v>
      </c>
      <c r="L3" s="1">
        <v>4992447</v>
      </c>
      <c r="M3" s="1">
        <v>1709100</v>
      </c>
      <c r="N3" s="1" t="s">
        <v>283</v>
      </c>
      <c r="O3" s="1" t="s">
        <v>283</v>
      </c>
      <c r="P3" s="1" t="s">
        <v>283</v>
      </c>
      <c r="Q3" s="1" t="s">
        <v>283</v>
      </c>
      <c r="R3" s="1" t="s">
        <v>283</v>
      </c>
      <c r="S3" s="1" t="s">
        <v>283</v>
      </c>
      <c r="T3" s="1" t="s">
        <v>283</v>
      </c>
      <c r="U3" s="1" t="s">
        <v>283</v>
      </c>
      <c r="V3" s="1" t="s">
        <v>283</v>
      </c>
      <c r="W3" s="1" t="s">
        <v>283</v>
      </c>
      <c r="X3" s="1" t="s">
        <v>283</v>
      </c>
      <c r="Y3" t="s">
        <v>283</v>
      </c>
      <c r="Z3" t="s">
        <v>283</v>
      </c>
      <c r="AA3" t="s">
        <v>283</v>
      </c>
      <c r="AB3" t="s">
        <v>283</v>
      </c>
    </row>
    <row r="4" spans="1:28">
      <c r="A4" t="s">
        <v>1268</v>
      </c>
      <c r="B4" s="1">
        <v>669373</v>
      </c>
      <c r="C4" s="1">
        <v>514335</v>
      </c>
      <c r="D4" s="1">
        <v>1482309</v>
      </c>
      <c r="E4" s="1">
        <v>560059</v>
      </c>
      <c r="F4" s="1">
        <v>701134</v>
      </c>
      <c r="G4" s="1">
        <v>612282</v>
      </c>
      <c r="H4" s="1">
        <v>1716863</v>
      </c>
      <c r="I4" s="1">
        <v>1184518</v>
      </c>
      <c r="J4" s="1">
        <v>798650</v>
      </c>
      <c r="K4" s="1">
        <v>796718</v>
      </c>
      <c r="L4" s="1">
        <v>3957718</v>
      </c>
      <c r="M4" s="1">
        <v>773544</v>
      </c>
      <c r="N4" s="1">
        <v>2388873</v>
      </c>
      <c r="O4" s="1">
        <v>2455595</v>
      </c>
      <c r="P4" s="1">
        <v>337048</v>
      </c>
      <c r="Q4" s="1">
        <v>520084</v>
      </c>
      <c r="R4" s="1">
        <v>535623</v>
      </c>
      <c r="S4" s="1">
        <v>397129</v>
      </c>
      <c r="T4" s="1">
        <v>259760</v>
      </c>
      <c r="U4" s="1">
        <v>223111</v>
      </c>
      <c r="V4" s="1">
        <v>157632</v>
      </c>
      <c r="W4" s="1">
        <v>129195</v>
      </c>
      <c r="X4" s="1" t="s">
        <v>283</v>
      </c>
      <c r="Y4" t="s">
        <v>283</v>
      </c>
      <c r="Z4" t="s">
        <v>283</v>
      </c>
      <c r="AA4" t="s">
        <v>283</v>
      </c>
      <c r="AB4" t="s">
        <v>283</v>
      </c>
    </row>
    <row r="5" spans="1:28">
      <c r="A5" t="s">
        <v>1269</v>
      </c>
      <c r="B5" s="1">
        <v>669373</v>
      </c>
      <c r="C5" s="1">
        <v>514335</v>
      </c>
      <c r="D5" s="1">
        <v>1482309</v>
      </c>
      <c r="E5" s="1">
        <v>560059</v>
      </c>
      <c r="F5" s="1">
        <v>701134</v>
      </c>
      <c r="G5" s="1">
        <v>612282</v>
      </c>
      <c r="H5" s="1">
        <v>1716863</v>
      </c>
      <c r="I5" s="1">
        <v>1184518</v>
      </c>
      <c r="J5" s="1">
        <v>798650</v>
      </c>
      <c r="K5" s="1">
        <v>796718</v>
      </c>
      <c r="L5" s="1">
        <v>3957718</v>
      </c>
      <c r="M5" s="1">
        <v>773544</v>
      </c>
      <c r="N5" s="1">
        <v>501982</v>
      </c>
      <c r="O5" s="1">
        <v>929360</v>
      </c>
      <c r="P5" s="1">
        <v>337048</v>
      </c>
      <c r="Q5" s="1">
        <v>520084</v>
      </c>
      <c r="R5" s="1">
        <v>535623</v>
      </c>
      <c r="S5" s="1">
        <v>397129</v>
      </c>
      <c r="T5" s="1">
        <v>259760</v>
      </c>
      <c r="U5" s="1">
        <v>223111</v>
      </c>
      <c r="V5" s="1">
        <v>157632</v>
      </c>
      <c r="W5" s="1">
        <v>129195</v>
      </c>
      <c r="X5" t="s">
        <v>283</v>
      </c>
      <c r="Y5" t="s">
        <v>283</v>
      </c>
      <c r="Z5" t="s">
        <v>283</v>
      </c>
      <c r="AA5" t="s">
        <v>283</v>
      </c>
      <c r="AB5" t="s">
        <v>283</v>
      </c>
    </row>
    <row r="6" spans="1:28">
      <c r="A6" t="s">
        <v>1270</v>
      </c>
      <c r="B6" t="s">
        <v>283</v>
      </c>
      <c r="C6" t="s">
        <v>283</v>
      </c>
      <c r="D6" t="s">
        <v>283</v>
      </c>
      <c r="E6" t="s">
        <v>283</v>
      </c>
      <c r="F6" t="s">
        <v>283</v>
      </c>
      <c r="G6" t="s">
        <v>283</v>
      </c>
      <c r="H6" t="s">
        <v>283</v>
      </c>
      <c r="I6" t="s">
        <v>283</v>
      </c>
      <c r="J6" s="1" t="s">
        <v>283</v>
      </c>
      <c r="K6" s="1" t="s">
        <v>283</v>
      </c>
      <c r="L6" s="1" t="s">
        <v>283</v>
      </c>
      <c r="M6" s="1" t="s">
        <v>283</v>
      </c>
      <c r="N6" s="1">
        <v>1886891</v>
      </c>
      <c r="O6" s="1">
        <v>1526235</v>
      </c>
      <c r="P6" t="s">
        <v>283</v>
      </c>
      <c r="Q6" t="s">
        <v>283</v>
      </c>
      <c r="R6" t="s">
        <v>283</v>
      </c>
      <c r="S6" t="s">
        <v>283</v>
      </c>
      <c r="T6" s="1" t="s">
        <v>283</v>
      </c>
      <c r="U6" s="1" t="s">
        <v>283</v>
      </c>
      <c r="V6" t="s">
        <v>283</v>
      </c>
      <c r="W6" t="s">
        <v>283</v>
      </c>
      <c r="X6" t="s">
        <v>283</v>
      </c>
      <c r="Y6" t="s">
        <v>283</v>
      </c>
      <c r="Z6" t="s">
        <v>283</v>
      </c>
      <c r="AA6" t="s">
        <v>283</v>
      </c>
      <c r="AB6" t="s">
        <v>283</v>
      </c>
    </row>
    <row r="7" spans="1:28">
      <c r="A7" t="s">
        <v>1271</v>
      </c>
      <c r="B7" s="1">
        <v>669373</v>
      </c>
      <c r="C7" s="1">
        <v>514335</v>
      </c>
      <c r="D7" s="1">
        <v>1482309</v>
      </c>
      <c r="E7" s="1">
        <v>560059</v>
      </c>
      <c r="F7" s="1">
        <v>701134</v>
      </c>
      <c r="G7" s="1">
        <v>612282</v>
      </c>
      <c r="H7" s="1">
        <v>1716863</v>
      </c>
      <c r="I7" s="1">
        <v>1184518</v>
      </c>
      <c r="J7" s="1">
        <v>798650</v>
      </c>
      <c r="K7" s="1">
        <v>796718</v>
      </c>
      <c r="L7" s="1">
        <v>3957718</v>
      </c>
      <c r="M7" s="1">
        <v>773544</v>
      </c>
      <c r="N7" s="1">
        <v>2388873</v>
      </c>
      <c r="O7" s="1">
        <v>2455595</v>
      </c>
      <c r="P7" s="1">
        <v>337048</v>
      </c>
      <c r="Q7" s="1">
        <v>520084</v>
      </c>
      <c r="R7" s="1">
        <v>535623</v>
      </c>
      <c r="S7" s="1">
        <v>397129</v>
      </c>
      <c r="T7" s="1">
        <v>259760</v>
      </c>
      <c r="U7" s="1">
        <v>223111</v>
      </c>
      <c r="V7" s="1">
        <v>157632</v>
      </c>
      <c r="W7" s="1">
        <v>129195</v>
      </c>
      <c r="X7" s="1" t="s">
        <v>283</v>
      </c>
      <c r="Y7" t="s">
        <v>283</v>
      </c>
      <c r="Z7" t="s">
        <v>283</v>
      </c>
      <c r="AA7" t="s">
        <v>283</v>
      </c>
      <c r="AB7" t="s">
        <v>283</v>
      </c>
    </row>
    <row r="8" spans="1:28">
      <c r="A8" t="s">
        <v>1272</v>
      </c>
      <c r="B8" s="1">
        <v>832151</v>
      </c>
      <c r="C8" s="1">
        <v>763815</v>
      </c>
      <c r="D8" s="1">
        <v>742672</v>
      </c>
      <c r="E8" s="1">
        <v>664619</v>
      </c>
      <c r="F8" s="1">
        <v>624605</v>
      </c>
      <c r="G8" s="1">
        <v>580197</v>
      </c>
      <c r="H8" s="1">
        <v>581482</v>
      </c>
      <c r="I8" s="1">
        <v>521301</v>
      </c>
      <c r="J8" s="1">
        <v>486731</v>
      </c>
      <c r="K8" s="1" t="s">
        <v>283</v>
      </c>
      <c r="L8" s="1">
        <v>402729</v>
      </c>
      <c r="M8" s="1">
        <v>414856</v>
      </c>
      <c r="N8" t="s">
        <v>283</v>
      </c>
      <c r="O8" t="s">
        <v>283</v>
      </c>
      <c r="P8" t="s">
        <v>283</v>
      </c>
      <c r="Q8" t="s">
        <v>283</v>
      </c>
      <c r="R8" t="s">
        <v>283</v>
      </c>
      <c r="S8" t="s">
        <v>283</v>
      </c>
      <c r="T8" t="s">
        <v>283</v>
      </c>
      <c r="U8" t="s">
        <v>283</v>
      </c>
      <c r="V8" t="s">
        <v>283</v>
      </c>
      <c r="W8" t="s">
        <v>283</v>
      </c>
      <c r="X8" t="s">
        <v>283</v>
      </c>
      <c r="Y8" t="s">
        <v>283</v>
      </c>
      <c r="Z8" t="s">
        <v>283</v>
      </c>
      <c r="AA8" t="s">
        <v>283</v>
      </c>
      <c r="AB8" t="s">
        <v>283</v>
      </c>
    </row>
    <row r="9" spans="1:28">
      <c r="A9" s="21" t="s">
        <v>1273</v>
      </c>
      <c r="B9" s="1">
        <v>1994106</v>
      </c>
      <c r="C9" s="1">
        <v>1794613</v>
      </c>
      <c r="D9" s="1">
        <v>2809171</v>
      </c>
      <c r="E9" s="1">
        <v>1676135</v>
      </c>
      <c r="F9" s="1">
        <v>1711315</v>
      </c>
      <c r="G9" s="1">
        <v>1564796</v>
      </c>
      <c r="H9" s="1">
        <v>2795197</v>
      </c>
      <c r="I9" s="1">
        <v>2165396</v>
      </c>
      <c r="J9" s="1">
        <v>1936381</v>
      </c>
      <c r="K9" s="1">
        <v>1223454</v>
      </c>
      <c r="L9" s="1">
        <v>4992447</v>
      </c>
      <c r="M9" s="1">
        <v>1709100</v>
      </c>
      <c r="N9" t="s">
        <v>283</v>
      </c>
      <c r="O9" t="s">
        <v>283</v>
      </c>
      <c r="P9" t="s">
        <v>283</v>
      </c>
      <c r="Q9" t="s">
        <v>283</v>
      </c>
      <c r="R9" t="s">
        <v>283</v>
      </c>
      <c r="S9" t="s">
        <v>283</v>
      </c>
      <c r="T9" t="s">
        <v>283</v>
      </c>
      <c r="U9" t="s">
        <v>283</v>
      </c>
      <c r="V9" t="s">
        <v>283</v>
      </c>
      <c r="W9" t="s">
        <v>283</v>
      </c>
      <c r="X9" t="s">
        <v>283</v>
      </c>
      <c r="Y9" t="s">
        <v>283</v>
      </c>
      <c r="Z9" t="s">
        <v>283</v>
      </c>
      <c r="AA9" t="s">
        <v>283</v>
      </c>
      <c r="AB9" t="s">
        <v>283</v>
      </c>
    </row>
    <row r="10" spans="1:28">
      <c r="A10" t="s">
        <v>1274</v>
      </c>
      <c r="B10" s="1">
        <v>29237524</v>
      </c>
      <c r="C10" s="1">
        <v>28891610</v>
      </c>
      <c r="D10" s="1">
        <v>29448467</v>
      </c>
      <c r="E10" s="1">
        <v>29427443</v>
      </c>
      <c r="F10" s="1">
        <v>28939358</v>
      </c>
      <c r="G10" s="1">
        <v>27967534</v>
      </c>
      <c r="H10" s="1">
        <v>30529377</v>
      </c>
      <c r="I10" s="1">
        <v>30421210</v>
      </c>
      <c r="J10" s="1">
        <v>24280544</v>
      </c>
      <c r="K10" s="1">
        <v>23633975</v>
      </c>
      <c r="L10" s="1">
        <v>20955819</v>
      </c>
      <c r="M10" s="1">
        <v>21887572</v>
      </c>
      <c r="N10" t="s">
        <v>283</v>
      </c>
      <c r="O10" t="s">
        <v>283</v>
      </c>
      <c r="P10" t="s">
        <v>283</v>
      </c>
      <c r="Q10" t="s">
        <v>283</v>
      </c>
      <c r="R10" t="s">
        <v>283</v>
      </c>
      <c r="S10" t="s">
        <v>283</v>
      </c>
      <c r="T10" t="s">
        <v>283</v>
      </c>
      <c r="U10" t="s">
        <v>283</v>
      </c>
      <c r="V10" t="s">
        <v>283</v>
      </c>
      <c r="W10" t="s">
        <v>283</v>
      </c>
      <c r="X10" t="s">
        <v>283</v>
      </c>
      <c r="Y10" t="s">
        <v>283</v>
      </c>
      <c r="Z10" t="s">
        <v>283</v>
      </c>
      <c r="AA10" t="s">
        <v>283</v>
      </c>
      <c r="AB10" t="s">
        <v>283</v>
      </c>
    </row>
    <row r="11" spans="1:28">
      <c r="A11" t="s">
        <v>1275</v>
      </c>
      <c r="B11" s="1">
        <v>514660</v>
      </c>
      <c r="C11" s="1" t="s">
        <v>283</v>
      </c>
      <c r="D11" t="s">
        <v>283</v>
      </c>
      <c r="E11" t="s">
        <v>283</v>
      </c>
      <c r="F11" t="s">
        <v>283</v>
      </c>
      <c r="G11" t="s">
        <v>283</v>
      </c>
      <c r="H11" t="s">
        <v>283</v>
      </c>
      <c r="I11" s="1" t="s">
        <v>283</v>
      </c>
      <c r="J11" s="1">
        <v>21268916</v>
      </c>
      <c r="K11" s="1">
        <v>19797431</v>
      </c>
      <c r="L11" s="1">
        <v>18331655</v>
      </c>
      <c r="M11" s="1">
        <v>19021430</v>
      </c>
      <c r="N11" s="1">
        <v>19102930</v>
      </c>
      <c r="O11" s="1">
        <v>18257833</v>
      </c>
      <c r="P11" s="1">
        <v>17936016</v>
      </c>
      <c r="Q11" s="1">
        <v>18091238</v>
      </c>
      <c r="R11" s="1">
        <v>12415245</v>
      </c>
      <c r="S11" s="1">
        <v>12027373</v>
      </c>
      <c r="T11" s="1">
        <v>11317221</v>
      </c>
      <c r="U11" s="1">
        <v>11564414</v>
      </c>
      <c r="V11" s="1">
        <v>11703171</v>
      </c>
      <c r="W11" s="1">
        <v>11127643</v>
      </c>
      <c r="X11" s="1">
        <v>6405600</v>
      </c>
      <c r="Y11" s="1">
        <v>5021900</v>
      </c>
      <c r="Z11" s="1">
        <v>2009300</v>
      </c>
      <c r="AA11" s="1">
        <v>1829100</v>
      </c>
      <c r="AB11" s="1">
        <v>1350400</v>
      </c>
    </row>
    <row r="12" spans="1:28">
      <c r="A12" t="s">
        <v>1276</v>
      </c>
      <c r="B12" s="1">
        <v>514660</v>
      </c>
      <c r="C12" t="s">
        <v>283</v>
      </c>
      <c r="D12" t="s">
        <v>283</v>
      </c>
      <c r="E12" t="s">
        <v>283</v>
      </c>
      <c r="F12" t="s">
        <v>283</v>
      </c>
      <c r="G12" t="s">
        <v>283</v>
      </c>
      <c r="H12" t="s">
        <v>283</v>
      </c>
      <c r="I12" s="1" t="s">
        <v>283</v>
      </c>
      <c r="J12" s="1">
        <v>29657046</v>
      </c>
      <c r="K12" s="1">
        <v>27508735</v>
      </c>
      <c r="L12" s="1">
        <v>25336189</v>
      </c>
      <c r="M12" s="1">
        <v>25205715</v>
      </c>
      <c r="N12" s="1">
        <v>24415025</v>
      </c>
      <c r="O12" s="1">
        <v>22863963</v>
      </c>
      <c r="P12" s="1">
        <v>21745309</v>
      </c>
      <c r="Q12" s="1">
        <v>21253761</v>
      </c>
      <c r="R12" s="1">
        <v>14971823</v>
      </c>
      <c r="S12" s="1">
        <v>14249615</v>
      </c>
      <c r="T12" s="1">
        <v>13194396</v>
      </c>
      <c r="U12" s="1">
        <v>13045133</v>
      </c>
      <c r="V12" s="1">
        <v>12802052</v>
      </c>
      <c r="W12" s="1">
        <v>11850014</v>
      </c>
      <c r="X12" t="s">
        <v>283</v>
      </c>
      <c r="Y12" t="s">
        <v>283</v>
      </c>
      <c r="Z12" t="s">
        <v>283</v>
      </c>
      <c r="AA12" t="s">
        <v>283</v>
      </c>
      <c r="AB12" t="s">
        <v>283</v>
      </c>
    </row>
    <row r="13" spans="1:28">
      <c r="A13" t="s">
        <v>811</v>
      </c>
      <c r="B13" t="s">
        <v>283</v>
      </c>
      <c r="C13" t="s">
        <v>283</v>
      </c>
      <c r="D13" t="s">
        <v>283</v>
      </c>
      <c r="E13" t="s">
        <v>283</v>
      </c>
      <c r="F13" t="s">
        <v>283</v>
      </c>
      <c r="G13" t="s">
        <v>283</v>
      </c>
      <c r="H13" t="s">
        <v>283</v>
      </c>
      <c r="I13" t="s">
        <v>283</v>
      </c>
      <c r="J13" s="1">
        <v>-8388130</v>
      </c>
      <c r="K13" s="1">
        <v>-7711304</v>
      </c>
      <c r="L13" s="1">
        <v>-7004534</v>
      </c>
      <c r="M13" s="1">
        <v>-6184285</v>
      </c>
      <c r="N13" s="1">
        <v>-5312095</v>
      </c>
      <c r="O13" s="1">
        <v>-4606130</v>
      </c>
      <c r="P13" s="1">
        <v>-3809293</v>
      </c>
      <c r="Q13" s="1">
        <v>-3162523</v>
      </c>
      <c r="R13" s="1">
        <v>-2556578</v>
      </c>
      <c r="S13" s="1">
        <v>-2222242</v>
      </c>
      <c r="T13" s="1">
        <v>-1877175</v>
      </c>
      <c r="U13" s="1">
        <v>-1480719</v>
      </c>
      <c r="V13" s="1">
        <v>-1098881</v>
      </c>
      <c r="W13" s="1">
        <v>-722371</v>
      </c>
      <c r="X13" t="s">
        <v>283</v>
      </c>
      <c r="Y13" t="s">
        <v>283</v>
      </c>
      <c r="Z13" t="s">
        <v>283</v>
      </c>
      <c r="AA13" t="s">
        <v>283</v>
      </c>
      <c r="AB13" t="s">
        <v>283</v>
      </c>
    </row>
    <row r="14" spans="1:28">
      <c r="A14" t="s">
        <v>1277</v>
      </c>
      <c r="B14" s="1">
        <v>514660</v>
      </c>
      <c r="C14" s="1" t="s">
        <v>283</v>
      </c>
      <c r="D14" s="1" t="s">
        <v>283</v>
      </c>
      <c r="E14" s="1" t="s">
        <v>283</v>
      </c>
      <c r="F14" s="1" t="s">
        <v>283</v>
      </c>
      <c r="G14" s="1" t="s">
        <v>283</v>
      </c>
      <c r="H14" s="1" t="s">
        <v>283</v>
      </c>
      <c r="I14" s="1" t="s">
        <v>283</v>
      </c>
      <c r="J14" s="1">
        <v>21268916</v>
      </c>
      <c r="K14" s="1">
        <v>19797431</v>
      </c>
      <c r="L14" s="1">
        <v>18331655</v>
      </c>
      <c r="M14" s="1">
        <v>19021430</v>
      </c>
      <c r="N14" s="1">
        <v>19102930</v>
      </c>
      <c r="O14" s="1">
        <v>18257833</v>
      </c>
      <c r="P14" s="1">
        <v>17936016</v>
      </c>
      <c r="Q14" s="1">
        <v>18091238</v>
      </c>
      <c r="R14" s="1">
        <v>12415245</v>
      </c>
      <c r="S14" s="1">
        <v>12027373</v>
      </c>
      <c r="T14" s="1">
        <v>11317221</v>
      </c>
      <c r="U14" s="1">
        <v>11564414</v>
      </c>
      <c r="V14" s="1">
        <v>11703171</v>
      </c>
      <c r="W14" s="1">
        <v>11127643</v>
      </c>
      <c r="X14" s="1">
        <v>6405600</v>
      </c>
      <c r="Y14" s="1">
        <v>5021900</v>
      </c>
      <c r="Z14" s="1">
        <v>2009300</v>
      </c>
      <c r="AA14" s="1">
        <v>1829100</v>
      </c>
      <c r="AB14" s="1">
        <v>1350400</v>
      </c>
    </row>
    <row r="15" spans="1:28">
      <c r="A15" t="s">
        <v>1278</v>
      </c>
      <c r="B15" s="1">
        <v>4519016</v>
      </c>
      <c r="C15" s="1">
        <v>4283733</v>
      </c>
      <c r="D15" s="1">
        <v>4531953</v>
      </c>
      <c r="E15" s="1">
        <v>4531710</v>
      </c>
      <c r="F15" s="1">
        <v>4790220</v>
      </c>
      <c r="G15" s="1">
        <v>4975386</v>
      </c>
      <c r="H15" s="1">
        <v>4716421</v>
      </c>
      <c r="I15" s="1">
        <v>4395608</v>
      </c>
      <c r="J15" s="1">
        <v>1378084</v>
      </c>
      <c r="K15" s="1">
        <v>1390105</v>
      </c>
      <c r="L15" s="1">
        <v>1468577</v>
      </c>
      <c r="M15" s="1">
        <v>1663886</v>
      </c>
      <c r="N15" s="1">
        <v>1886891</v>
      </c>
      <c r="O15" s="1">
        <v>1526235</v>
      </c>
      <c r="P15" s="1">
        <v>1562595</v>
      </c>
      <c r="Q15" s="1">
        <v>1920983</v>
      </c>
      <c r="R15" s="1">
        <v>1811773</v>
      </c>
      <c r="S15" s="1">
        <v>1665654</v>
      </c>
      <c r="T15" s="1">
        <v>1451137</v>
      </c>
      <c r="U15" s="1">
        <v>1315836</v>
      </c>
      <c r="V15" s="1">
        <v>1573759</v>
      </c>
      <c r="W15" s="1">
        <v>1366966</v>
      </c>
      <c r="X15" t="s">
        <v>283</v>
      </c>
      <c r="Y15" t="s">
        <v>283</v>
      </c>
      <c r="Z15" t="s">
        <v>283</v>
      </c>
      <c r="AA15" t="s">
        <v>283</v>
      </c>
      <c r="AB15" t="s">
        <v>283</v>
      </c>
    </row>
    <row r="16" spans="1:28">
      <c r="A16" t="s">
        <v>335</v>
      </c>
      <c r="B16" s="1">
        <v>20098</v>
      </c>
      <c r="C16" s="1">
        <v>20098</v>
      </c>
      <c r="D16" s="1">
        <v>20098</v>
      </c>
      <c r="E16" s="1">
        <v>20098</v>
      </c>
      <c r="F16" s="1">
        <v>20098</v>
      </c>
      <c r="G16" s="1">
        <v>20098</v>
      </c>
      <c r="H16" s="1">
        <v>20098</v>
      </c>
      <c r="I16" s="1">
        <v>20098</v>
      </c>
      <c r="J16" t="s">
        <v>283</v>
      </c>
      <c r="K16" t="s">
        <v>283</v>
      </c>
      <c r="L16" t="s">
        <v>283</v>
      </c>
      <c r="M16" t="s">
        <v>283</v>
      </c>
      <c r="N16" s="1" t="s">
        <v>283</v>
      </c>
      <c r="O16" s="1" t="s">
        <v>283</v>
      </c>
      <c r="P16" s="1" t="s">
        <v>283</v>
      </c>
      <c r="Q16" s="1" t="s">
        <v>283</v>
      </c>
      <c r="R16" s="1" t="s">
        <v>283</v>
      </c>
      <c r="S16" s="1">
        <v>37212</v>
      </c>
      <c r="T16" s="1">
        <v>37212</v>
      </c>
      <c r="U16" s="1">
        <v>38384</v>
      </c>
      <c r="V16" s="1">
        <v>39556</v>
      </c>
      <c r="W16" s="1">
        <v>58134</v>
      </c>
      <c r="X16" s="1" t="s">
        <v>283</v>
      </c>
      <c r="Y16" t="s">
        <v>283</v>
      </c>
      <c r="Z16" t="s">
        <v>283</v>
      </c>
      <c r="AA16" t="s">
        <v>283</v>
      </c>
      <c r="AB16" t="s">
        <v>283</v>
      </c>
    </row>
    <row r="17" spans="1:28">
      <c r="A17" t="s">
        <v>1279</v>
      </c>
      <c r="B17" s="1">
        <v>75754</v>
      </c>
      <c r="C17" s="1">
        <v>130638</v>
      </c>
      <c r="D17" s="1">
        <v>188459</v>
      </c>
      <c r="E17" s="1">
        <v>265039</v>
      </c>
      <c r="F17" s="1">
        <v>255582</v>
      </c>
      <c r="G17" s="1">
        <v>291696</v>
      </c>
      <c r="H17" s="1">
        <v>389287</v>
      </c>
      <c r="I17" s="1">
        <v>487034</v>
      </c>
      <c r="J17" s="1" t="s">
        <v>283</v>
      </c>
      <c r="K17" s="1" t="s">
        <v>283</v>
      </c>
      <c r="L17" s="1" t="s">
        <v>283</v>
      </c>
      <c r="M17" s="1" t="s">
        <v>283</v>
      </c>
      <c r="N17" s="1" t="s">
        <v>283</v>
      </c>
      <c r="O17" s="1" t="s">
        <v>283</v>
      </c>
      <c r="P17" s="1" t="s">
        <v>283</v>
      </c>
      <c r="Q17" s="1" t="s">
        <v>283</v>
      </c>
      <c r="R17" s="1" t="s">
        <v>283</v>
      </c>
      <c r="S17" s="1" t="s">
        <v>283</v>
      </c>
      <c r="T17" s="1" t="s">
        <v>283</v>
      </c>
      <c r="U17" s="1" t="s">
        <v>283</v>
      </c>
      <c r="V17" s="1" t="s">
        <v>283</v>
      </c>
      <c r="W17" s="1" t="s">
        <v>283</v>
      </c>
      <c r="X17" s="1" t="s">
        <v>283</v>
      </c>
      <c r="Y17" t="s">
        <v>283</v>
      </c>
      <c r="Z17" t="s">
        <v>283</v>
      </c>
      <c r="AA17" t="s">
        <v>283</v>
      </c>
      <c r="AB17" t="s">
        <v>283</v>
      </c>
    </row>
    <row r="18" spans="1:28">
      <c r="A18" s="21" t="s">
        <v>1280</v>
      </c>
      <c r="B18" s="1">
        <v>29237524</v>
      </c>
      <c r="C18" s="1">
        <v>28891610</v>
      </c>
      <c r="D18" s="1">
        <v>29448467</v>
      </c>
      <c r="E18" s="1">
        <v>29427443</v>
      </c>
      <c r="F18" s="1">
        <v>28939358</v>
      </c>
      <c r="G18" s="1">
        <v>27967534</v>
      </c>
      <c r="H18" s="1">
        <v>30529377</v>
      </c>
      <c r="I18" s="1">
        <v>30421210</v>
      </c>
      <c r="J18" s="1">
        <v>24280544</v>
      </c>
      <c r="K18" s="1">
        <v>23633975</v>
      </c>
      <c r="L18" s="1">
        <v>20955819</v>
      </c>
      <c r="M18" s="1">
        <v>21887572</v>
      </c>
      <c r="N18" t="s">
        <v>283</v>
      </c>
      <c r="O18" t="s">
        <v>283</v>
      </c>
      <c r="P18" t="s">
        <v>283</v>
      </c>
      <c r="Q18" t="s">
        <v>283</v>
      </c>
      <c r="R18" t="s">
        <v>283</v>
      </c>
      <c r="S18" t="s">
        <v>283</v>
      </c>
      <c r="T18" t="s">
        <v>283</v>
      </c>
      <c r="U18" t="s">
        <v>283</v>
      </c>
      <c r="V18" t="s">
        <v>283</v>
      </c>
      <c r="W18" t="s">
        <v>283</v>
      </c>
      <c r="X18" s="1" t="s">
        <v>283</v>
      </c>
      <c r="Y18" t="s">
        <v>283</v>
      </c>
      <c r="Z18" t="s">
        <v>283</v>
      </c>
      <c r="AA18" t="s">
        <v>283</v>
      </c>
      <c r="AB18" t="s">
        <v>283</v>
      </c>
    </row>
    <row r="19" spans="1:28">
      <c r="A19" s="21" t="s">
        <v>818</v>
      </c>
      <c r="B19" s="1">
        <v>31231630</v>
      </c>
      <c r="C19" s="1">
        <v>30686223</v>
      </c>
      <c r="D19" s="1">
        <v>32257638</v>
      </c>
      <c r="E19" s="1">
        <v>31103578</v>
      </c>
      <c r="F19" s="1">
        <v>30650673</v>
      </c>
      <c r="G19" s="1">
        <v>29532330</v>
      </c>
      <c r="H19" s="1">
        <v>33324574</v>
      </c>
      <c r="I19" s="1">
        <v>32586606</v>
      </c>
      <c r="J19" s="1">
        <v>26216925</v>
      </c>
      <c r="K19" s="1">
        <v>24857429</v>
      </c>
      <c r="L19" s="1">
        <v>25948266</v>
      </c>
      <c r="M19" s="1">
        <v>23596672</v>
      </c>
      <c r="N19" s="1">
        <v>23605662</v>
      </c>
      <c r="O19" s="1">
        <v>22084455</v>
      </c>
      <c r="P19" s="1">
        <v>21131039</v>
      </c>
      <c r="Q19" s="1">
        <v>22070019</v>
      </c>
      <c r="R19" s="1">
        <v>15684721</v>
      </c>
      <c r="S19" s="1">
        <v>14904502</v>
      </c>
      <c r="T19" s="1">
        <v>13810954</v>
      </c>
      <c r="U19" s="1">
        <v>13937945</v>
      </c>
      <c r="V19" s="1">
        <v>14223243</v>
      </c>
      <c r="W19" s="1">
        <v>13277000</v>
      </c>
      <c r="X19" s="1">
        <v>7662700</v>
      </c>
      <c r="Y19" s="1">
        <v>5895900</v>
      </c>
      <c r="Z19" s="1">
        <v>2556400</v>
      </c>
      <c r="AA19" s="1">
        <v>2277200</v>
      </c>
      <c r="AB19" s="1">
        <v>1756700</v>
      </c>
    </row>
    <row r="20" spans="1:28">
      <c r="A20" t="s">
        <v>1281</v>
      </c>
      <c r="B20" s="1">
        <v>31231630</v>
      </c>
      <c r="C20" s="1">
        <v>30686223</v>
      </c>
      <c r="D20" s="1">
        <v>32257638</v>
      </c>
      <c r="E20" s="1">
        <v>31103578</v>
      </c>
      <c r="F20" s="1">
        <v>30650673</v>
      </c>
      <c r="G20" s="1">
        <v>29532330</v>
      </c>
      <c r="H20" s="1">
        <v>33324574</v>
      </c>
      <c r="I20" s="1">
        <v>32586606</v>
      </c>
      <c r="J20" s="1">
        <v>26216925</v>
      </c>
      <c r="K20" s="1">
        <v>24857429</v>
      </c>
      <c r="L20" s="1">
        <v>25948266</v>
      </c>
      <c r="M20" s="1">
        <v>23596672</v>
      </c>
      <c r="N20" s="1">
        <v>23605662</v>
      </c>
      <c r="O20" s="1">
        <v>22084455</v>
      </c>
      <c r="P20" s="1">
        <v>21131039</v>
      </c>
      <c r="Q20" s="1">
        <v>22070019</v>
      </c>
      <c r="R20" s="1">
        <v>15684721</v>
      </c>
      <c r="S20" s="1">
        <v>14904502</v>
      </c>
      <c r="T20" s="1">
        <v>13810954</v>
      </c>
      <c r="U20" s="1">
        <v>13937945</v>
      </c>
      <c r="V20" s="1">
        <v>14223243</v>
      </c>
      <c r="W20" s="1">
        <v>13277000</v>
      </c>
      <c r="X20" s="1">
        <v>7662700</v>
      </c>
      <c r="Y20" s="1">
        <v>5895900</v>
      </c>
      <c r="Z20" s="1">
        <v>2556400</v>
      </c>
      <c r="AA20" s="1">
        <v>2277200</v>
      </c>
      <c r="AB20" s="1">
        <v>1756700</v>
      </c>
    </row>
    <row r="21" spans="1:28">
      <c r="A21" t="s">
        <v>1282</v>
      </c>
      <c r="B21" s="1">
        <v>28320380</v>
      </c>
      <c r="C21" s="1">
        <v>26889267</v>
      </c>
      <c r="D21" s="1">
        <v>28018874</v>
      </c>
      <c r="E21" s="1">
        <v>26143666</v>
      </c>
      <c r="F21" s="1">
        <v>25434304</v>
      </c>
      <c r="G21" s="1">
        <v>23580825</v>
      </c>
      <c r="H21" s="1">
        <v>26501942</v>
      </c>
      <c r="I21" s="1">
        <v>25693517</v>
      </c>
      <c r="J21" s="1">
        <v>20672637</v>
      </c>
      <c r="K21" s="1">
        <v>19223677</v>
      </c>
      <c r="L21" s="1">
        <v>20765304</v>
      </c>
      <c r="M21" s="1">
        <v>20556489</v>
      </c>
      <c r="N21" s="1">
        <v>19003160</v>
      </c>
      <c r="O21" s="1">
        <v>16909517</v>
      </c>
      <c r="P21" s="1">
        <v>15958178</v>
      </c>
      <c r="Q21" s="1">
        <v>16049369</v>
      </c>
      <c r="R21" s="1">
        <v>11228824</v>
      </c>
      <c r="S21" s="1">
        <v>10412992</v>
      </c>
      <c r="T21" s="1">
        <v>9628915</v>
      </c>
      <c r="U21" s="1">
        <v>10533608</v>
      </c>
      <c r="V21" s="1">
        <v>9155988</v>
      </c>
      <c r="W21" s="1">
        <v>9867791</v>
      </c>
      <c r="X21" s="1">
        <v>6105800</v>
      </c>
      <c r="Y21" s="1">
        <v>4591000</v>
      </c>
      <c r="Z21" s="1">
        <v>2323500</v>
      </c>
      <c r="AA21" s="1">
        <v>2219900</v>
      </c>
      <c r="AB21" s="1">
        <v>1727200</v>
      </c>
    </row>
    <row r="22" spans="1:28">
      <c r="A22" t="s">
        <v>1283</v>
      </c>
      <c r="B22" s="1">
        <v>4284026</v>
      </c>
      <c r="C22" s="1">
        <v>3611653</v>
      </c>
      <c r="D22" s="1">
        <v>3654035</v>
      </c>
      <c r="E22" s="1">
        <v>3527425</v>
      </c>
      <c r="F22" s="1">
        <v>3571002</v>
      </c>
      <c r="G22" s="1">
        <v>2836029</v>
      </c>
      <c r="H22" s="1">
        <v>2465704</v>
      </c>
      <c r="I22" s="1">
        <v>2098916</v>
      </c>
      <c r="J22" s="1">
        <v>1262683</v>
      </c>
      <c r="K22" s="1">
        <v>1178593</v>
      </c>
      <c r="L22" s="1">
        <v>1604629</v>
      </c>
      <c r="M22" s="1">
        <v>1646948</v>
      </c>
      <c r="N22" t="s">
        <v>283</v>
      </c>
      <c r="O22" t="s">
        <v>283</v>
      </c>
      <c r="P22" t="s">
        <v>283</v>
      </c>
      <c r="Q22" t="s">
        <v>283</v>
      </c>
      <c r="R22" t="s">
        <v>283</v>
      </c>
      <c r="S22" t="s">
        <v>283</v>
      </c>
      <c r="T22" t="s">
        <v>283</v>
      </c>
      <c r="U22" t="s">
        <v>283</v>
      </c>
      <c r="V22" t="s">
        <v>283</v>
      </c>
      <c r="W22" t="s">
        <v>283</v>
      </c>
      <c r="X22" t="s">
        <v>283</v>
      </c>
      <c r="Y22" t="s">
        <v>283</v>
      </c>
      <c r="Z22" t="s">
        <v>283</v>
      </c>
      <c r="AA22" t="s">
        <v>283</v>
      </c>
      <c r="AB22" t="s">
        <v>283</v>
      </c>
    </row>
    <row r="23" spans="1:28">
      <c r="A23" t="s">
        <v>1284</v>
      </c>
      <c r="B23" s="1">
        <v>1327050</v>
      </c>
      <c r="C23" s="1">
        <v>758681</v>
      </c>
      <c r="D23" s="1">
        <v>978467</v>
      </c>
      <c r="E23" s="1">
        <v>953665</v>
      </c>
      <c r="F23" s="1">
        <v>878657</v>
      </c>
      <c r="G23" s="1">
        <v>409185</v>
      </c>
      <c r="H23" t="s">
        <v>283</v>
      </c>
      <c r="I23" t="s">
        <v>283</v>
      </c>
      <c r="J23" s="1" t="s">
        <v>283</v>
      </c>
      <c r="K23" s="1" t="s">
        <v>283</v>
      </c>
      <c r="L23" s="1" t="s">
        <v>283</v>
      </c>
      <c r="M23" s="1" t="s">
        <v>283</v>
      </c>
      <c r="N23" t="s">
        <v>283</v>
      </c>
      <c r="O23" t="s">
        <v>283</v>
      </c>
      <c r="P23" t="s">
        <v>283</v>
      </c>
      <c r="Q23" t="s">
        <v>283</v>
      </c>
      <c r="R23" t="s">
        <v>283</v>
      </c>
      <c r="S23" t="s">
        <v>283</v>
      </c>
      <c r="T23" t="s">
        <v>283</v>
      </c>
      <c r="U23" t="s">
        <v>283</v>
      </c>
      <c r="V23" t="s">
        <v>283</v>
      </c>
      <c r="W23" t="s">
        <v>283</v>
      </c>
      <c r="X23" t="s">
        <v>283</v>
      </c>
      <c r="Y23" t="s">
        <v>283</v>
      </c>
      <c r="Z23" t="s">
        <v>283</v>
      </c>
      <c r="AA23" t="s">
        <v>283</v>
      </c>
      <c r="AB23" t="s">
        <v>283</v>
      </c>
    </row>
    <row r="24" spans="1:28">
      <c r="A24" t="s">
        <v>820</v>
      </c>
      <c r="B24" s="1">
        <v>1390682</v>
      </c>
      <c r="C24" s="1">
        <v>1316861</v>
      </c>
      <c r="D24" s="1">
        <v>1269190</v>
      </c>
      <c r="E24" s="1">
        <v>1214022</v>
      </c>
      <c r="F24" s="1">
        <v>1323801</v>
      </c>
      <c r="G24" s="1">
        <v>1259681</v>
      </c>
      <c r="H24" s="1">
        <v>1374113</v>
      </c>
      <c r="I24" s="1">
        <v>1374172</v>
      </c>
      <c r="J24" s="1" t="s">
        <v>283</v>
      </c>
      <c r="K24" s="1" t="s">
        <v>283</v>
      </c>
      <c r="L24" s="1" t="s">
        <v>283</v>
      </c>
      <c r="M24" s="1" t="s">
        <v>283</v>
      </c>
      <c r="N24" t="s">
        <v>283</v>
      </c>
      <c r="O24" t="s">
        <v>283</v>
      </c>
      <c r="P24" t="s">
        <v>283</v>
      </c>
      <c r="Q24" t="s">
        <v>283</v>
      </c>
      <c r="R24" t="s">
        <v>283</v>
      </c>
      <c r="S24" t="s">
        <v>283</v>
      </c>
      <c r="T24" s="1">
        <v>544431</v>
      </c>
      <c r="U24" s="1">
        <v>451207</v>
      </c>
      <c r="V24" t="s">
        <v>283</v>
      </c>
      <c r="W24" t="s">
        <v>283</v>
      </c>
      <c r="X24" t="s">
        <v>283</v>
      </c>
      <c r="Y24" t="s">
        <v>283</v>
      </c>
      <c r="Z24" t="s">
        <v>283</v>
      </c>
      <c r="AA24" t="s">
        <v>283</v>
      </c>
      <c r="AB24" t="s">
        <v>283</v>
      </c>
    </row>
    <row r="25" spans="1:28">
      <c r="A25" t="s">
        <v>1285</v>
      </c>
      <c r="B25" t="s">
        <v>283</v>
      </c>
      <c r="C25" t="s">
        <v>283</v>
      </c>
      <c r="D25" t="s">
        <v>283</v>
      </c>
      <c r="E25" t="s">
        <v>283</v>
      </c>
      <c r="F25" t="s">
        <v>283</v>
      </c>
      <c r="G25" t="s">
        <v>283</v>
      </c>
      <c r="H25" t="s">
        <v>283</v>
      </c>
      <c r="I25" t="s">
        <v>283</v>
      </c>
      <c r="J25" s="1">
        <v>170971</v>
      </c>
      <c r="K25" s="1">
        <v>184855</v>
      </c>
      <c r="L25" s="1">
        <v>159345</v>
      </c>
      <c r="M25" s="1">
        <v>179970</v>
      </c>
      <c r="N25" t="s">
        <v>283</v>
      </c>
      <c r="O25" t="s">
        <v>283</v>
      </c>
      <c r="P25" t="s">
        <v>283</v>
      </c>
      <c r="Q25" t="s">
        <v>283</v>
      </c>
      <c r="R25" t="s">
        <v>283</v>
      </c>
      <c r="S25" t="s">
        <v>283</v>
      </c>
      <c r="T25" t="s">
        <v>283</v>
      </c>
      <c r="U25" t="s">
        <v>283</v>
      </c>
      <c r="V25" t="s">
        <v>283</v>
      </c>
      <c r="W25" t="s">
        <v>283</v>
      </c>
      <c r="X25" t="s">
        <v>283</v>
      </c>
      <c r="Y25" t="s">
        <v>283</v>
      </c>
      <c r="Z25" t="s">
        <v>283</v>
      </c>
      <c r="AA25" t="s">
        <v>283</v>
      </c>
      <c r="AB25" t="s">
        <v>283</v>
      </c>
    </row>
    <row r="26" spans="1:28">
      <c r="A26" t="s">
        <v>824</v>
      </c>
      <c r="B26" t="s">
        <v>283</v>
      </c>
      <c r="C26" t="s">
        <v>283</v>
      </c>
      <c r="D26" t="s">
        <v>283</v>
      </c>
      <c r="E26" t="s">
        <v>283</v>
      </c>
      <c r="F26" t="s">
        <v>283</v>
      </c>
      <c r="G26" t="s">
        <v>283</v>
      </c>
      <c r="H26" t="s">
        <v>283</v>
      </c>
      <c r="I26" t="s">
        <v>283</v>
      </c>
      <c r="J26" s="1">
        <v>695569</v>
      </c>
      <c r="K26" s="1" t="s">
        <v>283</v>
      </c>
      <c r="L26" s="1">
        <v>457754</v>
      </c>
      <c r="M26" s="1">
        <v>380730</v>
      </c>
      <c r="N26" t="s">
        <v>283</v>
      </c>
      <c r="O26" t="s">
        <v>283</v>
      </c>
      <c r="P26" t="s">
        <v>283</v>
      </c>
      <c r="Q26" t="s">
        <v>283</v>
      </c>
      <c r="R26" t="s">
        <v>283</v>
      </c>
      <c r="S26" t="s">
        <v>283</v>
      </c>
      <c r="T26" t="s">
        <v>283</v>
      </c>
      <c r="U26" t="s">
        <v>283</v>
      </c>
      <c r="V26" t="s">
        <v>283</v>
      </c>
      <c r="W26" t="s">
        <v>283</v>
      </c>
      <c r="X26" t="s">
        <v>283</v>
      </c>
      <c r="Y26" t="s">
        <v>283</v>
      </c>
      <c r="Z26" t="s">
        <v>283</v>
      </c>
      <c r="AA26" t="s">
        <v>283</v>
      </c>
      <c r="AB26" t="s">
        <v>283</v>
      </c>
    </row>
    <row r="27" spans="1:28">
      <c r="A27" s="21" t="s">
        <v>1286</v>
      </c>
      <c r="B27" s="1">
        <v>4284026</v>
      </c>
      <c r="C27" s="1">
        <v>3611653</v>
      </c>
      <c r="D27" s="1">
        <v>3654035</v>
      </c>
      <c r="E27" s="1">
        <v>3527425</v>
      </c>
      <c r="F27" s="1">
        <v>3571002</v>
      </c>
      <c r="G27" s="1">
        <v>2836029</v>
      </c>
      <c r="H27" s="1">
        <v>2465704</v>
      </c>
      <c r="I27" s="1">
        <v>2098916</v>
      </c>
      <c r="J27" s="1">
        <v>1262683</v>
      </c>
      <c r="K27" s="1">
        <v>1178593</v>
      </c>
      <c r="L27" s="1">
        <v>1604629</v>
      </c>
      <c r="M27" s="1">
        <v>1646948</v>
      </c>
      <c r="N27" t="s">
        <v>283</v>
      </c>
      <c r="O27" t="s">
        <v>283</v>
      </c>
      <c r="P27" t="s">
        <v>283</v>
      </c>
      <c r="Q27" t="s">
        <v>283</v>
      </c>
      <c r="R27" t="s">
        <v>283</v>
      </c>
      <c r="S27" t="s">
        <v>283</v>
      </c>
      <c r="T27" t="s">
        <v>283</v>
      </c>
      <c r="U27" t="s">
        <v>283</v>
      </c>
      <c r="V27" t="s">
        <v>283</v>
      </c>
      <c r="W27" t="s">
        <v>283</v>
      </c>
      <c r="X27" t="s">
        <v>283</v>
      </c>
      <c r="Y27" t="s">
        <v>283</v>
      </c>
      <c r="Z27" t="s">
        <v>283</v>
      </c>
      <c r="AA27" t="s">
        <v>283</v>
      </c>
      <c r="AB27" t="s">
        <v>283</v>
      </c>
    </row>
    <row r="28" spans="1:28">
      <c r="A28" t="s">
        <v>1287</v>
      </c>
      <c r="B28" s="1">
        <v>24036354</v>
      </c>
      <c r="C28" s="1">
        <v>23277614</v>
      </c>
      <c r="D28" s="1">
        <v>24364839</v>
      </c>
      <c r="E28" s="1">
        <v>22616241</v>
      </c>
      <c r="F28" s="1">
        <v>21863302</v>
      </c>
      <c r="G28" s="1">
        <v>20744796</v>
      </c>
      <c r="H28" s="1">
        <v>24036238</v>
      </c>
      <c r="I28" s="1">
        <v>23594601</v>
      </c>
      <c r="J28" s="1">
        <v>19409954</v>
      </c>
      <c r="K28" s="1">
        <v>18045084</v>
      </c>
      <c r="L28" s="1">
        <v>19160675</v>
      </c>
      <c r="M28" s="1">
        <v>18909541</v>
      </c>
      <c r="N28" s="1" t="s">
        <v>283</v>
      </c>
      <c r="O28" s="1" t="s">
        <v>283</v>
      </c>
      <c r="P28" s="1" t="s">
        <v>283</v>
      </c>
      <c r="Q28" s="1" t="s">
        <v>283</v>
      </c>
      <c r="R28" s="1" t="s">
        <v>283</v>
      </c>
      <c r="S28" s="1" t="s">
        <v>283</v>
      </c>
      <c r="T28" s="1" t="s">
        <v>283</v>
      </c>
      <c r="U28" s="1" t="s">
        <v>283</v>
      </c>
      <c r="V28" s="1" t="s">
        <v>283</v>
      </c>
      <c r="W28" s="1" t="s">
        <v>283</v>
      </c>
      <c r="X28" s="1" t="s">
        <v>283</v>
      </c>
      <c r="Y28" t="s">
        <v>283</v>
      </c>
      <c r="Z28" t="s">
        <v>283</v>
      </c>
      <c r="AA28" t="s">
        <v>283</v>
      </c>
      <c r="AB28" t="s">
        <v>283</v>
      </c>
    </row>
    <row r="29" spans="1:28">
      <c r="A29" t="s">
        <v>1288</v>
      </c>
      <c r="B29" s="1">
        <v>22768925</v>
      </c>
      <c r="C29" s="1">
        <v>22479599</v>
      </c>
      <c r="D29" s="1">
        <v>23653996</v>
      </c>
      <c r="E29" s="1">
        <v>22023439</v>
      </c>
      <c r="F29" s="1">
        <v>21623516</v>
      </c>
      <c r="G29" s="1">
        <v>20443808</v>
      </c>
      <c r="H29" s="1">
        <v>23588531</v>
      </c>
      <c r="I29" s="1">
        <v>23113007</v>
      </c>
      <c r="J29" s="1">
        <v>19142009</v>
      </c>
      <c r="K29" s="1">
        <v>17473760</v>
      </c>
      <c r="L29" s="1">
        <v>18630302</v>
      </c>
      <c r="M29" s="1">
        <v>18042532</v>
      </c>
      <c r="N29" s="1">
        <v>17218674</v>
      </c>
      <c r="O29" s="1">
        <v>15394489</v>
      </c>
      <c r="P29" s="1">
        <v>14106117</v>
      </c>
      <c r="Q29" s="1">
        <v>14586393</v>
      </c>
      <c r="R29" s="1">
        <v>10266388</v>
      </c>
      <c r="S29" s="1">
        <v>9546081</v>
      </c>
      <c r="T29" s="1">
        <v>8841378</v>
      </c>
      <c r="U29" s="1">
        <v>8728582</v>
      </c>
      <c r="V29" s="1">
        <v>8768951</v>
      </c>
      <c r="W29" s="1">
        <v>7973372</v>
      </c>
      <c r="X29" s="1">
        <v>5078000</v>
      </c>
      <c r="Y29" s="1">
        <v>3682000</v>
      </c>
      <c r="Z29" s="1">
        <v>1980800</v>
      </c>
      <c r="AA29" s="1">
        <v>1938100</v>
      </c>
      <c r="AB29" s="1">
        <v>1457900</v>
      </c>
    </row>
    <row r="30" spans="1:28">
      <c r="A30" t="s">
        <v>1289</v>
      </c>
      <c r="B30" s="1">
        <v>464304</v>
      </c>
      <c r="C30" s="1">
        <v>500597</v>
      </c>
      <c r="D30" s="1">
        <v>520363</v>
      </c>
      <c r="E30" s="1">
        <v>455040</v>
      </c>
      <c r="F30" s="1">
        <v>214249</v>
      </c>
      <c r="G30" s="1">
        <v>275451</v>
      </c>
      <c r="H30" s="1">
        <v>257222</v>
      </c>
      <c r="I30" s="1">
        <v>303588</v>
      </c>
      <c r="J30" s="1" t="s">
        <v>283</v>
      </c>
      <c r="K30" s="1">
        <v>485855</v>
      </c>
      <c r="L30" s="1" t="s">
        <v>283</v>
      </c>
      <c r="M30" s="1">
        <v>637140</v>
      </c>
      <c r="N30" s="1" t="s">
        <v>283</v>
      </c>
      <c r="O30" s="1" t="s">
        <v>283</v>
      </c>
      <c r="P30" s="1" t="s">
        <v>283</v>
      </c>
      <c r="Q30" s="1" t="s">
        <v>283</v>
      </c>
      <c r="R30" s="1" t="s">
        <v>283</v>
      </c>
      <c r="S30" s="1" t="s">
        <v>283</v>
      </c>
      <c r="T30" s="1" t="s">
        <v>283</v>
      </c>
      <c r="U30" s="1" t="s">
        <v>283</v>
      </c>
      <c r="V30" s="1" t="s">
        <v>283</v>
      </c>
      <c r="W30" s="1" t="s">
        <v>283</v>
      </c>
      <c r="X30" s="1" t="s">
        <v>283</v>
      </c>
      <c r="Y30" t="s">
        <v>283</v>
      </c>
      <c r="Z30" t="s">
        <v>283</v>
      </c>
      <c r="AA30" t="s">
        <v>283</v>
      </c>
      <c r="AB30" t="s">
        <v>283</v>
      </c>
    </row>
    <row r="31" spans="1:28">
      <c r="A31" t="s">
        <v>1290</v>
      </c>
      <c r="B31" s="1">
        <v>24036354</v>
      </c>
      <c r="C31" s="1">
        <v>23277614</v>
      </c>
      <c r="D31" s="1">
        <v>24364839</v>
      </c>
      <c r="E31" s="1">
        <v>22616241</v>
      </c>
      <c r="F31" s="1">
        <v>21863302</v>
      </c>
      <c r="G31" s="1">
        <v>20744796</v>
      </c>
      <c r="H31" s="1">
        <v>24036238</v>
      </c>
      <c r="I31" s="1">
        <v>23594601</v>
      </c>
      <c r="J31" s="1">
        <v>19409954</v>
      </c>
      <c r="K31" s="1">
        <v>18045084</v>
      </c>
      <c r="L31" s="1">
        <v>19160675</v>
      </c>
      <c r="M31" s="1">
        <v>18909541</v>
      </c>
      <c r="N31" t="s">
        <v>283</v>
      </c>
      <c r="O31" t="s">
        <v>283</v>
      </c>
      <c r="P31" t="s">
        <v>283</v>
      </c>
      <c r="Q31" t="s">
        <v>283</v>
      </c>
      <c r="R31" t="s">
        <v>283</v>
      </c>
      <c r="S31" t="s">
        <v>283</v>
      </c>
      <c r="T31" t="s">
        <v>283</v>
      </c>
      <c r="U31" t="s">
        <v>283</v>
      </c>
      <c r="V31" t="s">
        <v>283</v>
      </c>
      <c r="W31" t="s">
        <v>283</v>
      </c>
      <c r="X31" t="s">
        <v>283</v>
      </c>
      <c r="Y31" t="s">
        <v>283</v>
      </c>
      <c r="Z31" t="s">
        <v>283</v>
      </c>
      <c r="AA31" t="s">
        <v>283</v>
      </c>
      <c r="AB31" t="s">
        <v>283</v>
      </c>
    </row>
    <row r="32" spans="1:28">
      <c r="A32" t="s">
        <v>55</v>
      </c>
      <c r="B32" s="1">
        <v>28320380</v>
      </c>
      <c r="C32" s="1">
        <v>26889267</v>
      </c>
      <c r="D32" s="1">
        <v>28018874</v>
      </c>
      <c r="E32" s="1">
        <v>26143666</v>
      </c>
      <c r="F32" s="1">
        <v>25434304</v>
      </c>
      <c r="G32" s="1">
        <v>23580825</v>
      </c>
      <c r="H32" s="1">
        <v>26501942</v>
      </c>
      <c r="I32" s="1">
        <v>25693517</v>
      </c>
      <c r="J32" s="1">
        <v>20672637</v>
      </c>
      <c r="K32" s="1">
        <v>19223677</v>
      </c>
      <c r="L32" s="1">
        <v>20765304</v>
      </c>
      <c r="M32" s="1">
        <v>20556489</v>
      </c>
      <c r="N32" s="1">
        <v>19003160</v>
      </c>
      <c r="O32" s="1">
        <v>16909517</v>
      </c>
      <c r="P32" s="1">
        <v>15958178</v>
      </c>
      <c r="Q32" s="1">
        <v>16049369</v>
      </c>
      <c r="R32" s="1">
        <v>11228824</v>
      </c>
      <c r="S32" s="1">
        <v>10412992</v>
      </c>
      <c r="T32" s="1">
        <v>9628915</v>
      </c>
      <c r="U32" s="1">
        <v>10533608</v>
      </c>
      <c r="V32" s="1">
        <v>9155988</v>
      </c>
      <c r="W32" s="1">
        <v>9867791</v>
      </c>
      <c r="X32" s="1">
        <v>6105800</v>
      </c>
      <c r="Y32" s="1">
        <v>4591000</v>
      </c>
      <c r="Z32" s="1">
        <v>2323500</v>
      </c>
      <c r="AA32" s="1">
        <v>2219900</v>
      </c>
      <c r="AB32" s="1">
        <v>1727200</v>
      </c>
    </row>
    <row r="33" spans="1:28">
      <c r="A33" t="s">
        <v>1291</v>
      </c>
      <c r="B33" s="1">
        <v>2526398</v>
      </c>
      <c r="C33" s="1">
        <v>3296681</v>
      </c>
      <c r="D33" s="1">
        <v>3686168</v>
      </c>
      <c r="E33" s="1">
        <v>4310448</v>
      </c>
      <c r="F33" s="1">
        <v>4471464</v>
      </c>
      <c r="G33" s="1">
        <v>5093177</v>
      </c>
      <c r="H33" s="1">
        <v>5849406</v>
      </c>
      <c r="I33" s="1">
        <v>5910603</v>
      </c>
      <c r="J33" s="1">
        <v>4649666</v>
      </c>
      <c r="K33" s="1">
        <v>4830780</v>
      </c>
      <c r="L33" s="1">
        <v>4458137</v>
      </c>
      <c r="M33" s="1">
        <v>3040183</v>
      </c>
      <c r="N33" s="1">
        <v>3563383</v>
      </c>
      <c r="O33" s="1">
        <v>3979642</v>
      </c>
      <c r="P33" s="1">
        <v>4307296</v>
      </c>
      <c r="Q33" s="1">
        <v>3264562</v>
      </c>
      <c r="R33" s="1">
        <v>2221357</v>
      </c>
      <c r="S33" s="1">
        <v>2594808</v>
      </c>
      <c r="T33" s="1">
        <v>2243600</v>
      </c>
      <c r="U33" s="1">
        <v>2340970</v>
      </c>
      <c r="V33" s="1">
        <v>2458905</v>
      </c>
      <c r="W33" s="1">
        <v>3409209</v>
      </c>
      <c r="X33" s="1">
        <v>1556900</v>
      </c>
      <c r="Y33" s="1">
        <v>1304900</v>
      </c>
      <c r="Z33" s="1">
        <v>232900</v>
      </c>
      <c r="AA33" s="1">
        <v>57300</v>
      </c>
      <c r="AB33" s="1">
        <v>29500</v>
      </c>
    </row>
    <row r="34" spans="1:28">
      <c r="A34" t="s">
        <v>835</v>
      </c>
      <c r="B34" s="1">
        <v>42452</v>
      </c>
      <c r="C34" s="1">
        <v>42780</v>
      </c>
      <c r="D34" s="1">
        <v>43109</v>
      </c>
      <c r="E34" s="1">
        <v>43437</v>
      </c>
      <c r="F34" s="1">
        <v>43764</v>
      </c>
      <c r="G34" s="1">
        <v>44093</v>
      </c>
      <c r="H34" s="1">
        <v>44421</v>
      </c>
      <c r="I34" s="1">
        <v>44750</v>
      </c>
      <c r="J34" s="1">
        <v>45077</v>
      </c>
      <c r="K34" s="1">
        <v>45405</v>
      </c>
      <c r="L34" s="1">
        <v>45733</v>
      </c>
      <c r="M34" s="1">
        <v>425569</v>
      </c>
      <c r="N34" s="1">
        <v>746631</v>
      </c>
      <c r="O34" s="1">
        <v>884643</v>
      </c>
      <c r="P34" s="1">
        <v>1080045</v>
      </c>
      <c r="Q34" s="1">
        <v>1062710</v>
      </c>
      <c r="R34" s="1">
        <v>367504</v>
      </c>
      <c r="S34" s="1">
        <v>814273</v>
      </c>
      <c r="T34" s="1">
        <v>877486</v>
      </c>
      <c r="U34" s="1">
        <v>878568</v>
      </c>
      <c r="V34" s="1">
        <v>882453</v>
      </c>
      <c r="W34" s="1">
        <v>717933</v>
      </c>
      <c r="X34" t="s">
        <v>283</v>
      </c>
      <c r="Y34" t="s">
        <v>283</v>
      </c>
      <c r="Z34" t="s">
        <v>283</v>
      </c>
      <c r="AA34" t="s">
        <v>283</v>
      </c>
      <c r="AB34" t="s">
        <v>283</v>
      </c>
    </row>
    <row r="35" spans="1:28">
      <c r="A35" t="s">
        <v>837</v>
      </c>
      <c r="B35" s="1">
        <v>-5379952</v>
      </c>
      <c r="C35" s="1">
        <v>-4893069</v>
      </c>
      <c r="D35" s="1">
        <v>-4782173</v>
      </c>
      <c r="E35" s="1">
        <v>-4459387</v>
      </c>
      <c r="F35" s="1">
        <v>-4266930</v>
      </c>
      <c r="G35" s="1">
        <v>-4208183</v>
      </c>
      <c r="H35" s="1">
        <v>-3218686</v>
      </c>
      <c r="I35" s="1">
        <v>-3083190</v>
      </c>
      <c r="J35" s="1">
        <v>-3251740</v>
      </c>
      <c r="K35" s="1">
        <v>-3114571</v>
      </c>
      <c r="L35" s="1">
        <v>-2955671</v>
      </c>
      <c r="M35" s="1">
        <v>-2444257</v>
      </c>
      <c r="N35" s="1">
        <v>-2055447</v>
      </c>
      <c r="O35" s="1">
        <v>-1740897</v>
      </c>
      <c r="P35" s="1">
        <v>-1551179</v>
      </c>
      <c r="Q35" s="1">
        <v>-1335436</v>
      </c>
      <c r="R35" s="1">
        <v>-1097317</v>
      </c>
      <c r="S35" s="1">
        <v>-961338</v>
      </c>
      <c r="T35" s="1">
        <v>-927654</v>
      </c>
      <c r="U35" s="1">
        <v>-715288</v>
      </c>
      <c r="V35" s="1">
        <v>-551251</v>
      </c>
      <c r="W35" s="1">
        <v>-372313</v>
      </c>
      <c r="X35" s="1">
        <v>-263300</v>
      </c>
      <c r="Y35" s="1">
        <v>-172600</v>
      </c>
      <c r="Z35" s="1">
        <v>-131000</v>
      </c>
      <c r="AA35" s="1">
        <v>-78300</v>
      </c>
      <c r="AB35" s="1">
        <v>-11400</v>
      </c>
    </row>
    <row r="36" spans="1:28">
      <c r="A36" t="s">
        <v>1292</v>
      </c>
      <c r="B36" s="1">
        <v>-118604</v>
      </c>
      <c r="C36" s="1">
        <v>-126017</v>
      </c>
      <c r="D36" s="1">
        <v>-110453</v>
      </c>
      <c r="E36" s="1">
        <v>-114126</v>
      </c>
      <c r="F36" s="1">
        <v>-252686</v>
      </c>
      <c r="G36" s="1">
        <v>-61041</v>
      </c>
      <c r="H36" s="1">
        <v>-75795</v>
      </c>
      <c r="I36" s="1">
        <v>-90900</v>
      </c>
      <c r="J36" s="1">
        <v>-94263</v>
      </c>
      <c r="K36" s="1">
        <v>6530</v>
      </c>
      <c r="L36" s="1">
        <v>-3088</v>
      </c>
      <c r="M36" s="1">
        <v>-165066</v>
      </c>
      <c r="N36" s="1">
        <v>18087</v>
      </c>
      <c r="O36" s="1">
        <v>19239</v>
      </c>
      <c r="P36" s="1">
        <v>9793</v>
      </c>
      <c r="Q36" s="1">
        <v>16365</v>
      </c>
      <c r="R36" s="1">
        <v>12586</v>
      </c>
      <c r="S36" s="1">
        <v>-8109</v>
      </c>
      <c r="T36" s="1">
        <v>-9893</v>
      </c>
      <c r="U36">
        <v>0</v>
      </c>
      <c r="V36" s="1">
        <v>-5852</v>
      </c>
      <c r="W36">
        <v>126</v>
      </c>
      <c r="X36" t="s">
        <v>283</v>
      </c>
      <c r="Y36" t="s">
        <v>283</v>
      </c>
      <c r="Z36" t="s">
        <v>283</v>
      </c>
      <c r="AA36" t="s">
        <v>283</v>
      </c>
      <c r="AB36" t="s">
        <v>283</v>
      </c>
    </row>
    <row r="37" spans="1:28">
      <c r="A37" s="21" t="s">
        <v>1293</v>
      </c>
      <c r="B37" s="1">
        <v>2526398</v>
      </c>
      <c r="C37" s="1">
        <v>3296681</v>
      </c>
      <c r="D37" s="1">
        <v>3686168</v>
      </c>
      <c r="E37" s="1">
        <v>4310448</v>
      </c>
      <c r="F37" s="1">
        <v>4471464</v>
      </c>
      <c r="G37" s="1">
        <v>5093177</v>
      </c>
      <c r="H37" s="1">
        <v>5849406</v>
      </c>
      <c r="I37" s="1">
        <v>5910603</v>
      </c>
      <c r="J37" s="1">
        <v>4649666</v>
      </c>
      <c r="K37" s="1">
        <v>4830780</v>
      </c>
      <c r="L37" s="1">
        <v>4458137</v>
      </c>
      <c r="M37" s="1">
        <v>3040183</v>
      </c>
      <c r="N37" s="1">
        <v>3563383</v>
      </c>
      <c r="O37" s="1">
        <v>3979642</v>
      </c>
      <c r="P37" s="1">
        <v>4307296</v>
      </c>
      <c r="Q37" s="1">
        <v>3264562</v>
      </c>
      <c r="R37" s="1">
        <v>2221357</v>
      </c>
      <c r="S37" s="1">
        <v>2594808</v>
      </c>
      <c r="T37" s="1">
        <v>2243600</v>
      </c>
      <c r="U37" s="1">
        <v>2340970</v>
      </c>
      <c r="V37" s="1">
        <v>2458905</v>
      </c>
      <c r="W37" s="1">
        <v>3409209</v>
      </c>
      <c r="X37" s="1">
        <v>1556900</v>
      </c>
      <c r="Y37" s="1">
        <v>1304900</v>
      </c>
      <c r="Z37" s="1">
        <v>232900</v>
      </c>
      <c r="AA37" s="1">
        <v>57300</v>
      </c>
      <c r="AB37" s="1">
        <v>29500</v>
      </c>
    </row>
    <row r="38" spans="1:28">
      <c r="A38" s="21" t="s">
        <v>1294</v>
      </c>
      <c r="B38" s="1">
        <v>31231630</v>
      </c>
      <c r="C38" s="1">
        <v>30686223</v>
      </c>
      <c r="D38" s="1">
        <v>32257638</v>
      </c>
      <c r="E38" s="1">
        <v>31103578</v>
      </c>
      <c r="F38" s="1">
        <v>30650673</v>
      </c>
      <c r="G38" s="1">
        <v>29532330</v>
      </c>
      <c r="H38" s="1">
        <v>33324574</v>
      </c>
      <c r="I38" s="1">
        <v>32586606</v>
      </c>
      <c r="J38" s="1">
        <v>26216925</v>
      </c>
      <c r="K38" s="1">
        <v>24857429</v>
      </c>
      <c r="L38" s="1">
        <v>25948266</v>
      </c>
      <c r="M38" s="1">
        <v>23596672</v>
      </c>
      <c r="N38" s="1">
        <v>23605662</v>
      </c>
      <c r="O38" s="1">
        <v>22084455</v>
      </c>
      <c r="P38" s="1">
        <v>21131039</v>
      </c>
      <c r="Q38" s="1">
        <v>22070019</v>
      </c>
      <c r="R38" s="1">
        <v>15684721</v>
      </c>
      <c r="S38" s="1">
        <v>14904502</v>
      </c>
      <c r="T38" s="1">
        <v>13810954</v>
      </c>
      <c r="U38" s="1">
        <v>13937945</v>
      </c>
      <c r="V38" s="1">
        <v>14223243</v>
      </c>
      <c r="W38" s="1">
        <v>13277000</v>
      </c>
      <c r="X38" s="1">
        <v>7662700</v>
      </c>
      <c r="Y38" s="1">
        <v>5895900</v>
      </c>
      <c r="Z38" s="1">
        <v>2556400</v>
      </c>
      <c r="AA38" s="1">
        <v>2277200</v>
      </c>
      <c r="AB38" s="1">
        <v>1756700</v>
      </c>
    </row>
    <row r="39" spans="1:28">
      <c r="B39" s="1"/>
      <c r="C39" s="1"/>
      <c r="D39" s="1"/>
      <c r="E39" s="1"/>
      <c r="F39" s="1"/>
      <c r="G39" s="1"/>
      <c r="H39" s="1"/>
      <c r="I39" s="1"/>
      <c r="J39" s="1"/>
      <c r="K39" s="1"/>
      <c r="L39" s="1"/>
      <c r="M39" s="1"/>
      <c r="X39" s="1"/>
    </row>
    <row r="40" spans="1:28">
      <c r="A40" t="s">
        <v>1295</v>
      </c>
      <c r="B40" s="28">
        <f>B27+B29</f>
        <v>27052951</v>
      </c>
      <c r="C40" s="28">
        <f t="shared" ref="C40:M40" si="0">C27+C29</f>
        <v>26091252</v>
      </c>
      <c r="D40" s="28">
        <f t="shared" si="0"/>
        <v>27308031</v>
      </c>
      <c r="E40" s="28">
        <f t="shared" si="0"/>
        <v>25550864</v>
      </c>
      <c r="F40" s="28">
        <f t="shared" si="0"/>
        <v>25194518</v>
      </c>
      <c r="G40" s="28">
        <f t="shared" si="0"/>
        <v>23279837</v>
      </c>
      <c r="H40" s="28">
        <f t="shared" si="0"/>
        <v>26054235</v>
      </c>
      <c r="I40" s="28">
        <f t="shared" si="0"/>
        <v>25211923</v>
      </c>
      <c r="J40" s="28">
        <f t="shared" si="0"/>
        <v>20404692</v>
      </c>
      <c r="K40" s="28">
        <f t="shared" si="0"/>
        <v>18652353</v>
      </c>
      <c r="L40" s="28">
        <f t="shared" si="0"/>
        <v>20234931</v>
      </c>
      <c r="M40" s="28">
        <f t="shared" si="0"/>
        <v>19689480</v>
      </c>
      <c r="N40" s="28"/>
      <c r="O40" s="28"/>
      <c r="P40" s="28"/>
      <c r="Q40" s="28"/>
      <c r="R40" s="28"/>
      <c r="S40" s="28"/>
      <c r="T40" s="28"/>
      <c r="U40" s="28"/>
      <c r="V40" s="28"/>
      <c r="W40" s="28"/>
      <c r="X40" s="28"/>
      <c r="Y40" s="28"/>
      <c r="Z40" s="28"/>
      <c r="AA40" s="28"/>
      <c r="AB40" s="28"/>
    </row>
    <row r="41" spans="1:28">
      <c r="A41" t="s">
        <v>1296</v>
      </c>
      <c r="B41" s="1">
        <f>B40-B5</f>
        <v>26383578</v>
      </c>
      <c r="C41" s="1">
        <f t="shared" ref="C41:M41" si="1">C40-C5</f>
        <v>25576917</v>
      </c>
      <c r="D41" s="1">
        <f t="shared" si="1"/>
        <v>25825722</v>
      </c>
      <c r="E41" s="1">
        <f t="shared" si="1"/>
        <v>24990805</v>
      </c>
      <c r="F41" s="1">
        <f t="shared" si="1"/>
        <v>24493384</v>
      </c>
      <c r="G41" s="1">
        <f t="shared" si="1"/>
        <v>22667555</v>
      </c>
      <c r="H41" s="1">
        <f t="shared" si="1"/>
        <v>24337372</v>
      </c>
      <c r="I41" s="1">
        <f t="shared" si="1"/>
        <v>24027405</v>
      </c>
      <c r="J41" s="1">
        <f t="shared" si="1"/>
        <v>19606042</v>
      </c>
      <c r="K41" s="1">
        <f t="shared" si="1"/>
        <v>17855635</v>
      </c>
      <c r="L41" s="1">
        <f t="shared" si="1"/>
        <v>16277213</v>
      </c>
      <c r="M41" s="1">
        <f t="shared" si="1"/>
        <v>18915936</v>
      </c>
      <c r="N41" s="1"/>
      <c r="O41" s="1"/>
      <c r="P41" s="1"/>
      <c r="Q41" s="1"/>
      <c r="R41" s="1"/>
      <c r="S41" s="1"/>
      <c r="T41" s="1"/>
      <c r="U41" s="1"/>
      <c r="V41" s="1"/>
      <c r="W41" s="1"/>
      <c r="X41" s="1"/>
    </row>
    <row r="42" spans="1:28">
      <c r="A42" t="s">
        <v>1297</v>
      </c>
      <c r="B42" s="1">
        <f>B41-C41</f>
        <v>806661</v>
      </c>
      <c r="C42" s="1">
        <f t="shared" ref="C42:M42" si="2">C41-D41</f>
        <v>-248805</v>
      </c>
      <c r="D42" s="1">
        <f t="shared" si="2"/>
        <v>834917</v>
      </c>
      <c r="E42" s="1">
        <f t="shared" si="2"/>
        <v>497421</v>
      </c>
      <c r="F42" s="1">
        <f t="shared" si="2"/>
        <v>1825829</v>
      </c>
      <c r="G42" s="1">
        <f t="shared" si="2"/>
        <v>-1669817</v>
      </c>
      <c r="H42" s="1">
        <f t="shared" si="2"/>
        <v>309967</v>
      </c>
      <c r="I42" s="1">
        <f t="shared" si="2"/>
        <v>4421363</v>
      </c>
      <c r="J42" s="1">
        <f t="shared" si="2"/>
        <v>1750407</v>
      </c>
      <c r="K42" s="1">
        <f t="shared" si="2"/>
        <v>1578422</v>
      </c>
      <c r="L42" s="1">
        <f t="shared" si="2"/>
        <v>-2638723</v>
      </c>
      <c r="M42" s="1">
        <f t="shared" si="2"/>
        <v>18915936</v>
      </c>
      <c r="N42" s="1"/>
      <c r="O42" s="1"/>
      <c r="P42" s="1"/>
      <c r="Q42" s="1"/>
      <c r="R42" s="1"/>
      <c r="S42" s="1"/>
      <c r="T42" s="1"/>
      <c r="U42" s="1"/>
      <c r="V42" s="1"/>
      <c r="W42" s="1"/>
      <c r="X42" s="1"/>
    </row>
    <row r="43" spans="1:28">
      <c r="B43" s="1"/>
      <c r="C43" s="1"/>
      <c r="D43" s="1"/>
      <c r="E43" s="1"/>
      <c r="F43" s="1"/>
      <c r="G43" s="1"/>
      <c r="H43" s="1"/>
      <c r="I43" s="1"/>
      <c r="J43" s="1"/>
      <c r="K43" s="1"/>
      <c r="L43" s="1"/>
      <c r="M43" s="1"/>
      <c r="N43" s="1"/>
      <c r="O43" s="1"/>
      <c r="P43" s="1"/>
      <c r="Q43" s="1"/>
      <c r="R43" s="1"/>
      <c r="S43" s="1"/>
      <c r="T43" s="1"/>
      <c r="U43" s="1"/>
      <c r="V43" s="1"/>
      <c r="W43" s="1"/>
      <c r="X43" s="1"/>
    </row>
    <row r="44" spans="1:28">
      <c r="X44" s="1"/>
    </row>
    <row r="45" spans="1:28">
      <c r="B45" s="1"/>
      <c r="C45" s="1"/>
      <c r="D45" s="1"/>
      <c r="E45" s="1"/>
      <c r="F45" s="1"/>
      <c r="G45" s="1"/>
      <c r="H45" s="1"/>
      <c r="I45" s="1"/>
      <c r="J45" s="1"/>
      <c r="K45" s="1"/>
      <c r="L45" s="1"/>
      <c r="M45" s="1"/>
      <c r="N45" s="1"/>
      <c r="O45" s="1"/>
      <c r="P45" s="1"/>
      <c r="Q45" s="1"/>
      <c r="R45" s="1"/>
      <c r="S45" s="1"/>
      <c r="T45" s="1"/>
      <c r="U45" s="1"/>
      <c r="V45" s="1"/>
      <c r="W45" s="1"/>
    </row>
    <row r="46" spans="1:28">
      <c r="B46" s="1"/>
      <c r="C46" s="1"/>
      <c r="D46" s="1"/>
      <c r="E46" s="1"/>
      <c r="F46" s="1"/>
      <c r="G46" s="1"/>
      <c r="H46" s="1"/>
      <c r="I46" s="1"/>
      <c r="J46" s="1"/>
      <c r="K46" s="1"/>
      <c r="L46" s="1"/>
      <c r="M46" s="1"/>
      <c r="N46" s="1"/>
      <c r="O46" s="1"/>
      <c r="P46" s="1"/>
      <c r="Q46" s="1"/>
      <c r="R46" s="1"/>
      <c r="S46" s="1"/>
      <c r="T46" s="1"/>
      <c r="U46" s="1"/>
      <c r="V46" s="1"/>
      <c r="W46" s="1"/>
    </row>
    <row r="47" spans="1:28">
      <c r="M47" s="1"/>
    </row>
    <row r="48" spans="1:28">
      <c r="M48" s="1"/>
    </row>
    <row r="49" spans="2:24">
      <c r="M49" s="1"/>
    </row>
    <row r="50" spans="2:24">
      <c r="X50" s="1"/>
    </row>
    <row r="51" spans="2:24">
      <c r="B51" s="1"/>
      <c r="C51" s="1"/>
      <c r="D51" s="1"/>
      <c r="E51" s="1"/>
      <c r="F51" s="1"/>
      <c r="G51" s="1"/>
      <c r="H51" s="1"/>
      <c r="I51" s="1"/>
      <c r="J51" s="1"/>
      <c r="K51" s="1"/>
      <c r="L51" s="1"/>
      <c r="M51" s="1"/>
      <c r="X51" s="1"/>
    </row>
    <row r="52" spans="2:24">
      <c r="B52" s="1"/>
      <c r="C52" s="1"/>
      <c r="D52" s="1"/>
      <c r="E52" s="1"/>
      <c r="F52" s="1"/>
      <c r="G52" s="1"/>
      <c r="H52" s="1"/>
      <c r="I52" s="1"/>
      <c r="J52" s="1"/>
      <c r="K52" s="1"/>
      <c r="L52" s="1"/>
      <c r="M52" s="1"/>
      <c r="N52" s="1"/>
      <c r="O52" s="1"/>
      <c r="P52" s="1"/>
      <c r="Q52" s="1"/>
      <c r="R52" s="1"/>
      <c r="S52" s="1"/>
      <c r="T52" s="1"/>
      <c r="U52" s="1"/>
      <c r="V52" s="1"/>
      <c r="W52" s="1"/>
      <c r="X52" s="1"/>
    </row>
    <row r="53" spans="2:24">
      <c r="B53" s="1"/>
      <c r="C53" s="1"/>
      <c r="D53" s="1"/>
      <c r="E53" s="1"/>
      <c r="F53" s="1"/>
      <c r="G53" s="1"/>
      <c r="H53" s="1"/>
      <c r="I53" s="1"/>
      <c r="J53" s="1"/>
      <c r="K53" s="1"/>
      <c r="L53" s="1"/>
      <c r="M53" s="1"/>
      <c r="N53" s="1"/>
      <c r="O53" s="1"/>
      <c r="P53" s="1"/>
      <c r="Q53" s="1"/>
      <c r="R53" s="1"/>
      <c r="S53" s="1"/>
      <c r="T53" s="1"/>
      <c r="U53" s="1"/>
      <c r="V53" s="1"/>
      <c r="W53" s="1"/>
      <c r="X53" s="1"/>
    </row>
    <row r="54" spans="2:24">
      <c r="B54" s="1"/>
    </row>
    <row r="55" spans="2:24">
      <c r="B55" s="1"/>
      <c r="G55" s="1"/>
      <c r="H55" s="1"/>
      <c r="I55" s="1"/>
      <c r="J55" s="1"/>
      <c r="K55" s="1"/>
      <c r="L55" s="1"/>
      <c r="M55" s="1"/>
    </row>
    <row r="56" spans="2:24">
      <c r="B56" s="1"/>
      <c r="C56" s="1"/>
      <c r="D56" s="1"/>
      <c r="E56" s="1"/>
      <c r="F56" s="1"/>
      <c r="G56" s="1"/>
      <c r="H56" s="1"/>
      <c r="I56" s="1"/>
      <c r="J56" s="1"/>
      <c r="K56" s="1"/>
      <c r="L56" s="1"/>
      <c r="M56" s="1"/>
    </row>
    <row r="57" spans="2:24">
      <c r="B57" s="1"/>
      <c r="C57" s="1"/>
      <c r="D57" s="1"/>
      <c r="E57" s="1"/>
      <c r="F57" s="1"/>
      <c r="G57" s="1"/>
      <c r="H57" s="1"/>
      <c r="I57" s="1"/>
      <c r="J57" s="1"/>
      <c r="K57" s="1"/>
      <c r="L57" s="1"/>
      <c r="M57" s="1"/>
      <c r="N57" s="1"/>
      <c r="O57" s="1"/>
      <c r="P57" s="1"/>
      <c r="Q57" s="1"/>
      <c r="R57" s="1"/>
      <c r="S57" s="1"/>
      <c r="T57" s="1"/>
      <c r="U57" s="1"/>
      <c r="V57" s="1"/>
      <c r="W57" s="1"/>
      <c r="X57" s="1"/>
    </row>
    <row r="58" spans="2:24">
      <c r="B58" s="1"/>
      <c r="C58" s="1"/>
      <c r="D58" s="1"/>
      <c r="E58" s="1"/>
      <c r="F58" s="1"/>
      <c r="G58" s="1"/>
      <c r="H58" s="1"/>
      <c r="I58" s="1"/>
      <c r="J58" s="1"/>
      <c r="K58" s="1"/>
      <c r="L58" s="1"/>
      <c r="M58" s="1"/>
      <c r="N58" s="1"/>
      <c r="O58" s="1"/>
      <c r="P58" s="1"/>
      <c r="Q58" s="1"/>
      <c r="R58" s="1"/>
      <c r="S58" s="1"/>
      <c r="T58" s="1"/>
      <c r="U58" s="1"/>
      <c r="V58" s="1"/>
      <c r="W58" s="1"/>
      <c r="X58" s="1"/>
    </row>
    <row r="59" spans="2:24">
      <c r="B59" s="1"/>
      <c r="C59" s="1"/>
      <c r="D59" s="1"/>
      <c r="E59" s="1"/>
      <c r="F59" s="1"/>
      <c r="G59" s="1"/>
      <c r="H59" s="1"/>
      <c r="I59" s="1"/>
      <c r="J59" s="1"/>
      <c r="K59" s="1"/>
      <c r="L59" s="1"/>
      <c r="M59" s="1"/>
      <c r="N59" s="1"/>
      <c r="O59" s="1"/>
      <c r="P59" s="1"/>
      <c r="Q59" s="1"/>
    </row>
    <row r="60" spans="2:24">
      <c r="B60" s="1"/>
      <c r="C60" s="1"/>
      <c r="D60" s="1"/>
      <c r="E60" s="1"/>
      <c r="F60" s="1"/>
      <c r="G60" s="1"/>
      <c r="H60" s="1"/>
    </row>
    <row r="61" spans="2:24">
      <c r="B61" s="1"/>
      <c r="C61" s="1"/>
      <c r="D61" s="1"/>
      <c r="E61" s="1"/>
      <c r="F61" s="1"/>
      <c r="G61" s="1"/>
      <c r="H61" s="1"/>
      <c r="I61" s="1"/>
      <c r="J61" s="1"/>
      <c r="K61" s="1"/>
      <c r="L61" s="1"/>
      <c r="M61" s="1"/>
      <c r="N61" s="1"/>
      <c r="O61" s="1"/>
      <c r="P61" s="1"/>
      <c r="Q61" s="1"/>
    </row>
    <row r="62" spans="2:24">
      <c r="B62" s="1"/>
      <c r="C62" s="1"/>
      <c r="D62" s="1"/>
      <c r="E62" s="1"/>
      <c r="F62" s="1"/>
      <c r="G62" s="1"/>
      <c r="H62" s="1"/>
      <c r="I62" s="1"/>
      <c r="J62" s="1"/>
      <c r="K62" s="1"/>
      <c r="L62" s="1"/>
      <c r="M62" s="1"/>
      <c r="N62" s="1"/>
      <c r="O62" s="1"/>
      <c r="P62" s="1"/>
      <c r="Q62" s="1"/>
      <c r="R62" s="1"/>
      <c r="S62" s="1"/>
      <c r="T62" s="1"/>
      <c r="U62" s="1"/>
      <c r="V62" s="1"/>
      <c r="W62" s="1"/>
      <c r="X62" s="1"/>
    </row>
    <row r="63" spans="2:24">
      <c r="B63" s="1"/>
      <c r="C63" s="1"/>
      <c r="D63" s="1"/>
      <c r="E63" s="1"/>
      <c r="F63" s="1"/>
      <c r="G63" s="1"/>
      <c r="H63" s="1"/>
      <c r="I63" s="1"/>
      <c r="J63" s="1"/>
      <c r="K63" s="1"/>
      <c r="L63" s="1"/>
      <c r="M63" s="1"/>
      <c r="N63" s="1"/>
      <c r="O63" s="1"/>
      <c r="P63" s="1"/>
      <c r="Q63" s="1"/>
      <c r="R63" s="1"/>
      <c r="S63" s="1"/>
      <c r="T63" s="1"/>
      <c r="U63" s="1"/>
      <c r="V63" s="1"/>
      <c r="W63" s="1"/>
      <c r="X63" s="1"/>
    </row>
    <row r="64" spans="2:24">
      <c r="B64" s="1"/>
      <c r="C64" s="1"/>
      <c r="D64" s="1"/>
      <c r="E64" s="1"/>
      <c r="F64" s="1"/>
      <c r="G64" s="1"/>
      <c r="H64" s="1"/>
      <c r="I64" s="1"/>
      <c r="J64" s="1"/>
      <c r="K64" s="1"/>
      <c r="L64" s="1"/>
      <c r="M64" s="1"/>
      <c r="N64" s="1"/>
      <c r="O64" s="1"/>
      <c r="P64" s="1"/>
      <c r="Q64" s="1"/>
      <c r="R64" s="1"/>
      <c r="S64" s="1"/>
      <c r="T64" s="1"/>
    </row>
    <row r="65" spans="2:24">
      <c r="B65" s="1"/>
      <c r="C65" s="1"/>
      <c r="D65" s="1"/>
      <c r="E65" s="1"/>
      <c r="F65" s="1"/>
      <c r="G65" s="1"/>
      <c r="H65" s="1"/>
      <c r="I65" s="1"/>
      <c r="J65" s="1"/>
      <c r="K65" s="1"/>
      <c r="L65" s="1"/>
      <c r="M65" s="1"/>
      <c r="N65" s="1"/>
      <c r="O65" s="1"/>
      <c r="P65" s="1"/>
      <c r="Q65" s="1"/>
      <c r="R65" s="1"/>
      <c r="S65" s="1"/>
      <c r="T65" s="1"/>
      <c r="U65" s="1"/>
    </row>
    <row r="66" spans="2:24">
      <c r="Q66" s="1"/>
      <c r="R66" s="1"/>
      <c r="S66" s="1"/>
      <c r="T66" s="1"/>
    </row>
    <row r="67" spans="2:24">
      <c r="B67" s="1"/>
      <c r="C67" s="1"/>
      <c r="D67" s="1"/>
      <c r="E67" s="1"/>
      <c r="F67" s="1"/>
      <c r="G67" s="1"/>
      <c r="H67" s="1"/>
      <c r="I67" s="1"/>
      <c r="J67" s="1"/>
      <c r="K67" s="1"/>
      <c r="L67" s="1"/>
      <c r="N67" s="1"/>
      <c r="O67" s="1"/>
      <c r="P67" s="1"/>
      <c r="Q67" s="1"/>
      <c r="R67" s="1"/>
      <c r="S67" s="1"/>
      <c r="T67" s="1"/>
      <c r="U67" s="1"/>
      <c r="V67" s="1"/>
      <c r="W67" s="1"/>
      <c r="X67" s="1"/>
    </row>
    <row r="68" spans="2:24">
      <c r="B68" s="1"/>
      <c r="C68" s="1"/>
      <c r="D68" s="1"/>
      <c r="E68" s="1"/>
      <c r="F68" s="1"/>
      <c r="G68" s="1"/>
      <c r="H68" s="1"/>
      <c r="I68" s="1"/>
      <c r="J68" s="1"/>
      <c r="K68" s="1"/>
      <c r="L68" s="1"/>
      <c r="M68" s="1"/>
      <c r="N68" s="1"/>
      <c r="O68" s="1"/>
      <c r="P68" s="1"/>
      <c r="Q68" s="1"/>
      <c r="R68" s="1"/>
      <c r="S68" s="1"/>
      <c r="T68" s="1"/>
      <c r="U68" s="1"/>
      <c r="V68" s="1"/>
      <c r="W68" s="1"/>
      <c r="X68" s="1"/>
    </row>
    <row r="69" spans="2:24">
      <c r="B69" s="1"/>
      <c r="C69" s="1"/>
      <c r="D69" s="1"/>
      <c r="E69" s="1"/>
      <c r="F69" s="1"/>
      <c r="G69" s="1"/>
      <c r="H69" s="1"/>
    </row>
    <row r="70" spans="2:24">
      <c r="B70" s="1"/>
      <c r="C70" s="1"/>
      <c r="D70" s="1"/>
      <c r="E70" s="1"/>
      <c r="F70" s="1"/>
      <c r="G70" s="1"/>
      <c r="H70" s="1"/>
      <c r="I70" s="1"/>
      <c r="J70" s="1"/>
      <c r="K70" s="1"/>
      <c r="L70" s="1"/>
      <c r="M70" s="1"/>
      <c r="N70" s="1"/>
      <c r="O70" s="1"/>
      <c r="P70" s="1"/>
      <c r="Q70" s="1"/>
      <c r="R70" s="1"/>
      <c r="S70" s="1"/>
      <c r="T70" s="1"/>
      <c r="U70" s="1"/>
      <c r="V70" s="1"/>
      <c r="W70" s="1"/>
      <c r="X70" s="1"/>
    </row>
    <row r="71" spans="2:24">
      <c r="B71" s="1"/>
    </row>
    <row r="72" spans="2:24">
      <c r="B72" s="1"/>
      <c r="C72" s="1"/>
      <c r="D72" s="1"/>
      <c r="E72" s="1"/>
      <c r="F72" s="1"/>
      <c r="G72" s="1"/>
      <c r="H72" s="1"/>
      <c r="I72" s="1"/>
      <c r="J72" s="1"/>
      <c r="K72" s="1"/>
      <c r="L72" s="1"/>
      <c r="M72" s="1"/>
      <c r="N72" s="1"/>
      <c r="O72" s="1"/>
      <c r="P72" s="1"/>
      <c r="Q72" s="1"/>
      <c r="R72" s="1"/>
      <c r="S72" s="1"/>
      <c r="T72" s="1"/>
      <c r="U72" s="1"/>
      <c r="V72" s="1"/>
      <c r="W72" s="1"/>
      <c r="X72" s="1"/>
    </row>
    <row r="73" spans="2:24">
      <c r="B73" s="1"/>
      <c r="C73" s="1"/>
      <c r="D73" s="1"/>
      <c r="E73" s="1"/>
      <c r="F73" s="1"/>
      <c r="G73" s="1"/>
      <c r="H73" s="1"/>
      <c r="I73" s="1"/>
      <c r="J73" s="1"/>
      <c r="K73" s="1"/>
      <c r="L73" s="1"/>
      <c r="M73" s="1"/>
      <c r="X73" s="1"/>
    </row>
    <row r="74" spans="2:24">
      <c r="B74" s="1"/>
      <c r="C74" s="1"/>
      <c r="D74" s="1"/>
      <c r="E74" s="1"/>
      <c r="F74" s="1"/>
      <c r="G74" s="1"/>
      <c r="H74" s="1"/>
      <c r="I74" s="1"/>
      <c r="J74" s="1"/>
      <c r="K74" s="1"/>
      <c r="L74" s="1"/>
      <c r="M74" s="1"/>
      <c r="N74" s="1"/>
      <c r="O74" s="1"/>
      <c r="P74" s="1"/>
      <c r="Q74" s="1"/>
      <c r="R74" s="1"/>
      <c r="S74" s="1"/>
      <c r="T74" s="1"/>
      <c r="U74" s="1"/>
      <c r="V74" s="1"/>
      <c r="W74" s="1"/>
      <c r="X74" s="1"/>
    </row>
    <row r="75" spans="2:24">
      <c r="B75" s="1"/>
      <c r="C75" s="1"/>
      <c r="D75" s="1"/>
      <c r="E75" s="1"/>
      <c r="F75" s="1"/>
      <c r="G75" s="1"/>
      <c r="H75" s="1"/>
      <c r="I75" s="1"/>
      <c r="J75" s="1"/>
      <c r="K75" s="1"/>
      <c r="L75" s="1"/>
      <c r="M75" s="1"/>
      <c r="N75" s="1"/>
      <c r="O75" s="1"/>
      <c r="P75" s="1"/>
      <c r="Q75" s="1"/>
      <c r="R75" s="1"/>
      <c r="S75" s="1"/>
      <c r="T75" s="1"/>
      <c r="U75" s="1"/>
      <c r="V75" s="1"/>
      <c r="W75" s="1"/>
      <c r="X75" s="1"/>
    </row>
    <row r="76" spans="2:24">
      <c r="B76" s="1"/>
      <c r="C76" s="1"/>
      <c r="D76" s="1"/>
      <c r="E76" s="1"/>
      <c r="F76" s="1"/>
      <c r="G76" s="1"/>
      <c r="H76" s="1"/>
      <c r="I76" s="1"/>
      <c r="J76" s="1"/>
      <c r="K76" s="1"/>
      <c r="L76" s="1"/>
      <c r="M76" s="1"/>
      <c r="N76" s="1"/>
      <c r="O76" s="1"/>
      <c r="P76" s="1"/>
      <c r="Q76" s="1"/>
      <c r="R76" s="1"/>
      <c r="S76" s="1"/>
      <c r="T76" s="1"/>
      <c r="U76" s="1"/>
      <c r="V76" s="1"/>
      <c r="W76" s="1"/>
      <c r="X76" s="1"/>
    </row>
    <row r="77" spans="2:24">
      <c r="B77" s="1"/>
      <c r="C77" s="1"/>
      <c r="D77" s="1"/>
      <c r="E77" s="1"/>
      <c r="F77" s="1"/>
      <c r="G77" s="1"/>
      <c r="H77" s="1"/>
      <c r="I77" s="1"/>
      <c r="J77" s="1"/>
      <c r="K77" s="1"/>
      <c r="L77" s="1"/>
      <c r="M77" s="1"/>
      <c r="N77" s="1"/>
      <c r="O77" s="1"/>
      <c r="P77" s="1"/>
      <c r="Q77" s="1"/>
      <c r="R77" s="1"/>
      <c r="S77" s="1"/>
      <c r="T77" s="1"/>
      <c r="U77" s="1"/>
      <c r="V77" s="1"/>
      <c r="W77" s="1"/>
      <c r="X77" s="1"/>
    </row>
    <row r="78" spans="2:24">
      <c r="B78" s="1"/>
      <c r="C78" s="1"/>
      <c r="D78" s="1"/>
      <c r="E78" s="1"/>
      <c r="F78" s="1"/>
      <c r="G78" s="1"/>
      <c r="H78" s="1"/>
      <c r="I78" s="1"/>
      <c r="J78" s="1"/>
      <c r="K78" s="1"/>
      <c r="L78" s="1"/>
      <c r="M78" s="1"/>
      <c r="N78" s="1"/>
      <c r="O78" s="1"/>
      <c r="P78" s="1"/>
      <c r="Q78" s="1"/>
      <c r="R78" s="1"/>
      <c r="S78" s="1"/>
      <c r="T78" s="1"/>
      <c r="U78" s="1"/>
      <c r="V78" s="1"/>
      <c r="W78" s="1"/>
      <c r="X78" s="1"/>
    </row>
    <row r="79" spans="2:24">
      <c r="B79" s="1"/>
      <c r="C79" s="1"/>
      <c r="D79" s="1"/>
      <c r="E79" s="1"/>
      <c r="F79" s="1"/>
      <c r="G79" s="1"/>
      <c r="H79" s="1"/>
      <c r="I79" s="1"/>
      <c r="J79" s="1"/>
      <c r="K79" s="1"/>
      <c r="L79" s="1"/>
      <c r="M79" s="1"/>
      <c r="N79" s="1"/>
      <c r="O79" s="1"/>
      <c r="P79" s="1"/>
      <c r="Q79" s="1"/>
      <c r="R79" s="1"/>
      <c r="S79" s="1"/>
      <c r="T79" s="1"/>
      <c r="U79" s="1"/>
      <c r="V79" s="1"/>
      <c r="W79" s="1"/>
      <c r="X79" s="1"/>
    </row>
    <row r="83" spans="2:24" ht="15.5" hidden="1">
      <c r="B83" s="5"/>
      <c r="C83" s="5"/>
      <c r="D83" s="5"/>
      <c r="E83" s="5"/>
      <c r="F83" s="5"/>
      <c r="G83" s="5"/>
      <c r="H83" s="5"/>
      <c r="I83" s="18"/>
      <c r="J83" s="18"/>
      <c r="K83" s="18"/>
      <c r="L83" s="18"/>
      <c r="M83" s="18"/>
      <c r="N83" s="18"/>
      <c r="O83" s="18"/>
      <c r="P83" s="18"/>
      <c r="Q83" s="18"/>
      <c r="R83" s="18"/>
      <c r="S83" s="18"/>
      <c r="T83" s="18"/>
      <c r="U83" s="18"/>
      <c r="V83" s="18"/>
      <c r="W83" s="18"/>
    </row>
    <row r="84" spans="2:24" ht="15.5" hidden="1">
      <c r="B84" s="19"/>
      <c r="C84" s="19"/>
      <c r="D84" s="19"/>
      <c r="E84" s="19"/>
      <c r="F84" s="19"/>
      <c r="G84" s="19"/>
      <c r="H84" s="19"/>
      <c r="I84" s="19"/>
      <c r="J84" s="19"/>
      <c r="K84" s="19"/>
      <c r="L84" s="19"/>
      <c r="M84" s="19"/>
      <c r="N84" s="19"/>
      <c r="O84" s="19"/>
      <c r="P84" s="19"/>
      <c r="Q84" s="19"/>
      <c r="R84" s="19"/>
      <c r="S84" s="19"/>
      <c r="T84" s="19"/>
      <c r="U84" s="19"/>
      <c r="V84" s="19"/>
      <c r="W84" s="19"/>
      <c r="X84" s="8"/>
    </row>
    <row r="85" spans="2:24" ht="15.5" hidden="1">
      <c r="B85" s="12"/>
      <c r="C85" s="12"/>
      <c r="D85" s="12"/>
      <c r="E85" s="12"/>
      <c r="F85" s="12"/>
      <c r="G85" s="12"/>
      <c r="H85" s="12"/>
      <c r="I85" s="12"/>
      <c r="J85" s="12"/>
      <c r="K85" s="12"/>
      <c r="L85" s="12"/>
      <c r="M85" s="12"/>
      <c r="N85" s="12"/>
      <c r="O85" s="12"/>
      <c r="P85" s="12"/>
      <c r="Q85" s="12"/>
      <c r="R85" s="12"/>
      <c r="S85" s="12"/>
      <c r="T85" s="12"/>
      <c r="U85" s="12"/>
      <c r="V85" s="12"/>
      <c r="W85" s="12"/>
      <c r="X85" s="12"/>
    </row>
    <row r="86" spans="2:24" hidden="1">
      <c r="B86" s="7"/>
      <c r="C86" s="7"/>
      <c r="D86" s="7"/>
      <c r="E86" s="7"/>
      <c r="F86" s="7"/>
      <c r="G86" s="7"/>
      <c r="H86" s="7"/>
      <c r="I86" s="7"/>
      <c r="J86" s="7"/>
      <c r="K86" s="7"/>
      <c r="L86" s="7"/>
      <c r="M86" s="7"/>
      <c r="N86" s="7"/>
      <c r="O86" s="7"/>
      <c r="P86" s="7"/>
      <c r="Q86" s="7"/>
      <c r="R86" s="7"/>
      <c r="S86" s="7"/>
      <c r="T86" s="7"/>
      <c r="U86" s="7"/>
      <c r="V86" s="7"/>
    </row>
    <row r="87" spans="2:24" hidden="1">
      <c r="B87" s="3"/>
      <c r="C87" s="3"/>
      <c r="D87" s="3"/>
      <c r="E87" s="3"/>
      <c r="F87" s="3"/>
      <c r="G87" s="3"/>
      <c r="H87" s="3"/>
      <c r="I87" s="3"/>
      <c r="J87" s="3"/>
      <c r="K87" s="3"/>
      <c r="L87" s="3"/>
      <c r="M87" s="3"/>
      <c r="N87" s="3"/>
      <c r="O87" s="3"/>
      <c r="P87" s="3"/>
      <c r="Q87" s="3"/>
      <c r="R87" s="3"/>
      <c r="S87" s="3"/>
      <c r="T87" s="3"/>
      <c r="U87" s="3"/>
      <c r="V87" s="3"/>
      <c r="W87" s="3"/>
      <c r="X87" s="3"/>
    </row>
    <row r="88" spans="2:24" ht="15.5" hidden="1">
      <c r="B88" s="19"/>
      <c r="C88" s="19"/>
      <c r="D88" s="19"/>
      <c r="E88" s="19"/>
      <c r="F88" s="19"/>
      <c r="G88" s="19"/>
      <c r="H88" s="19"/>
      <c r="I88" s="19"/>
      <c r="J88" s="19"/>
      <c r="K88" s="19"/>
      <c r="L88" s="19"/>
      <c r="M88" s="19"/>
      <c r="N88" s="19"/>
      <c r="O88" s="19"/>
      <c r="P88" s="19"/>
      <c r="Q88" s="19"/>
      <c r="R88" s="19"/>
      <c r="S88" s="19"/>
      <c r="T88" s="19"/>
      <c r="U88" s="19"/>
      <c r="V88" s="19"/>
      <c r="W88" s="19"/>
      <c r="X88" s="19"/>
    </row>
    <row r="89" spans="2:24" ht="15.5" hidden="1">
      <c r="B89" s="14"/>
      <c r="C89" s="20"/>
      <c r="E89" s="1"/>
      <c r="F89" s="1"/>
      <c r="G89" s="1"/>
      <c r="H89" s="1"/>
      <c r="I89" s="1"/>
      <c r="J89" s="1"/>
      <c r="K89" s="1"/>
      <c r="L89" s="1"/>
      <c r="M89" s="1"/>
      <c r="N89" s="1"/>
      <c r="O89" s="1"/>
      <c r="P89" s="1"/>
      <c r="Q89" s="1"/>
      <c r="R89" s="1"/>
      <c r="S89" s="1"/>
      <c r="T89" s="1"/>
      <c r="U89" s="1"/>
      <c r="V89" s="1"/>
      <c r="W89" s="1"/>
      <c r="X89" s="1"/>
    </row>
    <row r="90" spans="2:24" hidden="1">
      <c r="B90" s="3"/>
      <c r="C90" s="3"/>
      <c r="D90" s="3"/>
      <c r="E90" s="3"/>
      <c r="F90" s="3"/>
      <c r="G90" s="3"/>
      <c r="H90" s="3"/>
      <c r="I90" s="3"/>
      <c r="J90" s="3"/>
      <c r="K90" s="3"/>
      <c r="L90" s="3"/>
      <c r="M90" s="3"/>
      <c r="N90" s="3"/>
      <c r="O90" s="3"/>
      <c r="P90" s="3"/>
      <c r="Q90" s="3"/>
      <c r="R90" s="3"/>
      <c r="S90" s="3"/>
      <c r="T90" s="3"/>
      <c r="U90" s="3"/>
      <c r="V90" s="3"/>
      <c r="W90" s="3"/>
      <c r="X90" s="3"/>
    </row>
    <row r="91" spans="2:24">
      <c r="B91" s="3"/>
      <c r="C91" s="3"/>
      <c r="D91" s="3"/>
      <c r="E91" s="3"/>
      <c r="F91" s="3"/>
      <c r="G91" s="3"/>
      <c r="H91" s="3"/>
      <c r="I91" s="3"/>
      <c r="J91" s="3"/>
      <c r="K91" s="3"/>
      <c r="L91" s="3"/>
      <c r="M91" s="3"/>
      <c r="N91" s="3"/>
    </row>
    <row r="92" spans="2:24" ht="15.5">
      <c r="B92" s="3"/>
      <c r="C92" s="12"/>
      <c r="D92" s="7"/>
    </row>
    <row r="93" spans="2:24" ht="15.5">
      <c r="B93" s="3"/>
      <c r="C93" s="12"/>
      <c r="D93" s="7"/>
    </row>
    <row r="94" spans="2:24" ht="15.5">
      <c r="B94" s="3"/>
      <c r="C94" s="12"/>
      <c r="D94" s="7"/>
    </row>
    <row r="95" spans="2:24" ht="15.5">
      <c r="B95" s="3"/>
      <c r="C95" s="12"/>
      <c r="D95" s="7"/>
    </row>
    <row r="96" spans="2:24" ht="15.5">
      <c r="B96" s="3"/>
      <c r="C96" s="12"/>
      <c r="D96" s="7"/>
    </row>
    <row r="97" spans="2:4" ht="15.5">
      <c r="B97" s="3"/>
      <c r="C97" s="12"/>
      <c r="D97" s="7"/>
    </row>
    <row r="98" spans="2:4" ht="15.5">
      <c r="B98" s="3"/>
      <c r="C98" s="12"/>
      <c r="D98" s="7"/>
    </row>
    <row r="99" spans="2:4" ht="15.5">
      <c r="B99" s="3"/>
      <c r="C99" s="12"/>
      <c r="D99" s="7"/>
    </row>
    <row r="100" spans="2:4" ht="15.5">
      <c r="B100" s="3"/>
      <c r="C100" s="12"/>
      <c r="D100" s="7"/>
    </row>
    <row r="101" spans="2:4" ht="15.5">
      <c r="B101" s="3"/>
      <c r="C101" s="12"/>
      <c r="D101" s="7"/>
    </row>
    <row r="102" spans="2:4" ht="15.5">
      <c r="B102" s="3"/>
      <c r="C102" s="12"/>
      <c r="D102" s="7"/>
    </row>
    <row r="103" spans="2:4" ht="15.5">
      <c r="B103" s="3"/>
      <c r="C103" s="12"/>
      <c r="D103" s="7"/>
    </row>
    <row r="104" spans="2:4" ht="15.5">
      <c r="B104" s="3"/>
      <c r="C104" s="12"/>
      <c r="D104" s="7"/>
    </row>
    <row r="105" spans="2:4" ht="15.5">
      <c r="B105" s="3"/>
      <c r="C105" s="12"/>
      <c r="D105" s="7"/>
    </row>
    <row r="106" spans="2:4" ht="15.5">
      <c r="B106" s="3"/>
      <c r="C106" s="12"/>
      <c r="D106" s="7"/>
    </row>
    <row r="107" spans="2:4" ht="15.5">
      <c r="B107" s="3"/>
      <c r="C107" s="12"/>
      <c r="D107" s="7"/>
    </row>
    <row r="108" spans="2:4" ht="15.5">
      <c r="B108" s="3"/>
      <c r="C108" s="12"/>
      <c r="D108" s="7"/>
    </row>
    <row r="109" spans="2:4" ht="15.5">
      <c r="B109" s="3"/>
      <c r="C109" s="12"/>
    </row>
    <row r="110" spans="2:4" ht="15.5">
      <c r="B110" s="3"/>
      <c r="C110" s="12"/>
    </row>
    <row r="111" spans="2:4" ht="15.5">
      <c r="B111" s="3"/>
      <c r="C111" s="12"/>
    </row>
  </sheetData>
  <sortState xmlns:xlrd2="http://schemas.microsoft.com/office/spreadsheetml/2017/richdata2" ref="B89:C111">
    <sortCondition descending="1" ref="C89"/>
  </sortState>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E8682-4262-6C48-B68F-A99D1F7C0250}">
  <dimension ref="B2:C46"/>
  <sheetViews>
    <sheetView topLeftCell="A30" zoomScale="140" zoomScaleNormal="140" workbookViewId="0">
      <selection activeCell="C31" sqref="C31"/>
    </sheetView>
  </sheetViews>
  <sheetFormatPr defaultColWidth="8.83203125" defaultRowHeight="14"/>
  <cols>
    <col min="1" max="1" width="2.58203125" customWidth="1"/>
    <col min="2" max="2" width="2.58203125" style="11" customWidth="1"/>
  </cols>
  <sheetData>
    <row r="2" spans="2:3" ht="17.5">
      <c r="B2" s="60" t="s">
        <v>1298</v>
      </c>
    </row>
    <row r="3" spans="2:3" ht="17.5">
      <c r="B3" s="60" t="s">
        <v>1299</v>
      </c>
    </row>
    <row r="5" spans="2:3" ht="20">
      <c r="B5" s="59" t="s">
        <v>1300</v>
      </c>
      <c r="C5" s="58" t="s">
        <v>1301</v>
      </c>
    </row>
    <row r="6" spans="2:3">
      <c r="C6" t="s">
        <v>1302</v>
      </c>
    </row>
    <row r="7" spans="2:3">
      <c r="C7" t="s">
        <v>1303</v>
      </c>
    </row>
    <row r="8" spans="2:3">
      <c r="C8" t="s">
        <v>1304</v>
      </c>
    </row>
    <row r="10" spans="2:3" ht="20">
      <c r="B10" s="59">
        <v>1</v>
      </c>
      <c r="C10" s="58" t="s">
        <v>1305</v>
      </c>
    </row>
    <row r="11" spans="2:3">
      <c r="C11" t="s">
        <v>1306</v>
      </c>
    </row>
    <row r="12" spans="2:3">
      <c r="C12" t="s">
        <v>1307</v>
      </c>
    </row>
    <row r="13" spans="2:3">
      <c r="C13" t="s">
        <v>1308</v>
      </c>
    </row>
    <row r="15" spans="2:3" ht="20">
      <c r="B15" s="59">
        <v>2</v>
      </c>
      <c r="C15" s="58" t="s">
        <v>1309</v>
      </c>
    </row>
    <row r="16" spans="2:3">
      <c r="C16" t="s">
        <v>1310</v>
      </c>
    </row>
    <row r="17" spans="2:3">
      <c r="C17" t="s">
        <v>1311</v>
      </c>
    </row>
    <row r="18" spans="2:3">
      <c r="C18" t="s">
        <v>1312</v>
      </c>
    </row>
    <row r="19" spans="2:3">
      <c r="C19" t="s">
        <v>1313</v>
      </c>
    </row>
    <row r="20" spans="2:3">
      <c r="C20" t="s">
        <v>1314</v>
      </c>
    </row>
    <row r="21" spans="2:3">
      <c r="C21" t="s">
        <v>1315</v>
      </c>
    </row>
    <row r="22" spans="2:3">
      <c r="C22" t="s">
        <v>1316</v>
      </c>
    </row>
    <row r="24" spans="2:3" ht="20">
      <c r="B24" s="59">
        <v>3</v>
      </c>
      <c r="C24" s="58" t="s">
        <v>1317</v>
      </c>
    </row>
    <row r="25" spans="2:3">
      <c r="C25" t="s">
        <v>1310</v>
      </c>
    </row>
    <row r="26" spans="2:3">
      <c r="C26" t="s">
        <v>1318</v>
      </c>
    </row>
    <row r="27" spans="2:3">
      <c r="C27" t="s">
        <v>1319</v>
      </c>
    </row>
    <row r="28" spans="2:3">
      <c r="C28" t="s">
        <v>1320</v>
      </c>
    </row>
    <row r="30" spans="2:3" ht="20">
      <c r="B30" s="59">
        <v>4</v>
      </c>
      <c r="C30" s="58" t="s">
        <v>1321</v>
      </c>
    </row>
    <row r="31" spans="2:3">
      <c r="C31" t="s">
        <v>1310</v>
      </c>
    </row>
    <row r="32" spans="2:3">
      <c r="C32" t="s">
        <v>1322</v>
      </c>
    </row>
    <row r="33" spans="2:3">
      <c r="C33" t="s">
        <v>1323</v>
      </c>
    </row>
    <row r="34" spans="2:3">
      <c r="C34" t="s">
        <v>1324</v>
      </c>
    </row>
    <row r="35" spans="2:3">
      <c r="C35" t="s">
        <v>1325</v>
      </c>
    </row>
    <row r="36" spans="2:3">
      <c r="C36" t="s">
        <v>1326</v>
      </c>
    </row>
    <row r="37" spans="2:3">
      <c r="C37" t="s">
        <v>1327</v>
      </c>
    </row>
    <row r="38" spans="2:3">
      <c r="C38" t="s">
        <v>1328</v>
      </c>
    </row>
    <row r="39" spans="2:3">
      <c r="C39" t="s">
        <v>1329</v>
      </c>
    </row>
    <row r="40" spans="2:3">
      <c r="C40" t="s">
        <v>1330</v>
      </c>
    </row>
    <row r="41" spans="2:3">
      <c r="C41" t="s">
        <v>1331</v>
      </c>
    </row>
    <row r="43" spans="2:3" ht="20">
      <c r="B43" s="59">
        <v>5</v>
      </c>
      <c r="C43" s="58" t="s">
        <v>1332</v>
      </c>
    </row>
    <row r="44" spans="2:3">
      <c r="C44" t="s">
        <v>1333</v>
      </c>
    </row>
    <row r="45" spans="2:3">
      <c r="C45" t="s">
        <v>1334</v>
      </c>
    </row>
    <row r="46" spans="2:3">
      <c r="C46" t="s">
        <v>1335</v>
      </c>
    </row>
  </sheetData>
  <phoneticPr fontId="4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Everything</vt:lpstr>
      <vt:lpstr>Growth model</vt:lpstr>
      <vt:lpstr>Model An 21A</vt:lpstr>
      <vt:lpstr>Esti. Record</vt:lpstr>
      <vt:lpstr>Valuation</vt:lpstr>
      <vt:lpstr>Operating Analysis</vt:lpstr>
      <vt:lpstr>BS as rep.</vt:lpstr>
      <vt:lpstr>IS as rep.</vt:lpstr>
      <vt:lpstr>CF as rep.</vt:lpstr>
      <vt:lpstr>Chart</vt:lpstr>
      <vt:lpstr>Inc Sta SP</vt:lpstr>
      <vt:lpstr>Bal Sta SP</vt:lpstr>
      <vt:lpstr>CF SP</vt:lpstr>
      <vt:lpstr>Model An 19A</vt:lpstr>
      <vt:lpstr>2020 actual vs forecast</vt:lpstr>
      <vt:lpstr>Model Quar. 20Q4</vt:lpstr>
      <vt:lpstr>Quar. as rep.</vt:lpstr>
      <vt:lpstr>Price</vt:lpstr>
      <vt:lpstr>Same Store</vt:lpstr>
      <vt:lpstr>Annual</vt:lpstr>
      <vt:lpstr>Quarter Matrix</vt:lpstr>
      <vt:lpstr>Annual Matrix</vt:lpstr>
      <vt:lpstr>Income Sta Yh</vt:lpstr>
      <vt:lpstr>Cashflow Yh</vt:lpstr>
      <vt:lpstr>Balance Sheet</vt:lpstr>
      <vt:lpstr>Instruc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Zhao Jinshan</dc:creator>
  <cp:keywords/>
  <dc:description/>
  <cp:lastModifiedBy>HAO CHEN</cp:lastModifiedBy>
  <cp:revision/>
  <dcterms:created xsi:type="dcterms:W3CDTF">2020-06-27T23:12:39Z</dcterms:created>
  <dcterms:modified xsi:type="dcterms:W3CDTF">2024-09-13T04:33:12Z</dcterms:modified>
  <cp:category/>
  <cp:contentStatus/>
</cp:coreProperties>
</file>