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к\Численные методы\ЛР5\"/>
    </mc:Choice>
  </mc:AlternateContent>
  <xr:revisionPtr revIDLastSave="0" documentId="13_ncr:1_{FA155A47-9F62-44C6-8412-EB799A28FD26}" xr6:coauthVersionLast="47" xr6:coauthVersionMax="47" xr10:uidLastSave="{00000000-0000-0000-0000-000000000000}"/>
  <bookViews>
    <workbookView xWindow="11220" yWindow="1845" windowWidth="13320" windowHeight="13620" xr2:uid="{00000000-000D-0000-FFFF-FFFF00000000}"/>
  </bookViews>
  <sheets>
    <sheet name="Лист1" sheetId="1" r:id="rId1"/>
    <sheet name="лист 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4" i="1"/>
  <c r="J16" i="1"/>
  <c r="O5" i="1" l="1"/>
  <c r="N4" i="1"/>
  <c r="K30" i="1" l="1"/>
  <c r="F36" i="1"/>
  <c r="F35" i="1"/>
  <c r="E22" i="1"/>
  <c r="C36" i="1"/>
  <c r="D35" i="1"/>
  <c r="D36" i="1"/>
  <c r="L31" i="1"/>
  <c r="L32" i="1"/>
  <c r="L33" i="1"/>
  <c r="L34" i="1"/>
  <c r="L35" i="1"/>
  <c r="L30" i="1"/>
  <c r="B22" i="1"/>
  <c r="K31" i="1"/>
  <c r="K39" i="1" s="1"/>
  <c r="K32" i="1"/>
  <c r="K33" i="1"/>
  <c r="K34" i="1"/>
  <c r="K35" i="1"/>
  <c r="E4" i="1"/>
  <c r="O9" i="1"/>
  <c r="N9" i="1"/>
  <c r="O8" i="1"/>
  <c r="N8" i="1"/>
  <c r="O7" i="1"/>
  <c r="N7" i="1"/>
  <c r="O6" i="1"/>
  <c r="N6" i="1"/>
  <c r="N5" i="1"/>
  <c r="O4" i="1"/>
  <c r="L39" i="1" l="1"/>
  <c r="C22" i="1" s="1"/>
  <c r="B36" i="1"/>
  <c r="C35" i="1"/>
  <c r="B35" i="1"/>
  <c r="C34" i="1"/>
  <c r="C21" i="1"/>
  <c r="D33" i="1"/>
  <c r="A36" i="1"/>
  <c r="O13" i="1"/>
  <c r="N13" i="1"/>
  <c r="C13" i="1"/>
  <c r="B13" i="1"/>
  <c r="M20" i="1" s="1"/>
  <c r="E5" i="1"/>
  <c r="E6" i="1"/>
  <c r="E7" i="1"/>
  <c r="E8" i="1"/>
  <c r="E9" i="1"/>
  <c r="D5" i="1"/>
  <c r="D6" i="1"/>
  <c r="D7" i="1"/>
  <c r="D8" i="1"/>
  <c r="D9" i="1"/>
  <c r="D4" i="1"/>
  <c r="O20" i="1" l="1"/>
  <c r="E16" i="1"/>
  <c r="C16" i="1"/>
  <c r="G4" i="1" s="1"/>
  <c r="D34" i="1"/>
  <c r="H4" i="1"/>
  <c r="E20" i="1"/>
  <c r="F33" i="1"/>
  <c r="A34" i="1"/>
  <c r="B33" i="1"/>
  <c r="A21" i="1"/>
  <c r="B20" i="1"/>
  <c r="E13" i="1"/>
  <c r="C20" i="1" s="1"/>
  <c r="D13" i="1"/>
  <c r="C15" i="1" l="1"/>
  <c r="E15" i="1" s="1"/>
  <c r="F4" i="1" s="1"/>
  <c r="G8" i="1"/>
  <c r="H8" i="1" s="1"/>
  <c r="G5" i="1"/>
  <c r="H5" i="1" s="1"/>
  <c r="G7" i="1"/>
  <c r="H7" i="1" s="1"/>
  <c r="G9" i="1"/>
  <c r="H9" i="1" s="1"/>
  <c r="G6" i="1"/>
  <c r="M19" i="1"/>
  <c r="F34" i="1"/>
  <c r="E21" i="1"/>
  <c r="A35" i="1"/>
  <c r="B34" i="1"/>
  <c r="C33" i="1"/>
  <c r="A22" i="1"/>
  <c r="B21" i="1"/>
  <c r="I7" i="1"/>
  <c r="J7" i="1" s="1"/>
  <c r="I9" i="1"/>
  <c r="J9" i="1" s="1"/>
  <c r="I8" i="1"/>
  <c r="I5" i="1"/>
  <c r="I4" i="1"/>
  <c r="I6" i="1"/>
  <c r="J6" i="1" s="1"/>
  <c r="H6" i="1"/>
  <c r="F9" i="1" l="1"/>
  <c r="A26" i="1" a="1"/>
  <c r="A27" i="1" s="1"/>
  <c r="A40" i="1" a="1"/>
  <c r="C40" i="1" s="1"/>
  <c r="O19" i="1"/>
  <c r="N15" i="1" s="1"/>
  <c r="O22" i="1" s="1"/>
  <c r="N16" i="1"/>
  <c r="J4" i="1"/>
  <c r="K4" i="1"/>
  <c r="F6" i="1"/>
  <c r="K6" i="1"/>
  <c r="F5" i="1"/>
  <c r="F8" i="1"/>
  <c r="F7" i="1"/>
  <c r="K9" i="1"/>
  <c r="J8" i="1"/>
  <c r="K8" i="1"/>
  <c r="K7" i="1"/>
  <c r="H13" i="1"/>
  <c r="J5" i="1"/>
  <c r="K5" i="1"/>
  <c r="C42" i="1" l="1"/>
  <c r="D43" i="1"/>
  <c r="A40" i="1"/>
  <c r="A41" i="1"/>
  <c r="A28" i="1"/>
  <c r="B43" i="1"/>
  <c r="D41" i="1"/>
  <c r="C27" i="1"/>
  <c r="A26" i="1"/>
  <c r="A42" i="1"/>
  <c r="B42" i="1"/>
  <c r="B41" i="1"/>
  <c r="C28" i="1"/>
  <c r="B28" i="1"/>
  <c r="A43" i="1"/>
  <c r="C43" i="1"/>
  <c r="B40" i="1"/>
  <c r="B26" i="1"/>
  <c r="D42" i="1"/>
  <c r="D40" i="1"/>
  <c r="B27" i="1"/>
  <c r="C41" i="1"/>
  <c r="C26" i="1"/>
  <c r="N33" i="1"/>
  <c r="N31" i="1"/>
  <c r="N32" i="1"/>
  <c r="N35" i="1"/>
  <c r="N34" i="1"/>
  <c r="J13" i="1"/>
  <c r="K13" i="1"/>
  <c r="G40" i="1" l="1" a="1"/>
  <c r="G42" i="1" s="1"/>
  <c r="F26" i="1" a="1"/>
  <c r="F28" i="1" s="1"/>
  <c r="N30" i="1"/>
  <c r="N39" i="1" s="1"/>
  <c r="J17" i="1" s="1"/>
  <c r="P13" i="1"/>
  <c r="G40" i="1" l="1"/>
  <c r="G41" i="1"/>
  <c r="M9" i="1" s="1"/>
  <c r="G43" i="1"/>
  <c r="F26" i="1"/>
  <c r="F27" i="1"/>
  <c r="M4" i="1" l="1"/>
  <c r="M8" i="1"/>
  <c r="M5" i="1"/>
  <c r="L8" i="1"/>
  <c r="M7" i="1"/>
  <c r="M6" i="1"/>
  <c r="L5" i="1"/>
  <c r="L7" i="1"/>
  <c r="L9" i="1"/>
  <c r="L6" i="1"/>
  <c r="L4" i="1"/>
</calcChain>
</file>

<file path=xl/sharedStrings.xml><?xml version="1.0" encoding="utf-8"?>
<sst xmlns="http://schemas.openxmlformats.org/spreadsheetml/2006/main" count="48" uniqueCount="40">
  <si>
    <t>x*y</t>
  </si>
  <si>
    <t>x^2</t>
  </si>
  <si>
    <t>x-Mx</t>
  </si>
  <si>
    <t>(x-Mx)^2</t>
  </si>
  <si>
    <t>y-My</t>
  </si>
  <si>
    <t>(y-My)^2</t>
  </si>
  <si>
    <t>r</t>
  </si>
  <si>
    <t>Y*</t>
  </si>
  <si>
    <t>Сумма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</si>
  <si>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1=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</si>
  <si>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0=</t>
    </r>
  </si>
  <si>
    <t>Mx=</t>
  </si>
  <si>
    <t>My=</t>
  </si>
  <si>
    <t>(x-Mx)(y-My)</t>
  </si>
  <si>
    <r>
      <t xml:space="preserve">x, t </t>
    </r>
    <r>
      <rPr>
        <vertAlign val="superscript"/>
        <sz val="9"/>
        <color theme="1"/>
        <rFont val="Calibri"/>
        <family val="2"/>
        <charset val="204"/>
        <scheme val="minor"/>
      </rPr>
      <t>o</t>
    </r>
    <r>
      <rPr>
        <sz val="9"/>
        <color theme="1"/>
        <rFont val="Calibri"/>
        <family val="2"/>
        <charset val="204"/>
        <scheme val="minor"/>
      </rPr>
      <t>C</t>
    </r>
  </si>
  <si>
    <t>№</t>
  </si>
  <si>
    <t xml:space="preserve">Расчет аналитической зависимости </t>
  </si>
  <si>
    <t>Расчет коэффициента корреляции</t>
  </si>
  <si>
    <t>В таблице приведены значения удельной электропроводимости у стекла в зависимости от температуры X даетс таблицей.</t>
  </si>
  <si>
    <t>y, См/м</t>
  </si>
  <si>
    <t>Показательная функция</t>
  </si>
  <si>
    <t>Квадратичная ф-я</t>
  </si>
  <si>
    <t>Кубическая ф-я</t>
  </si>
  <si>
    <t>ln(y)</t>
  </si>
  <si>
    <t>ln(y)*x</t>
  </si>
  <si>
    <t>b0=</t>
  </si>
  <si>
    <t>a0=</t>
  </si>
  <si>
    <t>b1=</t>
  </si>
  <si>
    <t>a1=</t>
  </si>
  <si>
    <t>Система уравнений для квадратичной функции</t>
  </si>
  <si>
    <t>Обратная матрица</t>
  </si>
  <si>
    <t>a2=</t>
  </si>
  <si>
    <t>Система уравнений для кубической функции</t>
  </si>
  <si>
    <t>a3=</t>
  </si>
  <si>
    <t>x^3</t>
  </si>
  <si>
    <t>x^4</t>
  </si>
  <si>
    <t>Y*пок</t>
  </si>
  <si>
    <t>a0</t>
  </si>
  <si>
    <t>R</t>
  </si>
  <si>
    <t>yi-Yi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</si>
</sst>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164" fontId="0" fillId="4" borderId="1" xfId="0" applyNumberFormat="1" applyFont="1" applyFill="1" applyBorder="1"/>
    <xf numFmtId="164" fontId="0" fillId="0" borderId="1" xfId="0" applyNumberFormat="1" applyFont="1" applyBorder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33838421396588"/>
          <c:y val="8.5743761705733432E-2"/>
          <c:w val="0.6852508184892937"/>
          <c:h val="0.83385023637709099"/>
        </c:manualLayout>
      </c:layout>
      <c:scatterChart>
        <c:scatterStyle val="smoothMarker"/>
        <c:varyColors val="0"/>
        <c:ser>
          <c:idx val="0"/>
          <c:order val="0"/>
          <c:tx>
            <c:v>XY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7.4</c:v>
                </c:pt>
                <c:pt idx="1">
                  <c:v>10</c:v>
                </c:pt>
                <c:pt idx="2">
                  <c:v>12.8</c:v>
                </c:pt>
                <c:pt idx="3">
                  <c:v>20</c:v>
                </c:pt>
                <c:pt idx="4">
                  <c:v>26</c:v>
                </c:pt>
                <c:pt idx="5">
                  <c:v>32</c:v>
                </c:pt>
              </c:numCache>
            </c:numRef>
          </c:xVal>
          <c:yVal>
            <c:numRef>
              <c:f>Лист1!$C$4:$C$9</c:f>
              <c:numCache>
                <c:formatCode>General</c:formatCode>
                <c:ptCount val="6"/>
                <c:pt idx="0">
                  <c:v>16.3</c:v>
                </c:pt>
                <c:pt idx="1">
                  <c:v>15.2</c:v>
                </c:pt>
                <c:pt idx="2">
                  <c:v>14.5</c:v>
                </c:pt>
                <c:pt idx="3">
                  <c:v>13.5</c:v>
                </c:pt>
                <c:pt idx="4">
                  <c:v>13.1</c:v>
                </c:pt>
                <c:pt idx="5">
                  <c:v>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9-4E27-AC05-E1E2761C1651}"/>
            </c:ext>
          </c:extLst>
        </c:ser>
        <c:ser>
          <c:idx val="1"/>
          <c:order val="1"/>
          <c:tx>
            <c:v>Линейная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7.4</c:v>
                </c:pt>
                <c:pt idx="1">
                  <c:v>10</c:v>
                </c:pt>
                <c:pt idx="2">
                  <c:v>12.8</c:v>
                </c:pt>
                <c:pt idx="3">
                  <c:v>20</c:v>
                </c:pt>
                <c:pt idx="4">
                  <c:v>26</c:v>
                </c:pt>
                <c:pt idx="5">
                  <c:v>32</c:v>
                </c:pt>
              </c:numCache>
            </c:numRef>
          </c:xVal>
          <c:yVal>
            <c:numRef>
              <c:f>Лист1!$F$4:$F$9</c:f>
              <c:numCache>
                <c:formatCode>0.000</c:formatCode>
                <c:ptCount val="6"/>
                <c:pt idx="0">
                  <c:v>15.635357799997141</c:v>
                </c:pt>
                <c:pt idx="1">
                  <c:v>15.292543040123233</c:v>
                </c:pt>
                <c:pt idx="2">
                  <c:v>14.923357914105177</c:v>
                </c:pt>
                <c:pt idx="3">
                  <c:v>13.97402473291589</c:v>
                </c:pt>
                <c:pt idx="4">
                  <c:v>13.182913748591483</c:v>
                </c:pt>
                <c:pt idx="5">
                  <c:v>12.391802764267076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9-4E27-AC05-E1E2761C1651}"/>
            </c:ext>
          </c:extLst>
        </c:ser>
        <c:ser>
          <c:idx val="2"/>
          <c:order val="2"/>
          <c:tx>
            <c:v>Квадратичная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7.4</c:v>
                </c:pt>
                <c:pt idx="1">
                  <c:v>10</c:v>
                </c:pt>
                <c:pt idx="2">
                  <c:v>12.8</c:v>
                </c:pt>
                <c:pt idx="3">
                  <c:v>20</c:v>
                </c:pt>
                <c:pt idx="4">
                  <c:v>26</c:v>
                </c:pt>
                <c:pt idx="5">
                  <c:v>32</c:v>
                </c:pt>
              </c:numCache>
            </c:numRef>
          </c:xVal>
          <c:yVal>
            <c:numRef>
              <c:f>Лист1!$L$4:$L$9</c:f>
              <c:numCache>
                <c:formatCode>General</c:formatCode>
                <c:ptCount val="6"/>
                <c:pt idx="0">
                  <c:v>16.082038876244852</c:v>
                </c:pt>
                <c:pt idx="1">
                  <c:v>15.36144193103658</c:v>
                </c:pt>
                <c:pt idx="2">
                  <c:v>14.687098691487778</c:v>
                </c:pt>
                <c:pt idx="3">
                  <c:v>13.437283884582545</c:v>
                </c:pt>
                <c:pt idx="4">
                  <c:v>12.928403278337143</c:v>
                </c:pt>
                <c:pt idx="5">
                  <c:v>12.903733338312009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8-47A1-BD26-D9C8FB16AF16}"/>
            </c:ext>
          </c:extLst>
        </c:ser>
        <c:ser>
          <c:idx val="4"/>
          <c:order val="4"/>
          <c:tx>
            <c:v>Показательная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7.4</c:v>
                </c:pt>
                <c:pt idx="1">
                  <c:v>10</c:v>
                </c:pt>
                <c:pt idx="2">
                  <c:v>12.8</c:v>
                </c:pt>
                <c:pt idx="3">
                  <c:v>20</c:v>
                </c:pt>
                <c:pt idx="4">
                  <c:v>26</c:v>
                </c:pt>
                <c:pt idx="5">
                  <c:v>32</c:v>
                </c:pt>
              </c:numCache>
            </c:numRef>
          </c:xVal>
          <c:yVal>
            <c:numRef>
              <c:f>Лист1!$P$4:$P$9</c:f>
              <c:numCache>
                <c:formatCode>General</c:formatCode>
                <c:ptCount val="6"/>
                <c:pt idx="0">
                  <c:v>16.320063477905585</c:v>
                </c:pt>
                <c:pt idx="1">
                  <c:v>14.905126658570273</c:v>
                </c:pt>
                <c:pt idx="2">
                  <c:v>14.524843611259456</c:v>
                </c:pt>
                <c:pt idx="3">
                  <c:v>13.590931435134706</c:v>
                </c:pt>
                <c:pt idx="4">
                  <c:v>12.858708520141217</c:v>
                </c:pt>
                <c:pt idx="5">
                  <c:v>12.165934733399196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18-47A1-BD26-D9C8FB16A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45776"/>
        <c:axId val="2479434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Кубическая</c:v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Лист1!$B$4:$B$9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7.4</c:v>
                      </c:pt>
                      <c:pt idx="1">
                        <c:v>10</c:v>
                      </c:pt>
                      <c:pt idx="2">
                        <c:v>12.8</c:v>
                      </c:pt>
                      <c:pt idx="3">
                        <c:v>20</c:v>
                      </c:pt>
                      <c:pt idx="4">
                        <c:v>26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Лист1!$M$4:$M$9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28.997621148395385</c:v>
                      </c:pt>
                      <c:pt idx="1">
                        <c:v>46.700891516716695</c:v>
                      </c:pt>
                      <c:pt idx="2">
                        <c:v>80.400935636823036</c:v>
                      </c:pt>
                      <c:pt idx="3">
                        <c:v>264.8927900969536</c:v>
                      </c:pt>
                      <c:pt idx="4">
                        <c:v>565.56659270394766</c:v>
                      </c:pt>
                      <c:pt idx="5">
                        <c:v>1042.7000586431695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918-47A1-BD26-D9C8FB16AF16}"/>
                  </c:ext>
                </c:extLst>
              </c15:ser>
            </c15:filteredScatterSeries>
          </c:ext>
        </c:extLst>
      </c:scatterChart>
      <c:valAx>
        <c:axId val="24794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943424"/>
        <c:crosses val="autoZero"/>
        <c:crossBetween val="midCat"/>
      </c:valAx>
      <c:valAx>
        <c:axId val="2479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94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3877</xdr:colOff>
      <xdr:row>0</xdr:row>
      <xdr:rowOff>0</xdr:rowOff>
    </xdr:from>
    <xdr:to>
      <xdr:col>29</xdr:col>
      <xdr:colOff>353547</xdr:colOff>
      <xdr:row>23</xdr:row>
      <xdr:rowOff>89647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L2:P13" headerRowCount="0" totalsRowShown="0">
  <tableColumns count="5">
    <tableColumn id="1" xr3:uid="{00000000-0010-0000-0000-000001000000}" name="Столбец1" headerRowDxfId="3" dataDxfId="2"/>
    <tableColumn id="2" xr3:uid="{00000000-0010-0000-0000-000002000000}" name="Столбец2" headerRowDxfId="1" dataDxfId="0"/>
    <tableColumn id="3" xr3:uid="{00000000-0010-0000-0000-000003000000}" name="Столбец3"/>
    <tableColumn id="4" xr3:uid="{00000000-0010-0000-0000-000004000000}" name="Столбец4"/>
    <tableColumn id="5" xr3:uid="{00000000-0010-0000-0000-000005000000}" name="Столбец5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Q1" zoomScale="85" zoomScaleNormal="85" workbookViewId="0">
      <selection activeCell="X31" sqref="X31"/>
    </sheetView>
  </sheetViews>
  <sheetFormatPr defaultRowHeight="15" x14ac:dyDescent="0.25"/>
  <cols>
    <col min="1" max="1" width="6.7109375" style="2" customWidth="1"/>
    <col min="2" max="2" width="10" style="2" bestFit="1" customWidth="1"/>
    <col min="3" max="3" width="14.140625" style="2" customWidth="1"/>
    <col min="4" max="4" width="12" style="2" bestFit="1" customWidth="1"/>
    <col min="5" max="5" width="9.140625" style="2"/>
    <col min="6" max="10" width="9.28515625" style="2" bestFit="1" customWidth="1"/>
    <col min="11" max="11" width="13.140625" style="2" customWidth="1"/>
    <col min="12" max="12" width="20.85546875" style="2" customWidth="1"/>
    <col min="13" max="13" width="15.28515625" style="2" customWidth="1"/>
    <col min="14" max="14" width="13.7109375" style="2" customWidth="1"/>
    <col min="15" max="15" width="15.28515625" style="2" customWidth="1"/>
    <col min="16" max="16384" width="9.140625" style="2"/>
  </cols>
  <sheetData>
    <row r="1" spans="1:16" ht="37.5" customHeight="1" x14ac:dyDescent="0.25">
      <c r="B1" s="11" t="s">
        <v>18</v>
      </c>
      <c r="C1" s="11"/>
      <c r="D1" s="11"/>
      <c r="E1" s="11"/>
      <c r="F1" s="11"/>
      <c r="G1" s="11"/>
      <c r="H1" s="11"/>
      <c r="I1" s="11"/>
      <c r="J1" s="11"/>
      <c r="K1" s="11"/>
      <c r="L1"/>
      <c r="M1"/>
      <c r="N1" s="9" t="s">
        <v>20</v>
      </c>
      <c r="O1" s="9"/>
      <c r="P1" s="9"/>
    </row>
    <row r="2" spans="1:16" x14ac:dyDescent="0.25">
      <c r="A2" s="3"/>
      <c r="B2" s="12" t="s">
        <v>16</v>
      </c>
      <c r="C2" s="12"/>
      <c r="D2" s="12"/>
      <c r="E2" s="12"/>
      <c r="F2" s="12"/>
      <c r="G2" s="12" t="s">
        <v>17</v>
      </c>
      <c r="H2" s="12"/>
      <c r="I2" s="12"/>
      <c r="J2" s="12"/>
      <c r="K2" s="12"/>
      <c r="L2" s="2" t="s">
        <v>21</v>
      </c>
      <c r="M2" s="2" t="s">
        <v>22</v>
      </c>
      <c r="N2"/>
      <c r="O2"/>
      <c r="P2"/>
    </row>
    <row r="3" spans="1:16" x14ac:dyDescent="0.25">
      <c r="A3" s="1" t="s">
        <v>15</v>
      </c>
      <c r="B3" s="1" t="s">
        <v>14</v>
      </c>
      <c r="C3" s="1" t="s">
        <v>19</v>
      </c>
      <c r="D3" s="1" t="s">
        <v>0</v>
      </c>
      <c r="E3" s="1" t="s">
        <v>1</v>
      </c>
      <c r="F3" s="1" t="s">
        <v>7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13</v>
      </c>
      <c r="N3" t="s">
        <v>23</v>
      </c>
      <c r="O3" t="s">
        <v>24</v>
      </c>
      <c r="P3" t="s">
        <v>36</v>
      </c>
    </row>
    <row r="4" spans="1:16" x14ac:dyDescent="0.25">
      <c r="A4" s="3">
        <v>1</v>
      </c>
      <c r="B4" s="4">
        <v>7.4</v>
      </c>
      <c r="C4" s="5">
        <v>16.3</v>
      </c>
      <c r="D4" s="3">
        <f>B4*C4</f>
        <v>120.62</v>
      </c>
      <c r="E4" s="3">
        <f>B4^2</f>
        <v>54.760000000000005</v>
      </c>
      <c r="F4" s="6">
        <f>$E$15+$C$15*B4</f>
        <v>15.635357799997141</v>
      </c>
      <c r="G4" s="7">
        <f>B4-$C$16</f>
        <v>-10.633333333333335</v>
      </c>
      <c r="H4" s="7">
        <f>G4^2</f>
        <v>113.06777777777781</v>
      </c>
      <c r="I4" s="7">
        <f>C4-$E$16</f>
        <v>2.0666666666666682</v>
      </c>
      <c r="J4" s="7">
        <f>I4^2</f>
        <v>4.2711111111111171</v>
      </c>
      <c r="K4" s="7">
        <f>G4*I4</f>
        <v>-21.975555555555573</v>
      </c>
      <c r="L4" s="2">
        <f>$F$26+$F$27*B4+$F$28*B4^2</f>
        <v>16.082038876244852</v>
      </c>
      <c r="M4" s="2">
        <f t="shared" ref="M4:M8" si="0">$G$40+$G$41*B4+$G$42*B4^2+$G$42*B4^3</f>
        <v>28.997621148395385</v>
      </c>
      <c r="N4">
        <f>LN(C4)</f>
        <v>2.7911651078127169</v>
      </c>
      <c r="O4">
        <f>LN(C4)*B4</f>
        <v>20.654621797814105</v>
      </c>
      <c r="P4">
        <f>$O$22*EXP(1)^($M$19*B4)*6.2</f>
        <v>16.320063477905585</v>
      </c>
    </row>
    <row r="5" spans="1:16" x14ac:dyDescent="0.25">
      <c r="A5" s="3">
        <v>2</v>
      </c>
      <c r="B5" s="4">
        <v>10</v>
      </c>
      <c r="C5" s="5">
        <v>15.2</v>
      </c>
      <c r="D5" s="3">
        <f t="shared" ref="D5:D9" si="1">B5*C5</f>
        <v>152</v>
      </c>
      <c r="E5" s="3">
        <f t="shared" ref="E5:E9" si="2">B5^2</f>
        <v>100</v>
      </c>
      <c r="F5" s="6">
        <f t="shared" ref="F5:F9" si="3">$E$15+$C$15*B5</f>
        <v>15.292543040123233</v>
      </c>
      <c r="G5" s="7">
        <f t="shared" ref="G5:G9" si="4">B5-$C$16</f>
        <v>-8.033333333333335</v>
      </c>
      <c r="H5" s="7">
        <f t="shared" ref="H5:H9" si="5">G5^2</f>
        <v>64.534444444444475</v>
      </c>
      <c r="I5" s="7">
        <f t="shared" ref="I5:I9" si="6">C5-$E$16</f>
        <v>0.96666666666666679</v>
      </c>
      <c r="J5" s="7">
        <f t="shared" ref="J5:J9" si="7">I5^2</f>
        <v>0.93444444444444463</v>
      </c>
      <c r="K5" s="7">
        <f t="shared" ref="K5:K9" si="8">G5*I5</f>
        <v>-7.765555555555558</v>
      </c>
      <c r="L5" s="2">
        <f t="shared" ref="L5:L9" si="9">$F$26+$F$27*B5+$F$28*B5^2</f>
        <v>15.36144193103658</v>
      </c>
      <c r="M5" s="2">
        <f t="shared" si="0"/>
        <v>46.700891516716695</v>
      </c>
      <c r="N5">
        <f t="shared" ref="N5:N9" si="10">LN(C5)</f>
        <v>2.7212954278522306</v>
      </c>
      <c r="O5">
        <f>LN(C5)*B5</f>
        <v>27.212954278522304</v>
      </c>
      <c r="P5">
        <f t="shared" ref="P5:P9" si="11">$O$22*EXP(1)^($M$19*B5)*5.8</f>
        <v>14.905126658570273</v>
      </c>
    </row>
    <row r="6" spans="1:16" x14ac:dyDescent="0.25">
      <c r="A6" s="3">
        <v>3</v>
      </c>
      <c r="B6" s="4">
        <v>12.8</v>
      </c>
      <c r="C6" s="5">
        <v>14.5</v>
      </c>
      <c r="D6" s="3">
        <f t="shared" si="1"/>
        <v>185.60000000000002</v>
      </c>
      <c r="E6" s="3">
        <f t="shared" si="2"/>
        <v>163.84000000000003</v>
      </c>
      <c r="F6" s="6">
        <f>$E$15+$C$15*B6</f>
        <v>14.923357914105177</v>
      </c>
      <c r="G6" s="7">
        <f>B6-$C$16</f>
        <v>-5.2333333333333343</v>
      </c>
      <c r="H6" s="7">
        <f t="shared" si="5"/>
        <v>27.387777777777789</v>
      </c>
      <c r="I6" s="7">
        <f t="shared" si="6"/>
        <v>0.2666666666666675</v>
      </c>
      <c r="J6" s="7">
        <f t="shared" si="7"/>
        <v>7.1111111111111555E-2</v>
      </c>
      <c r="K6" s="7">
        <f t="shared" si="8"/>
        <v>-1.3955555555555601</v>
      </c>
      <c r="L6" s="2">
        <f t="shared" si="9"/>
        <v>14.687098691487778</v>
      </c>
      <c r="M6" s="2">
        <f t="shared" si="0"/>
        <v>80.400935636823036</v>
      </c>
      <c r="N6">
        <f t="shared" si="10"/>
        <v>2.6741486494265287</v>
      </c>
      <c r="O6">
        <f t="shared" ref="O6:O9" si="12">LN(C6)*B6</f>
        <v>34.229102712659568</v>
      </c>
      <c r="P6">
        <f t="shared" si="11"/>
        <v>14.524843611259456</v>
      </c>
    </row>
    <row r="7" spans="1:16" x14ac:dyDescent="0.25">
      <c r="A7" s="3">
        <v>4</v>
      </c>
      <c r="B7" s="4">
        <v>20</v>
      </c>
      <c r="C7" s="5">
        <v>13.5</v>
      </c>
      <c r="D7" s="3">
        <f t="shared" si="1"/>
        <v>270</v>
      </c>
      <c r="E7" s="3">
        <f t="shared" si="2"/>
        <v>400</v>
      </c>
      <c r="F7" s="6">
        <f t="shared" si="3"/>
        <v>13.97402473291589</v>
      </c>
      <c r="G7" s="7">
        <f>B7-$C$16</f>
        <v>1.966666666666665</v>
      </c>
      <c r="H7" s="7">
        <f t="shared" si="5"/>
        <v>3.8677777777777713</v>
      </c>
      <c r="I7" s="7">
        <f t="shared" si="6"/>
        <v>-0.7333333333333325</v>
      </c>
      <c r="J7" s="7">
        <f t="shared" si="7"/>
        <v>0.53777777777777658</v>
      </c>
      <c r="K7" s="7">
        <f t="shared" si="8"/>
        <v>-1.4422222222222194</v>
      </c>
      <c r="L7" s="2">
        <f t="shared" si="9"/>
        <v>13.437283884582545</v>
      </c>
      <c r="M7" s="2">
        <f t="shared" si="0"/>
        <v>264.8927900969536</v>
      </c>
      <c r="N7">
        <f t="shared" si="10"/>
        <v>2.6026896854443837</v>
      </c>
      <c r="O7">
        <f t="shared" si="12"/>
        <v>52.053793708887675</v>
      </c>
      <c r="P7">
        <f t="shared" si="11"/>
        <v>13.590931435134706</v>
      </c>
    </row>
    <row r="8" spans="1:16" x14ac:dyDescent="0.25">
      <c r="A8" s="3">
        <v>5</v>
      </c>
      <c r="B8" s="4">
        <v>26</v>
      </c>
      <c r="C8" s="5">
        <v>13.1</v>
      </c>
      <c r="D8" s="3">
        <f t="shared" si="1"/>
        <v>340.59999999999997</v>
      </c>
      <c r="E8" s="3">
        <f t="shared" si="2"/>
        <v>676</v>
      </c>
      <c r="F8" s="6">
        <f t="shared" si="3"/>
        <v>13.182913748591483</v>
      </c>
      <c r="G8" s="7">
        <f t="shared" si="4"/>
        <v>7.966666666666665</v>
      </c>
      <c r="H8" s="7">
        <f t="shared" si="5"/>
        <v>63.467777777777748</v>
      </c>
      <c r="I8" s="7">
        <f t="shared" si="6"/>
        <v>-1.1333333333333329</v>
      </c>
      <c r="J8" s="7">
        <f t="shared" si="7"/>
        <v>1.2844444444444434</v>
      </c>
      <c r="K8" s="7">
        <f t="shared" si="8"/>
        <v>-9.0288888888888827</v>
      </c>
      <c r="L8" s="2">
        <f t="shared" si="9"/>
        <v>12.928403278337143</v>
      </c>
      <c r="M8" s="2">
        <f t="shared" si="0"/>
        <v>565.56659270394766</v>
      </c>
      <c r="N8">
        <f t="shared" si="10"/>
        <v>2.5726122302071057</v>
      </c>
      <c r="O8">
        <f t="shared" si="12"/>
        <v>66.887917985384746</v>
      </c>
      <c r="P8">
        <f t="shared" si="11"/>
        <v>12.858708520141217</v>
      </c>
    </row>
    <row r="9" spans="1:16" x14ac:dyDescent="0.25">
      <c r="A9" s="3">
        <v>6</v>
      </c>
      <c r="B9" s="4">
        <v>32</v>
      </c>
      <c r="C9" s="5">
        <v>12.8</v>
      </c>
      <c r="D9" s="3">
        <f t="shared" si="1"/>
        <v>409.6</v>
      </c>
      <c r="E9" s="3">
        <f t="shared" si="2"/>
        <v>1024</v>
      </c>
      <c r="F9" s="6">
        <f t="shared" si="3"/>
        <v>12.391802764267076</v>
      </c>
      <c r="G9" s="7">
        <f t="shared" si="4"/>
        <v>13.966666666666665</v>
      </c>
      <c r="H9" s="7">
        <f t="shared" si="5"/>
        <v>195.06777777777774</v>
      </c>
      <c r="I9" s="7">
        <f t="shared" si="6"/>
        <v>-1.4333333333333318</v>
      </c>
      <c r="J9" s="7">
        <f t="shared" si="7"/>
        <v>2.0544444444444401</v>
      </c>
      <c r="K9" s="7">
        <f t="shared" si="8"/>
        <v>-20.018888888888863</v>
      </c>
      <c r="L9" s="2">
        <f t="shared" si="9"/>
        <v>12.903733338312009</v>
      </c>
      <c r="M9" s="2">
        <f>$G$40+$G$41*B9+$G$42*B9^2+$G$42*B9^3</f>
        <v>1042.7000586431695</v>
      </c>
      <c r="N9">
        <f t="shared" si="10"/>
        <v>2.5494451709255714</v>
      </c>
      <c r="O9">
        <f t="shared" si="12"/>
        <v>81.582245469618286</v>
      </c>
      <c r="P9">
        <f t="shared" si="11"/>
        <v>12.165934733399196</v>
      </c>
    </row>
    <row r="10" spans="1:16" x14ac:dyDescent="0.25">
      <c r="N10"/>
      <c r="O10"/>
      <c r="P10"/>
    </row>
    <row r="11" spans="1:16" x14ac:dyDescent="0.25">
      <c r="N11"/>
      <c r="O11"/>
      <c r="P11"/>
    </row>
    <row r="12" spans="1:16" x14ac:dyDescent="0.25">
      <c r="N12"/>
      <c r="O12"/>
      <c r="P12"/>
    </row>
    <row r="13" spans="1:16" x14ac:dyDescent="0.25">
      <c r="A13" s="2" t="s">
        <v>8</v>
      </c>
      <c r="B13" s="2">
        <f>SUM(B4:B9)</f>
        <v>108.2</v>
      </c>
      <c r="C13" s="2">
        <f>SUM(C4:C9)</f>
        <v>85.399999999999991</v>
      </c>
      <c r="D13" s="2">
        <f>SUM(D4:D9)</f>
        <v>1478.42</v>
      </c>
      <c r="E13" s="2">
        <f>SUM(E4:E9)</f>
        <v>2418.6</v>
      </c>
      <c r="F13" s="8"/>
      <c r="G13" s="8"/>
      <c r="H13" s="8">
        <f>SUM(H4:H9)</f>
        <v>467.39333333333332</v>
      </c>
      <c r="I13" s="8"/>
      <c r="J13" s="8">
        <f>SUM(J4:J9)</f>
        <v>9.1533333333333342</v>
      </c>
      <c r="K13" s="8">
        <f>SUM(K4:K9)</f>
        <v>-61.626666666666665</v>
      </c>
      <c r="N13">
        <f>SUM(N4:N9)</f>
        <v>15.911356271668538</v>
      </c>
      <c r="O13">
        <f>SUM(O4:O9)</f>
        <v>282.62063595288669</v>
      </c>
      <c r="P13">
        <f>SUM(P4:P9)</f>
        <v>84.36560843641044</v>
      </c>
    </row>
    <row r="14" spans="1:16" x14ac:dyDescent="0.25">
      <c r="N14"/>
      <c r="O14"/>
      <c r="P14"/>
    </row>
    <row r="15" spans="1:16" ht="18" x14ac:dyDescent="0.35">
      <c r="B15" s="2" t="s">
        <v>9</v>
      </c>
      <c r="C15" s="2">
        <f>(D13*6-C13*B13)/(6*E13-B13^2)</f>
        <v>-0.13185183072073434</v>
      </c>
      <c r="D15" s="2" t="s">
        <v>10</v>
      </c>
      <c r="E15" s="2">
        <f>C13/6-C15*B13/6</f>
        <v>16.611061347330576</v>
      </c>
      <c r="M15" s="2" t="s">
        <v>25</v>
      </c>
      <c r="N15">
        <f>LN(ABS(O19))</f>
        <v>1.0361497679949339</v>
      </c>
      <c r="O15"/>
      <c r="P15"/>
    </row>
    <row r="16" spans="1:16" x14ac:dyDescent="0.25">
      <c r="B16" s="2" t="s">
        <v>11</v>
      </c>
      <c r="C16" s="2">
        <f>B13/6</f>
        <v>18.033333333333335</v>
      </c>
      <c r="D16" s="2" t="s">
        <v>12</v>
      </c>
      <c r="E16" s="2">
        <f>C13/6</f>
        <v>14.233333333333333</v>
      </c>
      <c r="I16" s="2" t="s">
        <v>6</v>
      </c>
      <c r="J16" s="2">
        <f>K13/SQRT(H13*J13)</f>
        <v>-0.94218846266873235</v>
      </c>
      <c r="M16" s="2" t="s">
        <v>27</v>
      </c>
      <c r="N16">
        <f>M19</f>
        <v>-9.2302460729777099E-3</v>
      </c>
      <c r="O16"/>
      <c r="P16"/>
    </row>
    <row r="17" spans="1:15" x14ac:dyDescent="0.25">
      <c r="I17" s="2" t="s">
        <v>38</v>
      </c>
      <c r="J17" s="2">
        <f>SQRT(ABS(1-N39/J13))</f>
        <v>0.96912465466188924</v>
      </c>
    </row>
    <row r="19" spans="1:15" ht="18" x14ac:dyDescent="0.35">
      <c r="A19" s="10" t="s">
        <v>29</v>
      </c>
      <c r="B19" s="10"/>
      <c r="C19" s="10"/>
      <c r="D19" s="10"/>
      <c r="E19" s="10"/>
      <c r="L19" s="2" t="s">
        <v>9</v>
      </c>
      <c r="M19" s="2">
        <f>(O13*6-N13*B13)/(6*E13-B13^2)</f>
        <v>-9.2302460729777099E-3</v>
      </c>
      <c r="N19" s="2" t="s">
        <v>10</v>
      </c>
      <c r="O19" s="2">
        <f>N13/6-M19*B13/6</f>
        <v>2.8183448161274542</v>
      </c>
    </row>
    <row r="20" spans="1:15" x14ac:dyDescent="0.25">
      <c r="A20" s="2">
        <v>6</v>
      </c>
      <c r="B20" s="2">
        <f>B13</f>
        <v>108.2</v>
      </c>
      <c r="C20" s="2">
        <f>E13</f>
        <v>2418.6</v>
      </c>
      <c r="D20"/>
      <c r="E20" s="2">
        <f>C13</f>
        <v>85.399999999999991</v>
      </c>
      <c r="L20" s="2" t="s">
        <v>11</v>
      </c>
      <c r="M20" s="2">
        <f>B13/6</f>
        <v>18.033333333333335</v>
      </c>
      <c r="N20" s="2" t="s">
        <v>12</v>
      </c>
      <c r="O20" s="2">
        <f>C13/6</f>
        <v>14.233333333333333</v>
      </c>
    </row>
    <row r="21" spans="1:15" x14ac:dyDescent="0.25">
      <c r="A21" s="2">
        <f>B13</f>
        <v>108.2</v>
      </c>
      <c r="B21" s="2">
        <f>E13</f>
        <v>2418.6</v>
      </c>
      <c r="C21" s="2">
        <f>K39</f>
        <v>61846.376000000004</v>
      </c>
      <c r="D21"/>
      <c r="E21" s="2">
        <f>D13</f>
        <v>1478.42</v>
      </c>
    </row>
    <row r="22" spans="1:15" x14ac:dyDescent="0.25">
      <c r="A22" s="2">
        <f>E13</f>
        <v>2418.6</v>
      </c>
      <c r="B22" s="2">
        <f>B4^3+B5^3+B6^3+B7^3+B8^3+B9^3</f>
        <v>61846.376000000004</v>
      </c>
      <c r="C22" s="2">
        <f>L39</f>
        <v>1705394.2031999999</v>
      </c>
      <c r="D22"/>
      <c r="E22" s="2">
        <f>B4^2*C4+B5^2*C5+B6^2*C6+B7^2*C7+B8^2*C8+B9^2*C9</f>
        <v>32151.068000000003</v>
      </c>
      <c r="N22" s="2" t="s">
        <v>37</v>
      </c>
      <c r="O22" s="2">
        <f>EXP(N15)</f>
        <v>2.8183448161274547</v>
      </c>
    </row>
    <row r="25" spans="1:15" x14ac:dyDescent="0.25">
      <c r="A25" s="10" t="s">
        <v>30</v>
      </c>
      <c r="B25" s="10"/>
      <c r="C25" s="10"/>
      <c r="D25" s="10"/>
      <c r="E25" s="10"/>
    </row>
    <row r="26" spans="1:15" x14ac:dyDescent="0.25">
      <c r="A26" s="2">
        <f t="array" ref="A26:C28">MINVERSE(A20:C22)</f>
        <v>5.5236110123806101</v>
      </c>
      <c r="B26" s="2">
        <v>-0.64401429840130464</v>
      </c>
      <c r="C26" s="2">
        <v>1.5521657575761807E-2</v>
      </c>
      <c r="D26"/>
      <c r="E26" s="2" t="s">
        <v>26</v>
      </c>
      <c r="F26" s="2">
        <f t="array" ref="F26:F28">MMULT(A26:C28,E20:E22)</f>
        <v>18.630629605880245</v>
      </c>
    </row>
    <row r="27" spans="1:15" x14ac:dyDescent="0.25">
      <c r="A27" s="2">
        <v>-0.64401429840130497</v>
      </c>
      <c r="B27" s="2">
        <v>8.0778035590847494E-2</v>
      </c>
      <c r="C27" s="2">
        <v>-2.0160827174902298E-3</v>
      </c>
      <c r="D27"/>
      <c r="E27" s="2" t="s">
        <v>28</v>
      </c>
      <c r="F27" s="2">
        <v>-0.39417024890384766</v>
      </c>
    </row>
    <row r="28" spans="1:15" x14ac:dyDescent="0.25">
      <c r="A28" s="2">
        <v>1.5521657575761816E-2</v>
      </c>
      <c r="B28" s="2">
        <v>-2.0160827174902298E-3</v>
      </c>
      <c r="C28" s="2">
        <v>5.1687010906256511E-5</v>
      </c>
      <c r="D28"/>
      <c r="E28" s="2" t="s">
        <v>31</v>
      </c>
      <c r="F28" s="2">
        <v>6.725148141948134E-3</v>
      </c>
    </row>
    <row r="29" spans="1:15" x14ac:dyDescent="0.25">
      <c r="K29" s="1" t="s">
        <v>34</v>
      </c>
      <c r="L29" s="1" t="s">
        <v>35</v>
      </c>
      <c r="N29" s="2" t="s">
        <v>39</v>
      </c>
    </row>
    <row r="30" spans="1:15" x14ac:dyDescent="0.25">
      <c r="K30" s="3">
        <f>B4^3</f>
        <v>405.22400000000005</v>
      </c>
      <c r="L30" s="3">
        <f>B4^4</f>
        <v>2998.6576000000005</v>
      </c>
      <c r="N30" s="2">
        <f>(C4-P4)^2</f>
        <v>4.0254314566785484E-4</v>
      </c>
    </row>
    <row r="31" spans="1:15" x14ac:dyDescent="0.25">
      <c r="K31" s="3">
        <f t="shared" ref="K31:K35" si="13">B5^3</f>
        <v>1000</v>
      </c>
      <c r="L31" s="3">
        <f t="shared" ref="L31:L35" si="14">B5^4</f>
        <v>10000</v>
      </c>
      <c r="N31" s="2">
        <f t="shared" ref="N31:N35" si="15">(C5-P5)^2</f>
        <v>8.6950287485931893E-2</v>
      </c>
    </row>
    <row r="32" spans="1:15" x14ac:dyDescent="0.25">
      <c r="A32" s="9" t="s">
        <v>32</v>
      </c>
      <c r="B32" s="9"/>
      <c r="C32" s="9"/>
      <c r="D32" s="9"/>
      <c r="E32" s="9"/>
      <c r="F32" s="9"/>
      <c r="G32"/>
      <c r="K32" s="3">
        <f t="shared" si="13"/>
        <v>2097.1520000000005</v>
      </c>
      <c r="L32" s="3">
        <f t="shared" si="14"/>
        <v>26843.545600000012</v>
      </c>
      <c r="N32" s="2">
        <f t="shared" si="15"/>
        <v>6.1720502041097446E-4</v>
      </c>
    </row>
    <row r="33" spans="1:14" x14ac:dyDescent="0.25">
      <c r="A33" s="2">
        <v>6</v>
      </c>
      <c r="B33" s="2">
        <f>B13</f>
        <v>108.2</v>
      </c>
      <c r="C33" s="2">
        <f>E13</f>
        <v>2418.6</v>
      </c>
      <c r="D33" s="2">
        <f>K39</f>
        <v>61846.376000000004</v>
      </c>
      <c r="E33"/>
      <c r="F33" s="2">
        <f>C13</f>
        <v>85.399999999999991</v>
      </c>
      <c r="G33"/>
      <c r="K33" s="3">
        <f t="shared" si="13"/>
        <v>8000</v>
      </c>
      <c r="L33" s="3">
        <f t="shared" si="14"/>
        <v>160000</v>
      </c>
      <c r="N33" s="2">
        <f t="shared" si="15"/>
        <v>8.268525895657311E-3</v>
      </c>
    </row>
    <row r="34" spans="1:14" x14ac:dyDescent="0.25">
      <c r="A34" s="2">
        <f>B13</f>
        <v>108.2</v>
      </c>
      <c r="B34" s="2">
        <f>E13</f>
        <v>2418.6</v>
      </c>
      <c r="C34" s="2">
        <f>K39</f>
        <v>61846.376000000004</v>
      </c>
      <c r="D34" s="2">
        <f>L39</f>
        <v>1705394.2031999999</v>
      </c>
      <c r="E34"/>
      <c r="F34" s="2">
        <f>D13</f>
        <v>1478.42</v>
      </c>
      <c r="G34"/>
      <c r="K34" s="3">
        <f t="shared" si="13"/>
        <v>17576</v>
      </c>
      <c r="L34" s="3">
        <f t="shared" si="14"/>
        <v>456976</v>
      </c>
      <c r="N34" s="2">
        <f t="shared" si="15"/>
        <v>5.8221578252441196E-2</v>
      </c>
    </row>
    <row r="35" spans="1:14" x14ac:dyDescent="0.25">
      <c r="A35" s="2">
        <f>E13</f>
        <v>2418.6</v>
      </c>
      <c r="B35" s="2">
        <f>K39</f>
        <v>61846.376000000004</v>
      </c>
      <c r="C35" s="2">
        <f>L39</f>
        <v>1705394.2031999999</v>
      </c>
      <c r="D35" s="2">
        <f>B4^5+B5^5+B6^5+B7^5+B8^5+B9^5</f>
        <v>49101595.449919999</v>
      </c>
      <c r="E35"/>
      <c r="F35" s="2">
        <f>B4^2*C4+B5^2*C5+B6^2*C6+B7^2*C7+B8^2*C8+B9^2*C9</f>
        <v>32151.068000000003</v>
      </c>
      <c r="G35"/>
      <c r="K35" s="3">
        <f t="shared" si="13"/>
        <v>32768</v>
      </c>
      <c r="L35" s="3">
        <f t="shared" si="14"/>
        <v>1048576</v>
      </c>
      <c r="N35" s="2">
        <f t="shared" si="15"/>
        <v>0.40203876230955005</v>
      </c>
    </row>
    <row r="36" spans="1:14" x14ac:dyDescent="0.25">
      <c r="A36" s="2">
        <f>K39</f>
        <v>61846.376000000004</v>
      </c>
      <c r="B36" s="2">
        <f>L39</f>
        <v>1705394.2031999999</v>
      </c>
      <c r="C36" s="2">
        <f>B4^5+B5^5+B6^5+B7^5+B8^5+B9^5</f>
        <v>49101595.449919999</v>
      </c>
      <c r="D36" s="2">
        <f>B4^6+B5^6+B6^6+B7^6+B8^6+B9^6</f>
        <v>1452219853.0012801</v>
      </c>
      <c r="E36"/>
      <c r="F36">
        <f>B4^3*C4+B5^3*C5+B6^3*C6+B7^3*C7+B8^3*C8+B9^3*C9</f>
        <v>809889.85519999999</v>
      </c>
      <c r="G36"/>
    </row>
    <row r="37" spans="1:14" x14ac:dyDescent="0.25">
      <c r="A37"/>
      <c r="B37"/>
      <c r="C37"/>
      <c r="D37"/>
      <c r="E37"/>
      <c r="F37"/>
      <c r="G37"/>
    </row>
    <row r="38" spans="1:14" x14ac:dyDescent="0.25">
      <c r="A38"/>
      <c r="B38"/>
      <c r="C38"/>
      <c r="D38"/>
      <c r="E38"/>
      <c r="F38"/>
      <c r="G38"/>
    </row>
    <row r="39" spans="1:14" x14ac:dyDescent="0.25">
      <c r="A39" s="9" t="s">
        <v>30</v>
      </c>
      <c r="B39" s="9"/>
      <c r="C39" s="9"/>
      <c r="D39" s="9"/>
      <c r="E39" s="9"/>
      <c r="F39"/>
      <c r="G39"/>
      <c r="K39" s="2">
        <f>SUM(K30:K35)</f>
        <v>61846.376000000004</v>
      </c>
      <c r="L39" s="2">
        <f>SUM(L30:L35)</f>
        <v>1705394.2031999999</v>
      </c>
      <c r="N39" s="2">
        <f>SUM(N30:N35)</f>
        <v>0.55649890210965924</v>
      </c>
    </row>
    <row r="40" spans="1:14" x14ac:dyDescent="0.25">
      <c r="A40">
        <f t="array" ref="A40:D43">MINVERSE(A33:D36)</f>
        <v>40.462612254796568</v>
      </c>
      <c r="B40">
        <v>-7.4613866952813055</v>
      </c>
      <c r="C40">
        <v>0.39760733012619975</v>
      </c>
      <c r="D40">
        <v>-6.4046876690490029E-3</v>
      </c>
      <c r="E40"/>
      <c r="F40" s="2" t="s">
        <v>26</v>
      </c>
      <c r="G40">
        <f t="array" ref="G40:G43">MMULT(A40:D43,F33:F36)</f>
        <v>20.852507820412939</v>
      </c>
    </row>
    <row r="41" spans="1:14" x14ac:dyDescent="0.25">
      <c r="A41">
        <v>-7.4613866952812105</v>
      </c>
      <c r="B41">
        <v>1.4109982692853986</v>
      </c>
      <c r="C41">
        <v>-7.6569453582779806E-2</v>
      </c>
      <c r="D41">
        <v>1.2496963099392975E-3</v>
      </c>
      <c r="E41"/>
      <c r="F41" s="2" t="s">
        <v>28</v>
      </c>
      <c r="G41">
        <v>-0.82770786218134162</v>
      </c>
    </row>
    <row r="42" spans="1:14" x14ac:dyDescent="0.25">
      <c r="A42">
        <v>0.39760733012618843</v>
      </c>
      <c r="B42">
        <v>-7.6569453582778696E-2</v>
      </c>
      <c r="C42">
        <v>4.2300966956995605E-3</v>
      </c>
      <c r="D42">
        <v>-7.0040336257041648E-5</v>
      </c>
      <c r="E42"/>
      <c r="F42" s="2" t="s">
        <v>31</v>
      </c>
      <c r="G42">
        <v>3.1023147561924702E-2</v>
      </c>
    </row>
    <row r="43" spans="1:14" x14ac:dyDescent="0.25">
      <c r="A43">
        <v>-6.4046876690487375E-3</v>
      </c>
      <c r="B43">
        <v>1.2496963099392648E-3</v>
      </c>
      <c r="C43">
        <v>-7.0040336257040861E-5</v>
      </c>
      <c r="D43">
        <v>1.1740468439111611E-6</v>
      </c>
      <c r="E43"/>
      <c r="F43" s="2" t="s">
        <v>33</v>
      </c>
      <c r="G43">
        <v>-4.0729372611336689E-4</v>
      </c>
    </row>
  </sheetData>
  <mergeCells count="8">
    <mergeCell ref="N1:P1"/>
    <mergeCell ref="A19:E19"/>
    <mergeCell ref="A25:E25"/>
    <mergeCell ref="A32:F32"/>
    <mergeCell ref="A39:E39"/>
    <mergeCell ref="B1:K1"/>
    <mergeCell ref="B2:F2"/>
    <mergeCell ref="G2:K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 2</vt:lpstr>
      <vt:lpstr>Лист3</vt:lpstr>
    </vt:vector>
  </TitlesOfParts>
  <Company>Коломенский политехнический колледж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>SP4-IVC</cp:lastModifiedBy>
  <dcterms:created xsi:type="dcterms:W3CDTF">2015-03-17T10:27:38Z</dcterms:created>
  <dcterms:modified xsi:type="dcterms:W3CDTF">2022-12-08T08:45:58Z</dcterms:modified>
</cp:coreProperties>
</file>