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01\products\Upgrade Machine\Estimation\Documentation\"/>
    </mc:Choice>
  </mc:AlternateContent>
  <bookViews>
    <workbookView xWindow="0" yWindow="0" windowWidth="20460" windowHeight="8130"/>
  </bookViews>
  <sheets>
    <sheet name="UPG Statistics - Part1" sheetId="2" r:id="rId1"/>
    <sheet name="UPG Statistics Part2 In Process" sheetId="4" r:id="rId2"/>
    <sheet name="Draft" sheetId="1" r:id="rId3"/>
    <sheet name="Rates" sheetId="3" state="hidden" r:id="rId4"/>
  </sheets>
  <definedNames>
    <definedName name="_xlnm._FilterDatabase" localSheetId="2" hidden="1">Draft!$A$2:$X$127</definedName>
    <definedName name="_xlnm._FilterDatabase" localSheetId="0" hidden="1">'UPG Statistics - Part1'!$B$3:$R$627</definedName>
    <definedName name="_xlnm._FilterDatabase" localSheetId="1" hidden="1">'UPG Statistics Part2 In Process'!$B$3:$O$106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618" i="2"/>
  <c r="J614" i="2"/>
  <c r="J611" i="2"/>
  <c r="J609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3" i="2"/>
  <c r="J562" i="2"/>
  <c r="J559" i="2"/>
  <c r="J558" i="2"/>
  <c r="J556" i="2"/>
  <c r="J554" i="2"/>
  <c r="J553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627" i="2"/>
  <c r="J626" i="2"/>
  <c r="J625" i="2"/>
  <c r="J624" i="2"/>
  <c r="J623" i="2"/>
  <c r="J622" i="2"/>
  <c r="J621" i="2"/>
  <c r="J620" i="2"/>
  <c r="J619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1" i="2"/>
  <c r="J510" i="2"/>
  <c r="J508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7" i="2"/>
  <c r="J284" i="2"/>
  <c r="J283" i="2"/>
  <c r="J279" i="2"/>
  <c r="J277" i="2"/>
  <c r="J276" i="2"/>
  <c r="J270" i="2"/>
  <c r="J268" i="2"/>
  <c r="J267" i="2"/>
  <c r="J264" i="2"/>
  <c r="J263" i="2"/>
  <c r="J262" i="2"/>
  <c r="J261" i="2"/>
  <c r="J260" i="2"/>
  <c r="J259" i="2"/>
  <c r="J258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1" i="2"/>
  <c r="J240" i="2"/>
  <c r="J239" i="2"/>
  <c r="J238" i="2"/>
  <c r="J237" i="2"/>
  <c r="J236" i="2"/>
  <c r="J234" i="2"/>
  <c r="J232" i="2"/>
  <c r="J231" i="2"/>
  <c r="J228" i="2"/>
  <c r="J227" i="2"/>
  <c r="J226" i="2"/>
  <c r="J225" i="2"/>
  <c r="J224" i="2"/>
  <c r="J223" i="2"/>
  <c r="J222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2" i="2"/>
  <c r="J191" i="2"/>
  <c r="J189" i="2"/>
  <c r="J187" i="2"/>
  <c r="J186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5" i="2"/>
  <c r="J164" i="2"/>
  <c r="J163" i="2"/>
  <c r="J162" i="2"/>
  <c r="J161" i="2"/>
  <c r="J160" i="2"/>
  <c r="J159" i="2"/>
  <c r="J156" i="2"/>
  <c r="J155" i="2"/>
  <c r="J154" i="2"/>
  <c r="J153" i="2"/>
  <c r="J152" i="2"/>
  <c r="J151" i="2"/>
  <c r="J150" i="2"/>
  <c r="J147" i="2"/>
  <c r="J146" i="2"/>
  <c r="J145" i="2"/>
  <c r="J144" i="2"/>
  <c r="J143" i="2"/>
  <c r="J142" i="2"/>
  <c r="J141" i="2"/>
  <c r="J138" i="2"/>
  <c r="J137" i="2"/>
  <c r="J136" i="2"/>
  <c r="J135" i="2"/>
  <c r="J134" i="2"/>
  <c r="J133" i="2"/>
  <c r="J132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4" i="2"/>
  <c r="J52" i="2"/>
  <c r="J51" i="2"/>
  <c r="J48" i="2"/>
  <c r="J47" i="2"/>
  <c r="J46" i="2"/>
  <c r="J45" i="2"/>
  <c r="J44" i="2"/>
  <c r="J43" i="2"/>
  <c r="J42" i="2"/>
  <c r="J41" i="2"/>
  <c r="J40" i="2"/>
  <c r="J39" i="2"/>
  <c r="J38" i="2"/>
  <c r="J36" i="2"/>
  <c r="J35" i="2"/>
  <c r="J33" i="2"/>
  <c r="J30" i="2"/>
  <c r="J29" i="2"/>
  <c r="J28" i="2"/>
  <c r="J27" i="2"/>
  <c r="J26" i="2"/>
  <c r="J25" i="2"/>
  <c r="J24" i="2"/>
  <c r="J23" i="2"/>
  <c r="J22" i="2"/>
  <c r="J21" i="2"/>
  <c r="J20" i="2"/>
  <c r="J18" i="2"/>
  <c r="J16" i="2"/>
  <c r="J15" i="2"/>
  <c r="J12" i="2"/>
  <c r="J11" i="2"/>
  <c r="J10" i="2"/>
  <c r="J9" i="2"/>
  <c r="J8" i="2"/>
  <c r="J7" i="2"/>
  <c r="J6" i="2"/>
  <c r="J5" i="2"/>
  <c r="G618" i="2"/>
  <c r="G614" i="2"/>
  <c r="G611" i="2"/>
  <c r="G609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5" i="2"/>
  <c r="G563" i="2"/>
  <c r="G559" i="2"/>
  <c r="G554" i="2"/>
  <c r="G553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627" i="2"/>
  <c r="G626" i="2"/>
  <c r="G625" i="2"/>
  <c r="G624" i="2"/>
  <c r="G623" i="2"/>
  <c r="G622" i="2"/>
  <c r="G621" i="2"/>
  <c r="G620" i="2"/>
  <c r="G619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4" i="2"/>
  <c r="G283" i="2"/>
  <c r="G282" i="2"/>
  <c r="G281" i="2"/>
  <c r="G277" i="2"/>
  <c r="G276" i="2"/>
  <c r="G273" i="2"/>
  <c r="G272" i="2"/>
  <c r="G268" i="2"/>
  <c r="G267" i="2"/>
  <c r="G264" i="2"/>
  <c r="G263" i="2"/>
  <c r="G262" i="2"/>
  <c r="G261" i="2"/>
  <c r="G260" i="2"/>
  <c r="G259" i="2"/>
  <c r="G258" i="2"/>
  <c r="G255" i="2"/>
  <c r="G254" i="2"/>
  <c r="G253" i="2"/>
  <c r="G252" i="2"/>
  <c r="G251" i="2"/>
  <c r="G250" i="2"/>
  <c r="G249" i="2"/>
  <c r="G246" i="2"/>
  <c r="G245" i="2"/>
  <c r="G244" i="2"/>
  <c r="G243" i="2"/>
  <c r="G241" i="2"/>
  <c r="G240" i="2"/>
  <c r="K240" i="2" s="1"/>
  <c r="G239" i="2"/>
  <c r="G238" i="2"/>
  <c r="G237" i="2"/>
  <c r="G236" i="2"/>
  <c r="G235" i="2"/>
  <c r="G234" i="2"/>
  <c r="G232" i="2"/>
  <c r="G231" i="2"/>
  <c r="G228" i="2"/>
  <c r="G227" i="2"/>
  <c r="G226" i="2"/>
  <c r="G225" i="2"/>
  <c r="G224" i="2"/>
  <c r="G223" i="2"/>
  <c r="G222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2" i="2"/>
  <c r="G191" i="2"/>
  <c r="G190" i="2"/>
  <c r="G189" i="2"/>
  <c r="G188" i="2"/>
  <c r="G187" i="2"/>
  <c r="G186" i="2"/>
  <c r="G185" i="2"/>
  <c r="G184" i="2"/>
  <c r="G183" i="2"/>
  <c r="K183" i="2" s="1"/>
  <c r="G182" i="2"/>
  <c r="G181" i="2"/>
  <c r="K181" i="2" s="1"/>
  <c r="G180" i="2"/>
  <c r="K180" i="2" s="1"/>
  <c r="G179" i="2"/>
  <c r="K179" i="2" s="1"/>
  <c r="G178" i="2"/>
  <c r="G177" i="2"/>
  <c r="K177" i="2" s="1"/>
  <c r="G176" i="2"/>
  <c r="K176" i="2" s="1"/>
  <c r="G175" i="2"/>
  <c r="K175" i="2" s="1"/>
  <c r="G174" i="2"/>
  <c r="G173" i="2"/>
  <c r="K173" i="2" s="1"/>
  <c r="G172" i="2"/>
  <c r="K172" i="2" s="1"/>
  <c r="G171" i="2"/>
  <c r="K171" i="2" s="1"/>
  <c r="G170" i="2"/>
  <c r="G169" i="2"/>
  <c r="K169" i="2" s="1"/>
  <c r="G168" i="2"/>
  <c r="K168" i="2" s="1"/>
  <c r="G165" i="2"/>
  <c r="K165" i="2" s="1"/>
  <c r="G164" i="2"/>
  <c r="K164" i="2" s="1"/>
  <c r="G163" i="2"/>
  <c r="K163" i="2" s="1"/>
  <c r="G162" i="2"/>
  <c r="G161" i="2"/>
  <c r="G160" i="2"/>
  <c r="K160" i="2" s="1"/>
  <c r="G159" i="2"/>
  <c r="K159" i="2" s="1"/>
  <c r="G156" i="2"/>
  <c r="K156" i="2" s="1"/>
  <c r="G155" i="2"/>
  <c r="K155" i="2" s="1"/>
  <c r="G154" i="2"/>
  <c r="G153" i="2"/>
  <c r="G152" i="2"/>
  <c r="K152" i="2" s="1"/>
  <c r="G151" i="2"/>
  <c r="K151" i="2" s="1"/>
  <c r="G150" i="2"/>
  <c r="K150" i="2" s="1"/>
  <c r="G147" i="2"/>
  <c r="K147" i="2" s="1"/>
  <c r="G146" i="2"/>
  <c r="K146" i="2" s="1"/>
  <c r="G145" i="2"/>
  <c r="G144" i="2"/>
  <c r="K144" i="2" s="1"/>
  <c r="G143" i="2"/>
  <c r="K143" i="2" s="1"/>
  <c r="G142" i="2"/>
  <c r="G141" i="2"/>
  <c r="G138" i="2"/>
  <c r="G137" i="2"/>
  <c r="G136" i="2"/>
  <c r="G135" i="2"/>
  <c r="K135" i="2" s="1"/>
  <c r="G134" i="2"/>
  <c r="G133" i="2"/>
  <c r="K133" i="2" s="1"/>
  <c r="G132" i="2"/>
  <c r="K132" i="2" s="1"/>
  <c r="G129" i="2"/>
  <c r="G128" i="2"/>
  <c r="K128" i="2" s="1"/>
  <c r="G127" i="2"/>
  <c r="K127" i="2" s="1"/>
  <c r="G126" i="2"/>
  <c r="G125" i="2"/>
  <c r="K125" i="2" s="1"/>
  <c r="G124" i="2"/>
  <c r="K124" i="2" s="1"/>
  <c r="G123" i="2"/>
  <c r="K123" i="2" s="1"/>
  <c r="G122" i="2"/>
  <c r="K122" i="2" s="1"/>
  <c r="G121" i="2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G112" i="2"/>
  <c r="K112" i="2" s="1"/>
  <c r="G111" i="2"/>
  <c r="K111" i="2" s="1"/>
  <c r="G110" i="2"/>
  <c r="G109" i="2"/>
  <c r="K109" i="2" s="1"/>
  <c r="G108" i="2"/>
  <c r="K108" i="2" s="1"/>
  <c r="G107" i="2"/>
  <c r="K107" i="2" s="1"/>
  <c r="G106" i="2"/>
  <c r="K106" i="2" s="1"/>
  <c r="G105" i="2"/>
  <c r="G104" i="2"/>
  <c r="K104" i="2" s="1"/>
  <c r="G103" i="2"/>
  <c r="K103" i="2" s="1"/>
  <c r="G102" i="2"/>
  <c r="G101" i="2"/>
  <c r="G100" i="2"/>
  <c r="K100" i="2" s="1"/>
  <c r="G99" i="2"/>
  <c r="K99" i="2" s="1"/>
  <c r="G98" i="2"/>
  <c r="G97" i="2"/>
  <c r="K97" i="2" s="1"/>
  <c r="G96" i="2"/>
  <c r="K96" i="2" s="1"/>
  <c r="G95" i="2"/>
  <c r="K95" i="2" s="1"/>
  <c r="G94" i="2"/>
  <c r="K94" i="2" s="1"/>
  <c r="G93" i="2"/>
  <c r="G92" i="2"/>
  <c r="K92" i="2" s="1"/>
  <c r="G91" i="2"/>
  <c r="K91" i="2" s="1"/>
  <c r="G90" i="2"/>
  <c r="K90" i="2" s="1"/>
  <c r="G89" i="2"/>
  <c r="G88" i="2"/>
  <c r="K88" i="2" s="1"/>
  <c r="G87" i="2"/>
  <c r="K87" i="2" s="1"/>
  <c r="G86" i="2"/>
  <c r="G85" i="2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G72" i="2"/>
  <c r="K72" i="2" s="1"/>
  <c r="G71" i="2"/>
  <c r="K71" i="2" s="1"/>
  <c r="G70" i="2"/>
  <c r="G69" i="2"/>
  <c r="G68" i="2"/>
  <c r="K68" i="2" s="1"/>
  <c r="G67" i="2"/>
  <c r="K67" i="2" s="1"/>
  <c r="G66" i="2"/>
  <c r="G65" i="2"/>
  <c r="K65" i="2" s="1"/>
  <c r="G64" i="2"/>
  <c r="K64" i="2" s="1"/>
  <c r="G63" i="2"/>
  <c r="K63" i="2" s="1"/>
  <c r="G62" i="2"/>
  <c r="K62" i="2" s="1"/>
  <c r="G61" i="2"/>
  <c r="G60" i="2"/>
  <c r="K60" i="2" s="1"/>
  <c r="G59" i="2"/>
  <c r="K59" i="2" s="1"/>
  <c r="G58" i="2"/>
  <c r="K58" i="2" s="1"/>
  <c r="G57" i="2"/>
  <c r="G56" i="2"/>
  <c r="K56" i="2" s="1"/>
  <c r="G55" i="2"/>
  <c r="G54" i="2"/>
  <c r="G53" i="2"/>
  <c r="G52" i="2"/>
  <c r="G51" i="2"/>
  <c r="G50" i="2"/>
  <c r="G49" i="2"/>
  <c r="G48" i="2"/>
  <c r="G47" i="2"/>
  <c r="K47" i="2" s="1"/>
  <c r="G46" i="2"/>
  <c r="G45" i="2"/>
  <c r="G44" i="2"/>
  <c r="G43" i="2"/>
  <c r="G42" i="2"/>
  <c r="G41" i="2"/>
  <c r="G40" i="2"/>
  <c r="G39" i="2"/>
  <c r="K39" i="2" s="1"/>
  <c r="G38" i="2"/>
  <c r="G37" i="2"/>
  <c r="G36" i="2"/>
  <c r="G35" i="2"/>
  <c r="G34" i="2"/>
  <c r="G33" i="2"/>
  <c r="G32" i="2"/>
  <c r="G31" i="2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K7" i="2" s="1"/>
  <c r="G6" i="2"/>
  <c r="G5" i="2"/>
  <c r="G4" i="2"/>
  <c r="K4" i="2" s="1"/>
  <c r="K54" i="2" l="1"/>
  <c r="K483" i="2"/>
  <c r="K499" i="2"/>
  <c r="K18" i="2"/>
  <c r="K527" i="2"/>
  <c r="K136" i="2"/>
  <c r="K511" i="2"/>
  <c r="K43" i="2"/>
  <c r="K236" i="2"/>
  <c r="K245" i="2"/>
  <c r="K283" i="2"/>
  <c r="K11" i="2"/>
  <c r="K15" i="2"/>
  <c r="K16" i="2"/>
  <c r="K517" i="2"/>
  <c r="K525" i="2"/>
  <c r="K619" i="2"/>
  <c r="K627" i="2"/>
  <c r="K540" i="2"/>
  <c r="K548" i="2"/>
  <c r="K52" i="2"/>
  <c r="K370" i="2"/>
  <c r="K203" i="2"/>
  <c r="K219" i="2"/>
  <c r="K251" i="2"/>
  <c r="K276" i="2"/>
  <c r="K308" i="2"/>
  <c r="K324" i="2"/>
  <c r="K372" i="2"/>
  <c r="K388" i="2"/>
  <c r="K404" i="2"/>
  <c r="K420" i="2"/>
  <c r="K444" i="2"/>
  <c r="K452" i="2"/>
  <c r="K468" i="2"/>
  <c r="K484" i="2"/>
  <c r="K500" i="2"/>
  <c r="K8" i="2"/>
  <c r="K40" i="2"/>
  <c r="K48" i="2"/>
  <c r="K186" i="2"/>
  <c r="K196" i="2"/>
  <c r="K204" i="2"/>
  <c r="K212" i="2"/>
  <c r="K222" i="2"/>
  <c r="K232" i="2"/>
  <c r="K252" i="2"/>
  <c r="K277" i="2"/>
  <c r="K618" i="2"/>
  <c r="K254" i="2"/>
  <c r="K211" i="2"/>
  <c r="K292" i="2"/>
  <c r="K316" i="2"/>
  <c r="K340" i="2"/>
  <c r="K380" i="2"/>
  <c r="K396" i="2"/>
  <c r="K412" i="2"/>
  <c r="K436" i="2"/>
  <c r="K460" i="2"/>
  <c r="K476" i="2"/>
  <c r="K492" i="2"/>
  <c r="K9" i="2"/>
  <c r="K33" i="2"/>
  <c r="K187" i="2"/>
  <c r="K223" i="2"/>
  <c r="K243" i="2"/>
  <c r="K253" i="2"/>
  <c r="K263" i="2"/>
  <c r="K334" i="2"/>
  <c r="K350" i="2"/>
  <c r="K398" i="2"/>
  <c r="K462" i="2"/>
  <c r="K478" i="2"/>
  <c r="K590" i="2"/>
  <c r="K195" i="2"/>
  <c r="K231" i="2"/>
  <c r="K261" i="2"/>
  <c r="K300" i="2"/>
  <c r="K332" i="2"/>
  <c r="K428" i="2"/>
  <c r="K10" i="2"/>
  <c r="K42" i="2"/>
  <c r="K206" i="2"/>
  <c r="K224" i="2"/>
  <c r="K244" i="2"/>
  <c r="K295" i="2"/>
  <c r="K303" i="2"/>
  <c r="K327" i="2"/>
  <c r="K343" i="2"/>
  <c r="K383" i="2"/>
  <c r="K399" i="2"/>
  <c r="K455" i="2"/>
  <c r="K471" i="2"/>
  <c r="K51" i="2"/>
  <c r="K520" i="2"/>
  <c r="K528" i="2"/>
  <c r="K622" i="2"/>
  <c r="K535" i="2"/>
  <c r="K543" i="2"/>
  <c r="K553" i="2"/>
  <c r="K571" i="2"/>
  <c r="K579" i="2"/>
  <c r="K587" i="2"/>
  <c r="K595" i="2"/>
  <c r="K603" i="2"/>
  <c r="K513" i="2"/>
  <c r="K521" i="2"/>
  <c r="K529" i="2"/>
  <c r="K623" i="2"/>
  <c r="K536" i="2"/>
  <c r="K544" i="2"/>
  <c r="K554" i="2"/>
  <c r="K189" i="2"/>
  <c r="K267" i="2"/>
  <c r="K320" i="2"/>
  <c r="K376" i="2"/>
  <c r="K424" i="2"/>
  <c r="K480" i="2"/>
  <c r="K35" i="2"/>
  <c r="K215" i="2"/>
  <c r="K255" i="2"/>
  <c r="K304" i="2"/>
  <c r="K328" i="2"/>
  <c r="K400" i="2"/>
  <c r="K432" i="2"/>
  <c r="K456" i="2"/>
  <c r="K488" i="2"/>
  <c r="K208" i="2"/>
  <c r="K258" i="2"/>
  <c r="K284" i="2"/>
  <c r="K207" i="2"/>
  <c r="K296" i="2"/>
  <c r="K336" i="2"/>
  <c r="K384" i="2"/>
  <c r="K408" i="2"/>
  <c r="K448" i="2"/>
  <c r="K472" i="2"/>
  <c r="K504" i="2"/>
  <c r="K12" i="2"/>
  <c r="K36" i="2"/>
  <c r="K200" i="2"/>
  <c r="K226" i="2"/>
  <c r="K45" i="2"/>
  <c r="K191" i="2"/>
  <c r="K201" i="2"/>
  <c r="K227" i="2"/>
  <c r="K249" i="2"/>
  <c r="K259" i="2"/>
  <c r="K298" i="2"/>
  <c r="K306" i="2"/>
  <c r="K322" i="2"/>
  <c r="K362" i="2"/>
  <c r="K378" i="2"/>
  <c r="K426" i="2"/>
  <c r="K434" i="2"/>
  <c r="K450" i="2"/>
  <c r="K490" i="2"/>
  <c r="K498" i="2"/>
  <c r="K559" i="2"/>
  <c r="K199" i="2"/>
  <c r="K312" i="2"/>
  <c r="K344" i="2"/>
  <c r="K392" i="2"/>
  <c r="K416" i="2"/>
  <c r="K440" i="2"/>
  <c r="K464" i="2"/>
  <c r="K496" i="2"/>
  <c r="K44" i="2"/>
  <c r="K216" i="2"/>
  <c r="K268" i="2"/>
  <c r="K6" i="2"/>
  <c r="K38" i="2"/>
  <c r="K46" i="2"/>
  <c r="K192" i="2"/>
  <c r="K210" i="2"/>
  <c r="K228" i="2"/>
  <c r="K239" i="2"/>
  <c r="K291" i="2"/>
  <c r="K299" i="2"/>
  <c r="K307" i="2"/>
  <c r="K355" i="2"/>
  <c r="K371" i="2"/>
  <c r="K563" i="2"/>
  <c r="K574" i="2"/>
  <c r="K508" i="2"/>
  <c r="K516" i="2"/>
  <c r="K524" i="2"/>
  <c r="K532" i="2"/>
  <c r="K626" i="2"/>
  <c r="K539" i="2"/>
  <c r="K547" i="2"/>
  <c r="K575" i="2"/>
  <c r="K583" i="2"/>
  <c r="K591" i="2"/>
  <c r="K599" i="2"/>
  <c r="K614" i="2"/>
  <c r="K182" i="2"/>
  <c r="K5" i="2"/>
  <c r="K61" i="2"/>
  <c r="K93" i="2"/>
  <c r="K141" i="2"/>
  <c r="K134" i="2"/>
  <c r="K174" i="2"/>
  <c r="K260" i="2"/>
  <c r="K264" i="2"/>
  <c r="K348" i="2"/>
  <c r="K352" i="2"/>
  <c r="K356" i="2"/>
  <c r="K360" i="2"/>
  <c r="K364" i="2"/>
  <c r="K368" i="2"/>
  <c r="K311" i="2"/>
  <c r="K315" i="2"/>
  <c r="K319" i="2"/>
  <c r="K323" i="2"/>
  <c r="K331" i="2"/>
  <c r="K335" i="2"/>
  <c r="K339" i="2"/>
  <c r="K347" i="2"/>
  <c r="K351" i="2"/>
  <c r="K359" i="2"/>
  <c r="K363" i="2"/>
  <c r="K367" i="2"/>
  <c r="K375" i="2"/>
  <c r="K379" i="2"/>
  <c r="K387" i="2"/>
  <c r="K391" i="2"/>
  <c r="K395" i="2"/>
  <c r="K403" i="2"/>
  <c r="K407" i="2"/>
  <c r="K411" i="2"/>
  <c r="K415" i="2"/>
  <c r="K419" i="2"/>
  <c r="K423" i="2"/>
  <c r="K427" i="2"/>
  <c r="K431" i="2"/>
  <c r="K435" i="2"/>
  <c r="K439" i="2"/>
  <c r="K443" i="2"/>
  <c r="K447" i="2"/>
  <c r="K451" i="2"/>
  <c r="K459" i="2"/>
  <c r="K463" i="2"/>
  <c r="K467" i="2"/>
  <c r="K475" i="2"/>
  <c r="K479" i="2"/>
  <c r="K487" i="2"/>
  <c r="K491" i="2"/>
  <c r="K495" i="2"/>
  <c r="K503" i="2"/>
  <c r="K515" i="2"/>
  <c r="K519" i="2"/>
  <c r="K523" i="2"/>
  <c r="K531" i="2"/>
  <c r="K621" i="2"/>
  <c r="K625" i="2"/>
  <c r="K534" i="2"/>
  <c r="K538" i="2"/>
  <c r="K542" i="2"/>
  <c r="K546" i="2"/>
  <c r="K550" i="2"/>
  <c r="K570" i="2"/>
  <c r="K578" i="2"/>
  <c r="K582" i="2"/>
  <c r="K586" i="2"/>
  <c r="K594" i="2"/>
  <c r="K598" i="2"/>
  <c r="K602" i="2"/>
  <c r="K611" i="2"/>
  <c r="K66" i="2"/>
  <c r="K70" i="2"/>
  <c r="K86" i="2"/>
  <c r="K98" i="2"/>
  <c r="K102" i="2"/>
  <c r="K110" i="2"/>
  <c r="K126" i="2"/>
  <c r="K142" i="2"/>
  <c r="K314" i="2"/>
  <c r="K386" i="2"/>
  <c r="K414" i="2"/>
  <c r="K442" i="2"/>
  <c r="K514" i="2"/>
  <c r="K526" i="2"/>
  <c r="K533" i="2"/>
  <c r="K545" i="2"/>
  <c r="K137" i="2"/>
  <c r="K145" i="2"/>
  <c r="K153" i="2"/>
  <c r="K162" i="2"/>
  <c r="K237" i="2"/>
  <c r="K241" i="2"/>
  <c r="K568" i="2"/>
  <c r="K572" i="2"/>
  <c r="K576" i="2"/>
  <c r="K580" i="2"/>
  <c r="K584" i="2"/>
  <c r="K588" i="2"/>
  <c r="K592" i="2"/>
  <c r="K596" i="2"/>
  <c r="K600" i="2"/>
  <c r="K604" i="2"/>
  <c r="K161" i="2"/>
  <c r="K170" i="2"/>
  <c r="K178" i="2"/>
  <c r="K41" i="2"/>
  <c r="K57" i="2"/>
  <c r="K69" i="2"/>
  <c r="K73" i="2"/>
  <c r="K85" i="2"/>
  <c r="K89" i="2"/>
  <c r="K101" i="2"/>
  <c r="K105" i="2"/>
  <c r="K113" i="2"/>
  <c r="K121" i="2"/>
  <c r="K129" i="2"/>
  <c r="K138" i="2"/>
  <c r="K154" i="2"/>
  <c r="K197" i="2"/>
  <c r="K205" i="2"/>
  <c r="K209" i="2"/>
  <c r="K213" i="2"/>
  <c r="K217" i="2"/>
  <c r="K225" i="2"/>
  <c r="K238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469" i="2"/>
  <c r="K473" i="2"/>
  <c r="K477" i="2"/>
  <c r="K481" i="2"/>
  <c r="K485" i="2"/>
  <c r="K489" i="2"/>
  <c r="K493" i="2"/>
  <c r="K497" i="2"/>
  <c r="K501" i="2"/>
  <c r="K505" i="2"/>
  <c r="K569" i="2"/>
  <c r="K581" i="2"/>
  <c r="K198" i="2"/>
  <c r="K202" i="2"/>
  <c r="K214" i="2"/>
  <c r="K218" i="2"/>
  <c r="K234" i="2"/>
  <c r="K246" i="2"/>
  <c r="K250" i="2"/>
  <c r="K262" i="2"/>
  <c r="K290" i="2"/>
  <c r="K294" i="2"/>
  <c r="K302" i="2"/>
  <c r="K310" i="2"/>
  <c r="K318" i="2"/>
  <c r="K326" i="2"/>
  <c r="K330" i="2"/>
  <c r="K338" i="2"/>
  <c r="K342" i="2"/>
  <c r="K346" i="2"/>
  <c r="K354" i="2"/>
  <c r="K358" i="2"/>
  <c r="K366" i="2"/>
  <c r="K374" i="2"/>
  <c r="K382" i="2"/>
  <c r="K390" i="2"/>
  <c r="K394" i="2"/>
  <c r="K402" i="2"/>
  <c r="K406" i="2"/>
  <c r="K410" i="2"/>
  <c r="K418" i="2"/>
  <c r="K422" i="2"/>
  <c r="K430" i="2"/>
  <c r="K438" i="2"/>
  <c r="K446" i="2"/>
  <c r="K454" i="2"/>
  <c r="K458" i="2"/>
  <c r="K466" i="2"/>
  <c r="K470" i="2"/>
  <c r="K474" i="2"/>
  <c r="K482" i="2"/>
  <c r="K486" i="2"/>
  <c r="K494" i="2"/>
  <c r="K502" i="2"/>
  <c r="K510" i="2"/>
  <c r="K518" i="2"/>
  <c r="K522" i="2"/>
  <c r="K530" i="2"/>
  <c r="K620" i="2"/>
  <c r="K624" i="2"/>
  <c r="K537" i="2"/>
  <c r="K541" i="2"/>
  <c r="K549" i="2"/>
  <c r="K573" i="2"/>
  <c r="K577" i="2"/>
  <c r="K585" i="2"/>
  <c r="K589" i="2"/>
  <c r="K593" i="2"/>
  <c r="K597" i="2"/>
  <c r="K601" i="2"/>
  <c r="K609" i="2"/>
  <c r="D57" i="2"/>
  <c r="D56" i="2"/>
  <c r="I55" i="2"/>
  <c r="H55" i="2"/>
  <c r="D55" i="2"/>
  <c r="D54" i="2"/>
  <c r="H53" i="2"/>
  <c r="J53" i="2" s="1"/>
  <c r="K53" i="2" s="1"/>
  <c r="D53" i="2"/>
  <c r="D52" i="2"/>
  <c r="D51" i="2"/>
  <c r="H50" i="2"/>
  <c r="J50" i="2" s="1"/>
  <c r="K50" i="2" s="1"/>
  <c r="D50" i="2"/>
  <c r="H49" i="2"/>
  <c r="J49" i="2" s="1"/>
  <c r="K49" i="2" s="1"/>
  <c r="D49" i="2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H69" i="4"/>
  <c r="G69" i="4"/>
  <c r="F69" i="4"/>
  <c r="E69" i="4"/>
  <c r="C69" i="4"/>
  <c r="B69" i="4"/>
  <c r="I68" i="4"/>
  <c r="D68" i="4"/>
  <c r="I67" i="4"/>
  <c r="D67" i="4"/>
  <c r="I66" i="4"/>
  <c r="D66" i="4"/>
  <c r="I65" i="4"/>
  <c r="D65" i="4"/>
  <c r="I64" i="4"/>
  <c r="D64" i="4"/>
  <c r="I63" i="4"/>
  <c r="D63" i="4"/>
  <c r="I62" i="4"/>
  <c r="D62" i="4"/>
  <c r="I61" i="4"/>
  <c r="D61" i="4"/>
  <c r="I60" i="4"/>
  <c r="D60" i="4"/>
  <c r="H58" i="4"/>
  <c r="G58" i="4"/>
  <c r="F58" i="4"/>
  <c r="E58" i="4"/>
  <c r="C58" i="4"/>
  <c r="B58" i="4"/>
  <c r="I57" i="4"/>
  <c r="D57" i="4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H47" i="4"/>
  <c r="G47" i="4"/>
  <c r="F47" i="4"/>
  <c r="E47" i="4"/>
  <c r="C47" i="4"/>
  <c r="B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H36" i="4"/>
  <c r="G36" i="4"/>
  <c r="F36" i="4"/>
  <c r="E36" i="4"/>
  <c r="C36" i="4"/>
  <c r="B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H25" i="4"/>
  <c r="G25" i="4"/>
  <c r="F25" i="4"/>
  <c r="E25" i="4"/>
  <c r="C25" i="4"/>
  <c r="B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H14" i="4"/>
  <c r="G14" i="4"/>
  <c r="F14" i="4"/>
  <c r="E14" i="4"/>
  <c r="C14" i="4"/>
  <c r="B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D4" i="4"/>
  <c r="I47" i="4" l="1"/>
  <c r="I58" i="4"/>
  <c r="D14" i="4"/>
  <c r="D36" i="4"/>
  <c r="I36" i="4"/>
  <c r="I14" i="4"/>
  <c r="D25" i="4"/>
  <c r="I69" i="4"/>
  <c r="I25" i="4"/>
  <c r="D47" i="4"/>
  <c r="D58" i="4"/>
  <c r="D69" i="4"/>
  <c r="J55" i="2"/>
  <c r="K55" i="2" s="1"/>
  <c r="I242" i="2" l="1"/>
  <c r="J242" i="2" s="1"/>
  <c r="F242" i="2"/>
  <c r="G242" i="2" s="1"/>
  <c r="K242" i="2" l="1"/>
  <c r="H233" i="2" l="1"/>
  <c r="J233" i="2" s="1"/>
  <c r="E233" i="2"/>
  <c r="G233" i="2" s="1"/>
  <c r="H235" i="2"/>
  <c r="J235" i="2" s="1"/>
  <c r="K235" i="2" s="1"/>
  <c r="I230" i="2"/>
  <c r="J230" i="2" s="1"/>
  <c r="I229" i="2"/>
  <c r="J229" i="2" s="1"/>
  <c r="F230" i="2"/>
  <c r="G230" i="2" s="1"/>
  <c r="F229" i="2"/>
  <c r="G229" i="2" s="1"/>
  <c r="I221" i="2"/>
  <c r="J221" i="2" s="1"/>
  <c r="I220" i="2"/>
  <c r="J220" i="2" s="1"/>
  <c r="F221" i="2"/>
  <c r="G221" i="2" s="1"/>
  <c r="F220" i="2"/>
  <c r="G220" i="2" s="1"/>
  <c r="K229" i="2" l="1"/>
  <c r="K220" i="2"/>
  <c r="K233" i="2"/>
  <c r="K230" i="2"/>
  <c r="K221" i="2"/>
  <c r="K28" i="1"/>
  <c r="L28" i="1"/>
  <c r="I28" i="1"/>
  <c r="H28" i="1"/>
  <c r="D28" i="1"/>
  <c r="P28" i="1"/>
  <c r="M28" i="1"/>
  <c r="A28" i="1"/>
  <c r="G28" i="1" l="1"/>
  <c r="J28" i="1"/>
  <c r="E194" i="2" l="1"/>
  <c r="E193" i="2"/>
  <c r="I193" i="2"/>
  <c r="J193" i="2" s="1"/>
  <c r="F193" i="2" l="1"/>
  <c r="G193" i="2" s="1"/>
  <c r="K193" i="2" s="1"/>
  <c r="F194" i="2"/>
  <c r="G194" i="2" s="1"/>
  <c r="K194" i="2" s="1"/>
  <c r="I188" i="2"/>
  <c r="H190" i="2"/>
  <c r="J190" i="2" s="1"/>
  <c r="K190" i="2" s="1"/>
  <c r="H188" i="2"/>
  <c r="J188" i="2" s="1"/>
  <c r="K188" i="2" s="1"/>
  <c r="H185" i="2"/>
  <c r="J185" i="2" s="1"/>
  <c r="K185" i="2" s="1"/>
  <c r="H184" i="2"/>
  <c r="J184" i="2" s="1"/>
  <c r="K184" i="2" s="1"/>
  <c r="I167" i="2" l="1"/>
  <c r="J167" i="2" s="1"/>
  <c r="I166" i="2"/>
  <c r="J166" i="2" s="1"/>
  <c r="F167" i="2"/>
  <c r="G167" i="2" s="1"/>
  <c r="F166" i="2"/>
  <c r="G166" i="2" s="1"/>
  <c r="K166" i="2" l="1"/>
  <c r="K167" i="2"/>
  <c r="P23" i="1"/>
  <c r="M23" i="1"/>
  <c r="L23" i="1"/>
  <c r="K23" i="1"/>
  <c r="I23" i="1"/>
  <c r="H23" i="1"/>
  <c r="G23" i="1" s="1"/>
  <c r="D23" i="1"/>
  <c r="A23" i="1"/>
  <c r="I158" i="2"/>
  <c r="J158" i="2" s="1"/>
  <c r="I157" i="2"/>
  <c r="J157" i="2" s="1"/>
  <c r="F158" i="2"/>
  <c r="G158" i="2" s="1"/>
  <c r="K158" i="2" s="1"/>
  <c r="F157" i="2"/>
  <c r="G157" i="2" s="1"/>
  <c r="K157" i="2" s="1"/>
  <c r="H149" i="2"/>
  <c r="H148" i="2"/>
  <c r="J23" i="1" l="1"/>
  <c r="I149" i="2" l="1"/>
  <c r="J149" i="2" s="1"/>
  <c r="I148" i="2"/>
  <c r="J148" i="2" s="1"/>
  <c r="F149" i="2"/>
  <c r="G149" i="2" s="1"/>
  <c r="F148" i="2"/>
  <c r="G148" i="2" s="1"/>
  <c r="I140" i="2"/>
  <c r="J140" i="2" s="1"/>
  <c r="I139" i="2"/>
  <c r="J139" i="2" s="1"/>
  <c r="F140" i="2"/>
  <c r="G140" i="2" s="1"/>
  <c r="F139" i="2"/>
  <c r="G139" i="2" s="1"/>
  <c r="I131" i="2"/>
  <c r="J131" i="2" s="1"/>
  <c r="I130" i="2"/>
  <c r="J130" i="2" s="1"/>
  <c r="F131" i="2"/>
  <c r="G131" i="2" s="1"/>
  <c r="F130" i="2"/>
  <c r="G130" i="2" s="1"/>
  <c r="K139" i="2" l="1"/>
  <c r="K130" i="2"/>
  <c r="K148" i="2"/>
  <c r="K140" i="2"/>
  <c r="K131" i="2"/>
  <c r="K149" i="2"/>
  <c r="P16" i="1"/>
  <c r="M16" i="1"/>
  <c r="L16" i="1"/>
  <c r="K16" i="1"/>
  <c r="I16" i="1"/>
  <c r="H16" i="1"/>
  <c r="D16" i="1"/>
  <c r="A16" i="1"/>
  <c r="G16" i="1" l="1"/>
  <c r="J16" i="1"/>
  <c r="H19" i="2" l="1"/>
  <c r="J19" i="2" s="1"/>
  <c r="K19" i="2" s="1"/>
  <c r="H17" i="2"/>
  <c r="J17" i="2" s="1"/>
  <c r="K17" i="2" s="1"/>
  <c r="H14" i="2"/>
  <c r="H13" i="2"/>
  <c r="I13" i="2" l="1"/>
  <c r="J13" i="2" s="1"/>
  <c r="K13" i="2" s="1"/>
  <c r="I14" i="2"/>
  <c r="J14" i="2" s="1"/>
  <c r="K14" i="2" s="1"/>
  <c r="H612" i="2" l="1"/>
  <c r="J612" i="2" s="1"/>
  <c r="E612" i="2"/>
  <c r="G612" i="2" s="1"/>
  <c r="H613" i="2"/>
  <c r="J613" i="2" s="1"/>
  <c r="E613" i="2"/>
  <c r="G613" i="2" s="1"/>
  <c r="I616" i="2"/>
  <c r="F616" i="2"/>
  <c r="H616" i="2"/>
  <c r="J616" i="2" s="1"/>
  <c r="E616" i="2"/>
  <c r="G616" i="2" s="1"/>
  <c r="I617" i="2"/>
  <c r="H617" i="2"/>
  <c r="F617" i="2"/>
  <c r="E617" i="2"/>
  <c r="G617" i="2" s="1"/>
  <c r="I615" i="2"/>
  <c r="H615" i="2"/>
  <c r="F615" i="2"/>
  <c r="E615" i="2"/>
  <c r="G615" i="2" s="1"/>
  <c r="K613" i="2" l="1"/>
  <c r="K616" i="2"/>
  <c r="K612" i="2"/>
  <c r="J615" i="2"/>
  <c r="K615" i="2" s="1"/>
  <c r="J617" i="2"/>
  <c r="K617" i="2" s="1"/>
  <c r="H605" i="2"/>
  <c r="J605" i="2" s="1"/>
  <c r="E605" i="2"/>
  <c r="G605" i="2" s="1"/>
  <c r="H606" i="2"/>
  <c r="J606" i="2" s="1"/>
  <c r="E606" i="2"/>
  <c r="G606" i="2" s="1"/>
  <c r="I607" i="2"/>
  <c r="H607" i="2"/>
  <c r="J607" i="2" s="1"/>
  <c r="F607" i="2"/>
  <c r="E607" i="2"/>
  <c r="G607" i="2" s="1"/>
  <c r="I610" i="2"/>
  <c r="H610" i="2"/>
  <c r="J610" i="2" s="1"/>
  <c r="F610" i="2"/>
  <c r="E610" i="2"/>
  <c r="G610" i="2" s="1"/>
  <c r="I608" i="2"/>
  <c r="H608" i="2"/>
  <c r="J608" i="2" s="1"/>
  <c r="F608" i="2"/>
  <c r="E608" i="2"/>
  <c r="G608" i="2" s="1"/>
  <c r="K606" i="2" l="1"/>
  <c r="K605" i="2"/>
  <c r="K607" i="2"/>
  <c r="K608" i="2"/>
  <c r="K610" i="2"/>
  <c r="D618" i="2"/>
  <c r="D617" i="2"/>
  <c r="D616" i="2"/>
  <c r="D615" i="2"/>
  <c r="D614" i="2"/>
  <c r="D613" i="2"/>
  <c r="D612" i="2"/>
  <c r="D611" i="2" l="1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I564" i="2" l="1"/>
  <c r="H564" i="2"/>
  <c r="J564" i="2" s="1"/>
  <c r="F564" i="2"/>
  <c r="E564" i="2"/>
  <c r="H567" i="2"/>
  <c r="J567" i="2" s="1"/>
  <c r="E567" i="2"/>
  <c r="G567" i="2" s="1"/>
  <c r="H560" i="2"/>
  <c r="J560" i="2" s="1"/>
  <c r="E560" i="2"/>
  <c r="G560" i="2" s="1"/>
  <c r="H561" i="2"/>
  <c r="J561" i="2" s="1"/>
  <c r="E561" i="2"/>
  <c r="G561" i="2" s="1"/>
  <c r="I565" i="2"/>
  <c r="H565" i="2"/>
  <c r="F562" i="2"/>
  <c r="E562" i="2"/>
  <c r="G562" i="2" s="1"/>
  <c r="K562" i="2" s="1"/>
  <c r="F566" i="2"/>
  <c r="I566" i="2"/>
  <c r="H566" i="2"/>
  <c r="E566" i="2"/>
  <c r="K560" i="2" l="1"/>
  <c r="K567" i="2"/>
  <c r="K561" i="2"/>
  <c r="J565" i="2"/>
  <c r="K565" i="2" s="1"/>
  <c r="G564" i="2"/>
  <c r="K564" i="2" s="1"/>
  <c r="G566" i="2"/>
  <c r="J56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I555" i="2"/>
  <c r="H555" i="2"/>
  <c r="J555" i="2" s="1"/>
  <c r="F555" i="2"/>
  <c r="E555" i="2"/>
  <c r="F558" i="2"/>
  <c r="E558" i="2"/>
  <c r="G558" i="2" s="1"/>
  <c r="K558" i="2" s="1"/>
  <c r="H551" i="2"/>
  <c r="J551" i="2" s="1"/>
  <c r="E551" i="2"/>
  <c r="G551" i="2" s="1"/>
  <c r="H552" i="2"/>
  <c r="J552" i="2" s="1"/>
  <c r="E552" i="2"/>
  <c r="G552" i="2" s="1"/>
  <c r="F556" i="2"/>
  <c r="E556" i="2"/>
  <c r="I557" i="2"/>
  <c r="H557" i="2"/>
  <c r="J557" i="2" s="1"/>
  <c r="F557" i="2"/>
  <c r="E557" i="2"/>
  <c r="G557" i="2" s="1"/>
  <c r="K557" i="2" l="1"/>
  <c r="K551" i="2"/>
  <c r="K552" i="2"/>
  <c r="G556" i="2"/>
  <c r="K556" i="2" s="1"/>
  <c r="G555" i="2"/>
  <c r="K555" i="2" s="1"/>
  <c r="K566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 l="1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A126" i="1" l="1"/>
  <c r="G126" i="1"/>
  <c r="P111" i="1" l="1"/>
  <c r="M111" i="1"/>
  <c r="L111" i="1"/>
  <c r="K111" i="1"/>
  <c r="I111" i="1"/>
  <c r="H111" i="1"/>
  <c r="D111" i="1"/>
  <c r="A111" i="1"/>
  <c r="G111" i="1" l="1"/>
  <c r="J111" i="1"/>
  <c r="P110" i="1" l="1"/>
  <c r="P112" i="1"/>
  <c r="P113" i="1"/>
  <c r="P114" i="1"/>
  <c r="K110" i="1"/>
  <c r="L110" i="1"/>
  <c r="K112" i="1"/>
  <c r="L112" i="1"/>
  <c r="K113" i="1"/>
  <c r="L113" i="1"/>
  <c r="K114" i="1"/>
  <c r="L114" i="1"/>
  <c r="M110" i="1"/>
  <c r="M112" i="1"/>
  <c r="M113" i="1"/>
  <c r="M114" i="1"/>
  <c r="H110" i="1"/>
  <c r="I110" i="1"/>
  <c r="H112" i="1"/>
  <c r="I112" i="1"/>
  <c r="H113" i="1"/>
  <c r="I113" i="1"/>
  <c r="H114" i="1"/>
  <c r="I114" i="1"/>
  <c r="H109" i="1"/>
  <c r="I109" i="1"/>
  <c r="D114" i="1"/>
  <c r="A110" i="1"/>
  <c r="A112" i="1"/>
  <c r="A113" i="1"/>
  <c r="A114" i="1"/>
  <c r="J113" i="1" l="1"/>
  <c r="J110" i="1"/>
  <c r="G114" i="1"/>
  <c r="G113" i="1"/>
  <c r="G110" i="1"/>
  <c r="J112" i="1"/>
  <c r="G112" i="1"/>
  <c r="J114" i="1"/>
  <c r="L109" i="1"/>
  <c r="K109" i="1"/>
  <c r="L108" i="1"/>
  <c r="K108" i="1"/>
  <c r="G109" i="1"/>
  <c r="I108" i="1"/>
  <c r="H108" i="1"/>
  <c r="P108" i="1"/>
  <c r="P109" i="1"/>
  <c r="M108" i="1"/>
  <c r="M109" i="1"/>
  <c r="D108" i="1"/>
  <c r="D109" i="1"/>
  <c r="D110" i="1"/>
  <c r="D112" i="1"/>
  <c r="D113" i="1"/>
  <c r="A108" i="1"/>
  <c r="A109" i="1"/>
  <c r="J109" i="1" l="1"/>
  <c r="G108" i="1"/>
  <c r="J108" i="1"/>
  <c r="K107" i="1" l="1"/>
  <c r="L107" i="1"/>
  <c r="A107" i="1"/>
  <c r="D107" i="1"/>
  <c r="H107" i="1"/>
  <c r="I107" i="1"/>
  <c r="M107" i="1"/>
  <c r="P107" i="1"/>
  <c r="J107" i="1" l="1"/>
  <c r="G107" i="1"/>
  <c r="D541" i="2" l="1"/>
  <c r="D540" i="2"/>
  <c r="D539" i="2"/>
  <c r="D538" i="2"/>
  <c r="D537" i="2"/>
  <c r="D536" i="2"/>
  <c r="D535" i="2"/>
  <c r="D534" i="2"/>
  <c r="D533" i="2"/>
  <c r="D627" i="2"/>
  <c r="D626" i="2"/>
  <c r="D625" i="2"/>
  <c r="D624" i="2"/>
  <c r="D623" i="2"/>
  <c r="D622" i="2"/>
  <c r="D621" i="2"/>
  <c r="D620" i="2"/>
  <c r="D619" i="2"/>
  <c r="I512" i="2" l="1"/>
  <c r="I509" i="2"/>
  <c r="I507" i="2"/>
  <c r="I506" i="2"/>
  <c r="H512" i="2"/>
  <c r="J512" i="2" s="1"/>
  <c r="K512" i="2" s="1"/>
  <c r="H509" i="2"/>
  <c r="J509" i="2" s="1"/>
  <c r="K509" i="2" s="1"/>
  <c r="H507" i="2"/>
  <c r="H506" i="2"/>
  <c r="J506" i="2" s="1"/>
  <c r="K506" i="2" s="1"/>
  <c r="D532" i="2"/>
  <c r="D531" i="2"/>
  <c r="D530" i="2"/>
  <c r="D529" i="2"/>
  <c r="D528" i="2"/>
  <c r="D527" i="2"/>
  <c r="D526" i="2"/>
  <c r="D525" i="2"/>
  <c r="D524" i="2"/>
  <c r="J507" i="2" l="1"/>
  <c r="K507" i="2" s="1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 l="1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 l="1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 l="1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 l="1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 l="1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 l="1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 l="1"/>
  <c r="D396" i="2"/>
  <c r="D395" i="2"/>
  <c r="D394" i="2"/>
  <c r="D393" i="2"/>
  <c r="D392" i="2"/>
  <c r="D391" i="2"/>
  <c r="D390" i="2"/>
  <c r="D389" i="2"/>
  <c r="D388" i="2" l="1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 l="1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 l="1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M45" i="1"/>
  <c r="D334" i="2" l="1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F257" i="2"/>
  <c r="G257" i="2" s="1"/>
  <c r="F256" i="2"/>
  <c r="G256" i="2" s="1"/>
  <c r="F248" i="2"/>
  <c r="G248" i="2" s="1"/>
  <c r="K248" i="2" s="1"/>
  <c r="F247" i="2"/>
  <c r="G247" i="2" s="1"/>
  <c r="K247" i="2" s="1"/>
  <c r="I289" i="2" l="1"/>
  <c r="J289" i="2" s="1"/>
  <c r="I288" i="2"/>
  <c r="J288" i="2" s="1"/>
  <c r="I286" i="2"/>
  <c r="J286" i="2" s="1"/>
  <c r="F287" i="2"/>
  <c r="G287" i="2" s="1"/>
  <c r="K287" i="2" s="1"/>
  <c r="I285" i="2"/>
  <c r="J285" i="2" s="1"/>
  <c r="F289" i="2"/>
  <c r="G289" i="2" s="1"/>
  <c r="F288" i="2"/>
  <c r="G288" i="2" s="1"/>
  <c r="F285" i="2"/>
  <c r="G285" i="2" s="1"/>
  <c r="F286" i="2"/>
  <c r="G286" i="2" s="1"/>
  <c r="K289" i="2" l="1"/>
  <c r="K286" i="2"/>
  <c r="K285" i="2"/>
  <c r="K288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H274" i="2"/>
  <c r="H275" i="2"/>
  <c r="H280" i="2"/>
  <c r="H278" i="2"/>
  <c r="I282" i="2"/>
  <c r="H282" i="2"/>
  <c r="J282" i="2" s="1"/>
  <c r="K282" i="2" s="1"/>
  <c r="I281" i="2"/>
  <c r="H281" i="2"/>
  <c r="I280" i="2"/>
  <c r="F280" i="2"/>
  <c r="E280" i="2"/>
  <c r="F279" i="2"/>
  <c r="E279" i="2"/>
  <c r="I278" i="2"/>
  <c r="F278" i="2"/>
  <c r="E278" i="2"/>
  <c r="E275" i="2"/>
  <c r="E274" i="2"/>
  <c r="D289" i="2"/>
  <c r="D288" i="2"/>
  <c r="D287" i="2"/>
  <c r="D286" i="2"/>
  <c r="D285" i="2"/>
  <c r="D284" i="2"/>
  <c r="D283" i="2"/>
  <c r="I273" i="2"/>
  <c r="H273" i="2"/>
  <c r="I272" i="2"/>
  <c r="H272" i="2"/>
  <c r="F271" i="2"/>
  <c r="I271" i="2"/>
  <c r="H271" i="2"/>
  <c r="E271" i="2"/>
  <c r="F270" i="2"/>
  <c r="E270" i="2"/>
  <c r="I269" i="2"/>
  <c r="F269" i="2"/>
  <c r="H269" i="2"/>
  <c r="J269" i="2" s="1"/>
  <c r="E269" i="2"/>
  <c r="H266" i="2"/>
  <c r="E266" i="2"/>
  <c r="H265" i="2"/>
  <c r="E265" i="2"/>
  <c r="G269" i="2" l="1"/>
  <c r="K269" i="2" s="1"/>
  <c r="G270" i="2"/>
  <c r="K270" i="2" s="1"/>
  <c r="J273" i="2"/>
  <c r="K273" i="2" s="1"/>
  <c r="G280" i="2"/>
  <c r="J280" i="2"/>
  <c r="I265" i="2"/>
  <c r="J265" i="2" s="1"/>
  <c r="F266" i="2"/>
  <c r="G266" i="2" s="1"/>
  <c r="G271" i="2"/>
  <c r="J272" i="2"/>
  <c r="K272" i="2" s="1"/>
  <c r="F275" i="2"/>
  <c r="G275" i="2" s="1"/>
  <c r="G279" i="2"/>
  <c r="K279" i="2" s="1"/>
  <c r="I274" i="2"/>
  <c r="J274" i="2" s="1"/>
  <c r="F265" i="2"/>
  <c r="G265" i="2" s="1"/>
  <c r="F274" i="2"/>
  <c r="G274" i="2" s="1"/>
  <c r="I275" i="2"/>
  <c r="J275" i="2" s="1"/>
  <c r="I266" i="2"/>
  <c r="J266" i="2" s="1"/>
  <c r="J271" i="2"/>
  <c r="G278" i="2"/>
  <c r="J281" i="2"/>
  <c r="K281" i="2" s="1"/>
  <c r="J278" i="2"/>
  <c r="D282" i="2"/>
  <c r="D281" i="2"/>
  <c r="D280" i="2"/>
  <c r="D279" i="2"/>
  <c r="D278" i="2"/>
  <c r="D277" i="2"/>
  <c r="D276" i="2"/>
  <c r="D275" i="2"/>
  <c r="D274" i="2"/>
  <c r="K266" i="2" l="1"/>
  <c r="K280" i="2"/>
  <c r="K274" i="2"/>
  <c r="K265" i="2"/>
  <c r="K275" i="2"/>
  <c r="K278" i="2"/>
  <c r="K271" i="2"/>
  <c r="I256" i="2"/>
  <c r="J256" i="2" s="1"/>
  <c r="K256" i="2" s="1"/>
  <c r="I257" i="2"/>
  <c r="J257" i="2" s="1"/>
  <c r="K257" i="2" s="1"/>
  <c r="D273" i="2"/>
  <c r="D272" i="2"/>
  <c r="D271" i="2"/>
  <c r="D270" i="2"/>
  <c r="D269" i="2"/>
  <c r="D268" i="2"/>
  <c r="D267" i="2"/>
  <c r="D266" i="2"/>
  <c r="D265" i="2"/>
  <c r="D255" i="2" l="1"/>
  <c r="D254" i="2"/>
  <c r="D253" i="2"/>
  <c r="D252" i="2"/>
  <c r="D251" i="2"/>
  <c r="D250" i="2"/>
  <c r="D249" i="2"/>
  <c r="D248" i="2"/>
  <c r="D247" i="2"/>
  <c r="D264" i="2" l="1"/>
  <c r="D263" i="2"/>
  <c r="D262" i="2"/>
  <c r="D261" i="2"/>
  <c r="D260" i="2"/>
  <c r="D259" i="2"/>
  <c r="D258" i="2"/>
  <c r="D257" i="2"/>
  <c r="D256" i="2"/>
  <c r="D237" i="2"/>
  <c r="D236" i="2"/>
  <c r="D235" i="2"/>
  <c r="D234" i="2"/>
  <c r="D233" i="2"/>
  <c r="D232" i="2"/>
  <c r="D231" i="2"/>
  <c r="D230" i="2"/>
  <c r="D229" i="2"/>
  <c r="D246" i="2" l="1"/>
  <c r="D245" i="2"/>
  <c r="D244" i="2"/>
  <c r="D243" i="2"/>
  <c r="D242" i="2"/>
  <c r="D241" i="2"/>
  <c r="D240" i="2"/>
  <c r="D239" i="2"/>
  <c r="D238" i="2"/>
  <c r="D228" i="2" l="1"/>
  <c r="D227" i="2"/>
  <c r="D226" i="2"/>
  <c r="D225" i="2"/>
  <c r="D224" i="2"/>
  <c r="D223" i="2"/>
  <c r="D222" i="2"/>
  <c r="D221" i="2"/>
  <c r="D220" i="2"/>
  <c r="D219" i="2" l="1"/>
  <c r="D218" i="2"/>
  <c r="D217" i="2"/>
  <c r="D216" i="2"/>
  <c r="D215" i="2"/>
  <c r="D214" i="2"/>
  <c r="D213" i="2"/>
  <c r="D212" i="2"/>
  <c r="D211" i="2"/>
  <c r="D210" i="2" l="1"/>
  <c r="D209" i="2"/>
  <c r="D208" i="2"/>
  <c r="D207" i="2"/>
  <c r="D206" i="2"/>
  <c r="D205" i="2"/>
  <c r="D204" i="2"/>
  <c r="D203" i="2"/>
  <c r="D202" i="2"/>
  <c r="D191" i="2"/>
  <c r="D190" i="2"/>
  <c r="D201" i="2"/>
  <c r="D200" i="2"/>
  <c r="D199" i="2"/>
  <c r="D198" i="2"/>
  <c r="D197" i="2"/>
  <c r="D196" i="2"/>
  <c r="D195" i="2"/>
  <c r="D194" i="2"/>
  <c r="D193" i="2"/>
  <c r="D184" i="2" l="1"/>
  <c r="D188" i="2"/>
  <c r="D192" i="2"/>
  <c r="D185" i="2"/>
  <c r="D186" i="2"/>
  <c r="D187" i="2"/>
  <c r="D189" i="2"/>
  <c r="D183" i="2" l="1"/>
  <c r="D182" i="2"/>
  <c r="D181" i="2"/>
  <c r="D180" i="2"/>
  <c r="D179" i="2"/>
  <c r="D178" i="2"/>
  <c r="D177" i="2"/>
  <c r="D176" i="2"/>
  <c r="D175" i="2"/>
  <c r="D174" i="2" l="1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 l="1"/>
  <c r="D155" i="2"/>
  <c r="D154" i="2"/>
  <c r="D153" i="2"/>
  <c r="D152" i="2"/>
  <c r="D151" i="2"/>
  <c r="D150" i="2"/>
  <c r="D149" i="2"/>
  <c r="D148" i="2"/>
  <c r="D147" i="2" l="1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 l="1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 l="1"/>
  <c r="D110" i="2"/>
  <c r="D109" i="2"/>
  <c r="D108" i="2"/>
  <c r="D107" i="2"/>
  <c r="D106" i="2"/>
  <c r="D105" i="2"/>
  <c r="D104" i="2"/>
  <c r="D103" i="2"/>
  <c r="D102" i="2" l="1"/>
  <c r="D101" i="2"/>
  <c r="D100" i="2"/>
  <c r="D99" i="2"/>
  <c r="D98" i="2"/>
  <c r="D97" i="2"/>
  <c r="D96" i="2"/>
  <c r="D95" i="2"/>
  <c r="D94" i="2"/>
  <c r="D93" i="2" l="1"/>
  <c r="D92" i="2"/>
  <c r="D91" i="2"/>
  <c r="D90" i="2"/>
  <c r="D89" i="2"/>
  <c r="D88" i="2"/>
  <c r="D87" i="2"/>
  <c r="D86" i="2"/>
  <c r="D85" i="2"/>
  <c r="D84" i="2" l="1"/>
  <c r="D83" i="2"/>
  <c r="D82" i="2"/>
  <c r="D81" i="2"/>
  <c r="D80" i="2"/>
  <c r="D79" i="2"/>
  <c r="D78" i="2"/>
  <c r="D77" i="2"/>
  <c r="D76" i="2"/>
  <c r="D68" i="2" l="1"/>
  <c r="D69" i="2"/>
  <c r="D70" i="2"/>
  <c r="D71" i="2"/>
  <c r="D72" i="2"/>
  <c r="D73" i="2"/>
  <c r="D74" i="2"/>
  <c r="D75" i="2"/>
  <c r="D67" i="2"/>
  <c r="D59" i="2" l="1"/>
  <c r="D60" i="2"/>
  <c r="D61" i="2"/>
  <c r="D62" i="2"/>
  <c r="D63" i="2"/>
  <c r="D64" i="2"/>
  <c r="D65" i="2"/>
  <c r="D66" i="2"/>
  <c r="D58" i="2"/>
  <c r="D41" i="2" l="1"/>
  <c r="D42" i="2"/>
  <c r="D43" i="2"/>
  <c r="D44" i="2"/>
  <c r="D45" i="2"/>
  <c r="D46" i="2"/>
  <c r="D47" i="2"/>
  <c r="D48" i="2"/>
  <c r="D40" i="2"/>
  <c r="I31" i="2" l="1"/>
  <c r="I32" i="2"/>
  <c r="H37" i="2"/>
  <c r="H31" i="2"/>
  <c r="I37" i="2"/>
  <c r="I34" i="2"/>
  <c r="H34" i="2"/>
  <c r="H32" i="2"/>
  <c r="J32" i="2" l="1"/>
  <c r="K32" i="2" s="1"/>
  <c r="J31" i="2"/>
  <c r="K31" i="2" s="1"/>
  <c r="J34" i="2"/>
  <c r="K34" i="2" s="1"/>
  <c r="J37" i="2"/>
  <c r="K37" i="2" s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7" i="1"/>
  <c r="L17" i="1"/>
  <c r="K18" i="1"/>
  <c r="L18" i="1"/>
  <c r="K19" i="1"/>
  <c r="L19" i="1"/>
  <c r="K20" i="1"/>
  <c r="L20" i="1"/>
  <c r="K21" i="1"/>
  <c r="L21" i="1"/>
  <c r="K22" i="1"/>
  <c r="L22" i="1"/>
  <c r="K24" i="1"/>
  <c r="L24" i="1"/>
  <c r="K25" i="1"/>
  <c r="L25" i="1"/>
  <c r="K26" i="1"/>
  <c r="L26" i="1"/>
  <c r="K27" i="1"/>
  <c r="L27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L3" i="1"/>
  <c r="K3" i="1"/>
  <c r="I69" i="1" l="1"/>
  <c r="H69" i="1"/>
  <c r="I68" i="1" l="1"/>
  <c r="H68" i="1"/>
  <c r="P69" i="1"/>
  <c r="M69" i="1"/>
  <c r="G69" i="1"/>
  <c r="D68" i="1"/>
  <c r="D69" i="1"/>
  <c r="A69" i="1"/>
  <c r="A68" i="1"/>
  <c r="P68" i="1"/>
  <c r="M68" i="1"/>
  <c r="J68" i="1" l="1"/>
  <c r="J69" i="1"/>
  <c r="G68" i="1"/>
  <c r="P106" i="1"/>
  <c r="M106" i="1"/>
  <c r="I106" i="1"/>
  <c r="H106" i="1"/>
  <c r="D106" i="1"/>
  <c r="A106" i="1"/>
  <c r="P105" i="1"/>
  <c r="M105" i="1"/>
  <c r="I105" i="1"/>
  <c r="H105" i="1"/>
  <c r="D105" i="1"/>
  <c r="A105" i="1"/>
  <c r="P104" i="1"/>
  <c r="M104" i="1"/>
  <c r="I104" i="1"/>
  <c r="H104" i="1"/>
  <c r="D104" i="1"/>
  <c r="A104" i="1"/>
  <c r="P103" i="1"/>
  <c r="M103" i="1"/>
  <c r="I103" i="1"/>
  <c r="H103" i="1"/>
  <c r="D103" i="1"/>
  <c r="A103" i="1"/>
  <c r="J104" i="1" l="1"/>
  <c r="J106" i="1"/>
  <c r="J103" i="1"/>
  <c r="J105" i="1"/>
  <c r="G104" i="1"/>
  <c r="G106" i="1"/>
  <c r="G105" i="1"/>
  <c r="G103" i="1"/>
  <c r="P102" i="1"/>
  <c r="M102" i="1"/>
  <c r="I102" i="1"/>
  <c r="H102" i="1"/>
  <c r="D102" i="1"/>
  <c r="A102" i="1"/>
  <c r="P101" i="1"/>
  <c r="M101" i="1"/>
  <c r="I101" i="1"/>
  <c r="H101" i="1"/>
  <c r="D101" i="1"/>
  <c r="A101" i="1"/>
  <c r="P100" i="1"/>
  <c r="M100" i="1"/>
  <c r="I100" i="1"/>
  <c r="H100" i="1"/>
  <c r="D100" i="1"/>
  <c r="A100" i="1"/>
  <c r="P99" i="1"/>
  <c r="M99" i="1"/>
  <c r="I99" i="1"/>
  <c r="H99" i="1"/>
  <c r="D99" i="1"/>
  <c r="A99" i="1"/>
  <c r="P98" i="1"/>
  <c r="M98" i="1"/>
  <c r="I98" i="1"/>
  <c r="H98" i="1"/>
  <c r="D98" i="1"/>
  <c r="A98" i="1"/>
  <c r="P97" i="1"/>
  <c r="M97" i="1"/>
  <c r="I97" i="1"/>
  <c r="H97" i="1"/>
  <c r="D97" i="1"/>
  <c r="A97" i="1"/>
  <c r="P96" i="1"/>
  <c r="M96" i="1"/>
  <c r="I96" i="1"/>
  <c r="H96" i="1"/>
  <c r="D96" i="1"/>
  <c r="A96" i="1"/>
  <c r="P95" i="1"/>
  <c r="M95" i="1"/>
  <c r="I95" i="1"/>
  <c r="H95" i="1"/>
  <c r="D95" i="1"/>
  <c r="A95" i="1"/>
  <c r="P94" i="1"/>
  <c r="M94" i="1"/>
  <c r="I94" i="1"/>
  <c r="H94" i="1"/>
  <c r="D94" i="1"/>
  <c r="A94" i="1"/>
  <c r="P93" i="1"/>
  <c r="M93" i="1"/>
  <c r="I93" i="1"/>
  <c r="H93" i="1"/>
  <c r="D93" i="1"/>
  <c r="A93" i="1"/>
  <c r="P92" i="1"/>
  <c r="M92" i="1"/>
  <c r="I92" i="1"/>
  <c r="H92" i="1"/>
  <c r="D92" i="1"/>
  <c r="A92" i="1"/>
  <c r="P91" i="1"/>
  <c r="M91" i="1"/>
  <c r="I91" i="1"/>
  <c r="H91" i="1"/>
  <c r="D91" i="1"/>
  <c r="A91" i="1"/>
  <c r="P90" i="1"/>
  <c r="M90" i="1"/>
  <c r="I90" i="1"/>
  <c r="H90" i="1"/>
  <c r="D90" i="1"/>
  <c r="A90" i="1"/>
  <c r="P89" i="1"/>
  <c r="M89" i="1"/>
  <c r="I89" i="1"/>
  <c r="H89" i="1"/>
  <c r="D89" i="1"/>
  <c r="A89" i="1"/>
  <c r="P88" i="1"/>
  <c r="M88" i="1"/>
  <c r="I88" i="1"/>
  <c r="H88" i="1"/>
  <c r="D88" i="1"/>
  <c r="A88" i="1"/>
  <c r="J89" i="1" l="1"/>
  <c r="J91" i="1"/>
  <c r="J93" i="1"/>
  <c r="J95" i="1"/>
  <c r="J97" i="1"/>
  <c r="J99" i="1"/>
  <c r="J101" i="1"/>
  <c r="J88" i="1"/>
  <c r="J90" i="1"/>
  <c r="J92" i="1"/>
  <c r="J94" i="1"/>
  <c r="J96" i="1"/>
  <c r="J98" i="1"/>
  <c r="J100" i="1"/>
  <c r="J102" i="1"/>
  <c r="G94" i="1"/>
  <c r="G93" i="1"/>
  <c r="G95" i="1"/>
  <c r="G102" i="1"/>
  <c r="G101" i="1"/>
  <c r="G100" i="1"/>
  <c r="G99" i="1"/>
  <c r="G98" i="1"/>
  <c r="G97" i="1"/>
  <c r="G96" i="1"/>
  <c r="G92" i="1"/>
  <c r="G91" i="1"/>
  <c r="G90" i="1"/>
  <c r="G89" i="1"/>
  <c r="G88" i="1"/>
  <c r="P87" i="1"/>
  <c r="M87" i="1"/>
  <c r="I87" i="1"/>
  <c r="H87" i="1"/>
  <c r="D87" i="1"/>
  <c r="A87" i="1"/>
  <c r="P86" i="1"/>
  <c r="M86" i="1"/>
  <c r="I86" i="1"/>
  <c r="H86" i="1"/>
  <c r="D86" i="1"/>
  <c r="A86" i="1"/>
  <c r="P85" i="1"/>
  <c r="M85" i="1"/>
  <c r="I85" i="1"/>
  <c r="H85" i="1"/>
  <c r="D85" i="1"/>
  <c r="A85" i="1"/>
  <c r="J86" i="1" l="1"/>
  <c r="J85" i="1"/>
  <c r="J87" i="1"/>
  <c r="G85" i="1"/>
  <c r="G87" i="1"/>
  <c r="G86" i="1"/>
  <c r="D79" i="1"/>
  <c r="P84" i="1" l="1"/>
  <c r="M84" i="1"/>
  <c r="I84" i="1"/>
  <c r="H84" i="1"/>
  <c r="D84" i="1"/>
  <c r="A84" i="1"/>
  <c r="P83" i="1"/>
  <c r="M83" i="1"/>
  <c r="I83" i="1"/>
  <c r="H83" i="1"/>
  <c r="D83" i="1"/>
  <c r="A83" i="1"/>
  <c r="P82" i="1"/>
  <c r="M82" i="1"/>
  <c r="I82" i="1"/>
  <c r="H82" i="1"/>
  <c r="D82" i="1"/>
  <c r="A82" i="1"/>
  <c r="P81" i="1"/>
  <c r="M81" i="1"/>
  <c r="I81" i="1"/>
  <c r="H81" i="1"/>
  <c r="D81" i="1"/>
  <c r="A81" i="1"/>
  <c r="P80" i="1"/>
  <c r="M80" i="1"/>
  <c r="I80" i="1"/>
  <c r="H80" i="1"/>
  <c r="D80" i="1"/>
  <c r="A80" i="1"/>
  <c r="P79" i="1"/>
  <c r="M79" i="1"/>
  <c r="I79" i="1"/>
  <c r="H79" i="1"/>
  <c r="A79" i="1"/>
  <c r="P78" i="1"/>
  <c r="M78" i="1"/>
  <c r="I78" i="1"/>
  <c r="H78" i="1"/>
  <c r="D78" i="1"/>
  <c r="A78" i="1"/>
  <c r="P77" i="1"/>
  <c r="M77" i="1"/>
  <c r="I77" i="1"/>
  <c r="H77" i="1"/>
  <c r="D77" i="1"/>
  <c r="A77" i="1"/>
  <c r="P76" i="1"/>
  <c r="M76" i="1"/>
  <c r="I76" i="1"/>
  <c r="H76" i="1"/>
  <c r="D76" i="1"/>
  <c r="A76" i="1"/>
  <c r="P75" i="1"/>
  <c r="M75" i="1"/>
  <c r="I75" i="1"/>
  <c r="H75" i="1"/>
  <c r="D75" i="1"/>
  <c r="A75" i="1"/>
  <c r="P74" i="1"/>
  <c r="M74" i="1"/>
  <c r="I74" i="1"/>
  <c r="H74" i="1"/>
  <c r="D74" i="1"/>
  <c r="A74" i="1"/>
  <c r="P73" i="1"/>
  <c r="M73" i="1"/>
  <c r="I73" i="1"/>
  <c r="H73" i="1"/>
  <c r="D73" i="1"/>
  <c r="A73" i="1"/>
  <c r="J75" i="1" l="1"/>
  <c r="J77" i="1"/>
  <c r="J73" i="1"/>
  <c r="J80" i="1"/>
  <c r="J82" i="1"/>
  <c r="J84" i="1"/>
  <c r="J74" i="1"/>
  <c r="J76" i="1"/>
  <c r="J78" i="1"/>
  <c r="J79" i="1"/>
  <c r="J81" i="1"/>
  <c r="J83" i="1"/>
  <c r="G73" i="1"/>
  <c r="G80" i="1"/>
  <c r="G74" i="1"/>
  <c r="G84" i="1"/>
  <c r="G83" i="1"/>
  <c r="G82" i="1"/>
  <c r="G81" i="1"/>
  <c r="G79" i="1"/>
  <c r="G78" i="1"/>
  <c r="G77" i="1"/>
  <c r="G76" i="1"/>
  <c r="G75" i="1"/>
  <c r="P72" i="1" l="1"/>
  <c r="M72" i="1"/>
  <c r="I72" i="1"/>
  <c r="H72" i="1"/>
  <c r="D72" i="1"/>
  <c r="A72" i="1"/>
  <c r="P71" i="1"/>
  <c r="M71" i="1"/>
  <c r="I71" i="1"/>
  <c r="H71" i="1"/>
  <c r="D71" i="1"/>
  <c r="A71" i="1"/>
  <c r="P70" i="1"/>
  <c r="M70" i="1"/>
  <c r="I70" i="1"/>
  <c r="H70" i="1"/>
  <c r="D70" i="1"/>
  <c r="A70" i="1"/>
  <c r="P67" i="1"/>
  <c r="M67" i="1"/>
  <c r="I67" i="1"/>
  <c r="H67" i="1"/>
  <c r="D67" i="1"/>
  <c r="A67" i="1"/>
  <c r="P66" i="1"/>
  <c r="M66" i="1"/>
  <c r="I66" i="1"/>
  <c r="H66" i="1"/>
  <c r="D66" i="1"/>
  <c r="A66" i="1"/>
  <c r="P65" i="1"/>
  <c r="M65" i="1"/>
  <c r="I65" i="1"/>
  <c r="H65" i="1"/>
  <c r="D65" i="1"/>
  <c r="A65" i="1"/>
  <c r="J66" i="1" l="1"/>
  <c r="J70" i="1"/>
  <c r="J72" i="1"/>
  <c r="J65" i="1"/>
  <c r="J67" i="1"/>
  <c r="J71" i="1"/>
  <c r="G72" i="1"/>
  <c r="G71" i="1"/>
  <c r="G70" i="1"/>
  <c r="G67" i="1"/>
  <c r="G66" i="1"/>
  <c r="G65" i="1"/>
  <c r="P64" i="1"/>
  <c r="M64" i="1"/>
  <c r="I64" i="1"/>
  <c r="H64" i="1"/>
  <c r="D64" i="1"/>
  <c r="A64" i="1"/>
  <c r="P63" i="1"/>
  <c r="M63" i="1"/>
  <c r="I63" i="1"/>
  <c r="H63" i="1"/>
  <c r="D63" i="1"/>
  <c r="A63" i="1"/>
  <c r="P62" i="1"/>
  <c r="M62" i="1"/>
  <c r="I62" i="1"/>
  <c r="H62" i="1"/>
  <c r="D62" i="1"/>
  <c r="A62" i="1"/>
  <c r="P61" i="1"/>
  <c r="M61" i="1"/>
  <c r="I61" i="1"/>
  <c r="H61" i="1"/>
  <c r="D61" i="1"/>
  <c r="A61" i="1"/>
  <c r="P60" i="1"/>
  <c r="M60" i="1"/>
  <c r="I60" i="1"/>
  <c r="H60" i="1"/>
  <c r="D60" i="1"/>
  <c r="A60" i="1"/>
  <c r="P59" i="1"/>
  <c r="M59" i="1"/>
  <c r="I59" i="1"/>
  <c r="H59" i="1"/>
  <c r="D59" i="1"/>
  <c r="A59" i="1"/>
  <c r="P58" i="1"/>
  <c r="M58" i="1"/>
  <c r="I58" i="1"/>
  <c r="H58" i="1"/>
  <c r="D58" i="1"/>
  <c r="A58" i="1"/>
  <c r="P57" i="1"/>
  <c r="M57" i="1"/>
  <c r="I57" i="1"/>
  <c r="H57" i="1"/>
  <c r="D57" i="1"/>
  <c r="A57" i="1"/>
  <c r="P56" i="1"/>
  <c r="M56" i="1"/>
  <c r="I56" i="1"/>
  <c r="H56" i="1"/>
  <c r="D56" i="1"/>
  <c r="A56" i="1"/>
  <c r="P55" i="1"/>
  <c r="M55" i="1"/>
  <c r="I55" i="1"/>
  <c r="H55" i="1"/>
  <c r="D55" i="1"/>
  <c r="A55" i="1"/>
  <c r="J56" i="1" l="1"/>
  <c r="J58" i="1"/>
  <c r="J60" i="1"/>
  <c r="J62" i="1"/>
  <c r="J64" i="1"/>
  <c r="J55" i="1"/>
  <c r="G56" i="1"/>
  <c r="J57" i="1"/>
  <c r="J59" i="1"/>
  <c r="J61" i="1"/>
  <c r="J63" i="1"/>
  <c r="G63" i="1"/>
  <c r="G60" i="1"/>
  <c r="G58" i="1"/>
  <c r="G62" i="1"/>
  <c r="G64" i="1"/>
  <c r="G55" i="1"/>
  <c r="G57" i="1"/>
  <c r="G59" i="1"/>
  <c r="G61" i="1"/>
  <c r="P54" i="1"/>
  <c r="M54" i="1"/>
  <c r="I54" i="1"/>
  <c r="H54" i="1"/>
  <c r="D54" i="1"/>
  <c r="A54" i="1"/>
  <c r="P53" i="1"/>
  <c r="M53" i="1"/>
  <c r="I53" i="1"/>
  <c r="H53" i="1"/>
  <c r="D53" i="1"/>
  <c r="A53" i="1"/>
  <c r="P52" i="1"/>
  <c r="M52" i="1"/>
  <c r="I52" i="1"/>
  <c r="H52" i="1"/>
  <c r="D52" i="1"/>
  <c r="A52" i="1"/>
  <c r="P51" i="1"/>
  <c r="M51" i="1"/>
  <c r="I51" i="1"/>
  <c r="H51" i="1"/>
  <c r="D51" i="1"/>
  <c r="A51" i="1"/>
  <c r="P50" i="1"/>
  <c r="M50" i="1"/>
  <c r="I50" i="1"/>
  <c r="H50" i="1"/>
  <c r="D50" i="1"/>
  <c r="A50" i="1"/>
  <c r="J50" i="1" l="1"/>
  <c r="J52" i="1"/>
  <c r="J54" i="1"/>
  <c r="J51" i="1"/>
  <c r="G52" i="1"/>
  <c r="J53" i="1"/>
  <c r="G51" i="1"/>
  <c r="G54" i="1"/>
  <c r="G53" i="1"/>
  <c r="G50" i="1"/>
  <c r="P49" i="1" l="1"/>
  <c r="M49" i="1"/>
  <c r="I49" i="1"/>
  <c r="H49" i="1"/>
  <c r="D49" i="1"/>
  <c r="A49" i="1"/>
  <c r="P48" i="1"/>
  <c r="M48" i="1"/>
  <c r="I48" i="1"/>
  <c r="H48" i="1"/>
  <c r="D48" i="1"/>
  <c r="A48" i="1"/>
  <c r="P47" i="1"/>
  <c r="M47" i="1"/>
  <c r="I47" i="1"/>
  <c r="H47" i="1"/>
  <c r="D47" i="1"/>
  <c r="A47" i="1"/>
  <c r="P46" i="1"/>
  <c r="M46" i="1"/>
  <c r="I46" i="1"/>
  <c r="H46" i="1"/>
  <c r="D46" i="1"/>
  <c r="A46" i="1"/>
  <c r="P45" i="1"/>
  <c r="I45" i="1"/>
  <c r="H45" i="1"/>
  <c r="D45" i="1"/>
  <c r="A45" i="1"/>
  <c r="P44" i="1"/>
  <c r="M44" i="1"/>
  <c r="I44" i="1"/>
  <c r="H44" i="1"/>
  <c r="D44" i="1"/>
  <c r="A44" i="1"/>
  <c r="P43" i="1"/>
  <c r="M43" i="1"/>
  <c r="I43" i="1"/>
  <c r="H43" i="1"/>
  <c r="D43" i="1"/>
  <c r="A43" i="1"/>
  <c r="P42" i="1"/>
  <c r="M42" i="1"/>
  <c r="I42" i="1"/>
  <c r="H42" i="1"/>
  <c r="D42" i="1"/>
  <c r="A42" i="1"/>
  <c r="P41" i="1"/>
  <c r="M41" i="1"/>
  <c r="I41" i="1"/>
  <c r="H41" i="1"/>
  <c r="D41" i="1"/>
  <c r="A41" i="1"/>
  <c r="J41" i="1" l="1"/>
  <c r="J43" i="1"/>
  <c r="J45" i="1"/>
  <c r="J47" i="1"/>
  <c r="J49" i="1"/>
  <c r="J42" i="1"/>
  <c r="J44" i="1"/>
  <c r="J46" i="1"/>
  <c r="J48" i="1"/>
  <c r="G49" i="1"/>
  <c r="G48" i="1"/>
  <c r="G47" i="1"/>
  <c r="G46" i="1"/>
  <c r="G45" i="1"/>
  <c r="G44" i="1"/>
  <c r="G43" i="1"/>
  <c r="G42" i="1"/>
  <c r="G41" i="1"/>
  <c r="P40" i="1" l="1"/>
  <c r="M40" i="1"/>
  <c r="I40" i="1"/>
  <c r="H40" i="1"/>
  <c r="D40" i="1"/>
  <c r="A40" i="1"/>
  <c r="P39" i="1"/>
  <c r="M39" i="1"/>
  <c r="I39" i="1"/>
  <c r="H39" i="1"/>
  <c r="D39" i="1"/>
  <c r="A39" i="1"/>
  <c r="P38" i="1"/>
  <c r="M38" i="1"/>
  <c r="I38" i="1"/>
  <c r="H38" i="1"/>
  <c r="D38" i="1"/>
  <c r="A38" i="1"/>
  <c r="P37" i="1"/>
  <c r="M37" i="1"/>
  <c r="I37" i="1"/>
  <c r="H37" i="1"/>
  <c r="D37" i="1"/>
  <c r="A37" i="1"/>
  <c r="P36" i="1"/>
  <c r="M36" i="1"/>
  <c r="I36" i="1"/>
  <c r="H36" i="1"/>
  <c r="D36" i="1"/>
  <c r="A36" i="1"/>
  <c r="P35" i="1"/>
  <c r="M35" i="1"/>
  <c r="I35" i="1"/>
  <c r="H35" i="1"/>
  <c r="D35" i="1"/>
  <c r="A35" i="1"/>
  <c r="P34" i="1"/>
  <c r="M34" i="1"/>
  <c r="I34" i="1"/>
  <c r="H34" i="1"/>
  <c r="D34" i="1"/>
  <c r="A34" i="1"/>
  <c r="P33" i="1"/>
  <c r="M33" i="1"/>
  <c r="I33" i="1"/>
  <c r="H33" i="1"/>
  <c r="D33" i="1"/>
  <c r="A33" i="1"/>
  <c r="P32" i="1"/>
  <c r="M32" i="1"/>
  <c r="I32" i="1"/>
  <c r="H32" i="1"/>
  <c r="D32" i="1"/>
  <c r="A32" i="1"/>
  <c r="P31" i="1"/>
  <c r="M31" i="1"/>
  <c r="I31" i="1"/>
  <c r="H31" i="1"/>
  <c r="D31" i="1"/>
  <c r="A31" i="1"/>
  <c r="P30" i="1"/>
  <c r="M30" i="1"/>
  <c r="I30" i="1"/>
  <c r="H30" i="1"/>
  <c r="D30" i="1"/>
  <c r="A30" i="1"/>
  <c r="P29" i="1"/>
  <c r="M29" i="1"/>
  <c r="I29" i="1"/>
  <c r="H29" i="1"/>
  <c r="D29" i="1"/>
  <c r="A29" i="1"/>
  <c r="P27" i="1"/>
  <c r="M27" i="1"/>
  <c r="I27" i="1"/>
  <c r="H27" i="1"/>
  <c r="D27" i="1"/>
  <c r="A27" i="1"/>
  <c r="P26" i="1"/>
  <c r="M26" i="1"/>
  <c r="I26" i="1"/>
  <c r="H26" i="1"/>
  <c r="D26" i="1"/>
  <c r="A26" i="1"/>
  <c r="P25" i="1"/>
  <c r="M25" i="1"/>
  <c r="I25" i="1"/>
  <c r="H25" i="1"/>
  <c r="D25" i="1"/>
  <c r="A25" i="1"/>
  <c r="P24" i="1"/>
  <c r="M24" i="1"/>
  <c r="I24" i="1"/>
  <c r="H24" i="1"/>
  <c r="D24" i="1"/>
  <c r="A24" i="1"/>
  <c r="P22" i="1"/>
  <c r="M22" i="1"/>
  <c r="I22" i="1"/>
  <c r="H22" i="1"/>
  <c r="D22" i="1"/>
  <c r="A22" i="1"/>
  <c r="P21" i="1"/>
  <c r="M21" i="1"/>
  <c r="I21" i="1"/>
  <c r="H21" i="1"/>
  <c r="D21" i="1"/>
  <c r="A21" i="1"/>
  <c r="P20" i="1"/>
  <c r="M20" i="1"/>
  <c r="I20" i="1"/>
  <c r="H20" i="1"/>
  <c r="D20" i="1"/>
  <c r="A20" i="1"/>
  <c r="P19" i="1"/>
  <c r="M19" i="1"/>
  <c r="I19" i="1"/>
  <c r="H19" i="1"/>
  <c r="D19" i="1"/>
  <c r="A1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7" i="1"/>
  <c r="I17" i="1"/>
  <c r="H18" i="1"/>
  <c r="I18" i="1"/>
  <c r="I3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3" i="1"/>
  <c r="J33" i="1" l="1"/>
  <c r="G5" i="1"/>
  <c r="J19" i="1"/>
  <c r="J21" i="1"/>
  <c r="J24" i="1"/>
  <c r="J26" i="1"/>
  <c r="J29" i="1"/>
  <c r="J31" i="1"/>
  <c r="J35" i="1"/>
  <c r="J37" i="1"/>
  <c r="J39" i="1"/>
  <c r="G40" i="1"/>
  <c r="J20" i="1"/>
  <c r="J22" i="1"/>
  <c r="J25" i="1"/>
  <c r="J27" i="1"/>
  <c r="J30" i="1"/>
  <c r="J32" i="1"/>
  <c r="J34" i="1"/>
  <c r="J36" i="1"/>
  <c r="J38" i="1"/>
  <c r="J40" i="1"/>
  <c r="G3" i="1"/>
  <c r="G39" i="1"/>
  <c r="G38" i="1"/>
  <c r="G37" i="1"/>
  <c r="G31" i="1"/>
  <c r="G29" i="1"/>
  <c r="G27" i="1"/>
  <c r="G25" i="1"/>
  <c r="G22" i="1"/>
  <c r="G20" i="1"/>
  <c r="G18" i="1"/>
  <c r="G19" i="1"/>
  <c r="G21" i="1"/>
  <c r="G24" i="1"/>
  <c r="G26" i="1"/>
  <c r="G30" i="1"/>
  <c r="G32" i="1"/>
  <c r="G34" i="1"/>
  <c r="G36" i="1"/>
  <c r="G9" i="1"/>
  <c r="G7" i="1"/>
  <c r="G33" i="1"/>
  <c r="G35" i="1"/>
  <c r="G15" i="1"/>
  <c r="G13" i="1"/>
  <c r="G11" i="1"/>
  <c r="G17" i="1"/>
  <c r="G14" i="1"/>
  <c r="G12" i="1"/>
  <c r="G10" i="1"/>
  <c r="G8" i="1"/>
  <c r="G6" i="1"/>
  <c r="G4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J18" i="1" l="1"/>
  <c r="J13" i="1"/>
  <c r="J9" i="1"/>
  <c r="J5" i="1"/>
  <c r="J17" i="1"/>
  <c r="J12" i="1"/>
  <c r="J8" i="1"/>
  <c r="J4" i="1"/>
  <c r="J15" i="1"/>
  <c r="J11" i="1"/>
  <c r="J7" i="1"/>
  <c r="J3" i="1"/>
  <c r="J14" i="1"/>
  <c r="J10" i="1"/>
  <c r="J6" i="1"/>
  <c r="A5" i="1"/>
  <c r="A3" i="1" l="1"/>
  <c r="A4" i="1"/>
  <c r="A6" i="1"/>
  <c r="A7" i="1"/>
  <c r="A8" i="1"/>
  <c r="A9" i="1"/>
  <c r="A10" i="1"/>
  <c r="A11" i="1"/>
  <c r="A12" i="1"/>
  <c r="A13" i="1"/>
  <c r="A14" i="1"/>
  <c r="A15" i="1"/>
  <c r="A17" i="1"/>
  <c r="A18" i="1"/>
</calcChain>
</file>

<file path=xl/sharedStrings.xml><?xml version="1.0" encoding="utf-8"?>
<sst xmlns="http://schemas.openxmlformats.org/spreadsheetml/2006/main" count="5670" uniqueCount="316">
  <si>
    <t>From NAV</t>
  </si>
  <si>
    <t>To NAV</t>
  </si>
  <si>
    <t>Project Name</t>
  </si>
  <si>
    <t>Project Folder Link</t>
  </si>
  <si>
    <t>DEV</t>
  </si>
  <si>
    <t>TEST</t>
  </si>
  <si>
    <t>Total</t>
  </si>
  <si>
    <t>Comment</t>
  </si>
  <si>
    <t>New</t>
  </si>
  <si>
    <t>Cegeka - Belgosuc</t>
  </si>
  <si>
    <t>2009 R2</t>
  </si>
  <si>
    <t>No. New Objects</t>
  </si>
  <si>
    <t>No. Standard Changed Objects</t>
  </si>
  <si>
    <t>No. Estimated Objects</t>
  </si>
  <si>
    <t>Standard Changed</t>
  </si>
  <si>
    <t>Cegeka - Aptco Invest</t>
  </si>
  <si>
    <t>\\file01\projects\Cegeka\Aptco\Estimates\</t>
  </si>
  <si>
    <t>\\file01\projects\Cegeka\Belgosuc\Estimates\</t>
  </si>
  <si>
    <t>After review objects by customer</t>
  </si>
  <si>
    <t>\\file01\projects\Cegeka\Boiron\Estimates\</t>
  </si>
  <si>
    <t>Cegeka - De Boiron</t>
  </si>
  <si>
    <t>5.01</t>
  </si>
  <si>
    <t>\\file01\projects\Cegeka\Building Plastics\Estimates\</t>
  </si>
  <si>
    <t>Cegeka - Building Plastics</t>
  </si>
  <si>
    <t>2009 SP1</t>
  </si>
  <si>
    <t>Code refactoring</t>
  </si>
  <si>
    <t>Events refactoring including</t>
  </si>
  <si>
    <t>Estimated Hours (Object UPG)</t>
  </si>
  <si>
    <t>Estimated Hours (RTC)</t>
  </si>
  <si>
    <t>Cegeka - CGK-ADDON-DEV</t>
  </si>
  <si>
    <t>\\file01\projects\Cegeka\CGK-ADDON-DEV\Phase1_2017\Estimates\To NAV 2018\</t>
  </si>
  <si>
    <t>No. Estimated Objects (RTC)</t>
  </si>
  <si>
    <t>\\file01\projects\Cegeka\De Bisschop\Estimates\</t>
  </si>
  <si>
    <t>Cegeka - De Bisschop</t>
  </si>
  <si>
    <t>Cegeka - De Oesterbank</t>
  </si>
  <si>
    <t>\\file01\projects\Cegeka\De Oesterbank\Estimates\</t>
  </si>
  <si>
    <t>\\file01\projects\Cegeka\Domani\Estimates\</t>
  </si>
  <si>
    <t>2013 R2</t>
  </si>
  <si>
    <t>Cegeka - Domani</t>
  </si>
  <si>
    <t>\\file01\projects\Cegeka\Donaldson\</t>
  </si>
  <si>
    <t>Cegeka - Donaldson</t>
  </si>
  <si>
    <t>\\file01\projects\Cegeka\ECC\Estimates\</t>
  </si>
  <si>
    <t>\\file01\projects\Cegeka\Eurautomat\Estimates\</t>
  </si>
  <si>
    <t>Cegeka - ECC</t>
  </si>
  <si>
    <t>Cegeka - Eurautomat</t>
  </si>
  <si>
    <t>?</t>
  </si>
  <si>
    <t>\\file01\projects\Cegeka\Franki Foundations\Estimates\</t>
  </si>
  <si>
    <t>Cegeka - Franki Foundations</t>
  </si>
  <si>
    <t>\\file01\projects\Cegeka\Group A\Estimates\</t>
  </si>
  <si>
    <t>Cegeka - Group A</t>
  </si>
  <si>
    <t>\\file01\projects\Cegeka\KMDA\Estimates\</t>
  </si>
  <si>
    <t>Cegeka - KMDA</t>
  </si>
  <si>
    <t>Cegeka - Levimo</t>
  </si>
  <si>
    <t>UPG Localization from CU0 to CU15</t>
  </si>
  <si>
    <t>\\file01\projects\Cegeka\Levimo\Upgrade from CU0 to CU15 CZ\Estimates\</t>
  </si>
  <si>
    <t>UPG Localization from W1 to CZ</t>
  </si>
  <si>
    <t>\\file01\projects\Cegeka\Limelco NV\Estimates\</t>
  </si>
  <si>
    <t>\\file01\projects\Cegeka\Lyfra\Estimates\</t>
  </si>
  <si>
    <t>Cegeka - Limelco</t>
  </si>
  <si>
    <t>Cegeka - Lyfra</t>
  </si>
  <si>
    <t>\\file01\projects\Cegeka\Oystershell\Estimates\Estimation_2016\</t>
  </si>
  <si>
    <t>Cegeka - Oystershell</t>
  </si>
  <si>
    <t>\\file01\projects\Cegeka\Trappen Smet\Estimates\</t>
  </si>
  <si>
    <t>Cegeka - Trappen Smet</t>
  </si>
  <si>
    <t>\\file01\projects\Cegeka\Vermeiren Princeps\Estimates\</t>
  </si>
  <si>
    <t>Cegeka - Vermeiren Princeps</t>
  </si>
  <si>
    <t>CEVA</t>
  </si>
  <si>
    <t>\\file01\projects\Ceva\Documents\</t>
  </si>
  <si>
    <t>5.0 SP1</t>
  </si>
  <si>
    <t>\\file01\projects\GI\Upgrade to 2015\Estimates\</t>
  </si>
  <si>
    <t>GI</t>
  </si>
  <si>
    <t>\\file01\projects\Hertz\</t>
  </si>
  <si>
    <t>Hertz</t>
  </si>
  <si>
    <t>\\file01\projects\HI-Systems\VIPPharma\Estimates\</t>
  </si>
  <si>
    <t>HI-Systems - VIPPharma</t>
  </si>
  <si>
    <t>\\file01\projects\iFacto\BUT\Upgrade\</t>
  </si>
  <si>
    <t>iFacto - BUT</t>
  </si>
  <si>
    <t>iFacto - Internal System Upgrade</t>
  </si>
  <si>
    <t>\\file01\projects\iFacto\Internal System Upgrade\</t>
  </si>
  <si>
    <t>\\file01\projects\iFacto\Moveplus\</t>
  </si>
  <si>
    <t>Upgrade Move Plus add-on DB</t>
  </si>
  <si>
    <t xml:space="preserve">iFacto - Move Plus </t>
  </si>
  <si>
    <t>\\file01\projects\ILB LQS 5.1\Esimate ILB\</t>
  </si>
  <si>
    <t>LQS - ILB</t>
  </si>
  <si>
    <t>To LQS 5.1</t>
  </si>
  <si>
    <t>Innoware - NA-RUD</t>
  </si>
  <si>
    <t>\\file01\projects\Innoware\Upgrade 2017 UA to Extensions\Estimates1\</t>
  </si>
  <si>
    <t>UA Localization</t>
  </si>
  <si>
    <t>Downgrade UA Localization from 2017 to 2009</t>
  </si>
  <si>
    <t>Innoware - Downgrade</t>
  </si>
  <si>
    <t>\\file01\projects\Innoware\Upgrade 2017 UA to 2009 R2\Estimates\Without Languages\</t>
  </si>
  <si>
    <t>\\file01\projects\Interfracht\Upgrade2015-2017\Estimates\</t>
  </si>
  <si>
    <t>From LQS 3.0 to LQS 5.0</t>
  </si>
  <si>
    <t>Interfracht</t>
  </si>
  <si>
    <t>\\file01\projects\Intervracht\Upgade Estimation\Automatic Estimator Option1\</t>
  </si>
  <si>
    <t>From LQS 2.0 to LQS 3.0</t>
  </si>
  <si>
    <t>Intervracht</t>
  </si>
  <si>
    <t>\\file01\projects\Lanteria\Artifexpartners\NTR Upgrade\Estimates\</t>
  </si>
  <si>
    <t>Lanteria - Artifexpartners - NTR</t>
  </si>
  <si>
    <t>Lanteria - Artifexpartners - PSP</t>
  </si>
  <si>
    <t>\\file01\projects\Lanteria\Artifexpartners\PSP\Phase 1 PSP Upgrade\Estimates\</t>
  </si>
  <si>
    <t>Lanteria - Artifexpartners - SAS</t>
  </si>
  <si>
    <t>\\file01\projects\Lanteria\Artifexpartners\SAS\Estimates\</t>
  </si>
  <si>
    <t>\\file01\projects\Lanteria\Bay Audiology\Estimates\</t>
  </si>
  <si>
    <t>Lanteria - Bay Audiology</t>
  </si>
  <si>
    <t>Lanteria - Counties Power</t>
  </si>
  <si>
    <t>\\file01\projects\Lanteria\Counties Power\Estimates\</t>
  </si>
  <si>
    <t>Lanteria - Dental Partners</t>
  </si>
  <si>
    <t>\\file01\projects\Lanteria\Dental Partners\Estimates\</t>
  </si>
  <si>
    <t>\\file01\projects\Lanteria\Empired\Estimates\</t>
  </si>
  <si>
    <t>Lanteria - Empired</t>
  </si>
  <si>
    <t>Lanteria - Harwood Consulting - Bioactive</t>
  </si>
  <si>
    <t>\\file01\projects\Lanteria\Harwood Consulting\Bioactive\Estimates\</t>
  </si>
  <si>
    <t>Lanteria - HRV</t>
  </si>
  <si>
    <t>\\file01\projects\Lanteria\HRV\Estimates\</t>
  </si>
  <si>
    <t>Lanteria - Intergen Internal</t>
  </si>
  <si>
    <t>\\file01\projects\Lanteria\Intergen Internal\Estimates\</t>
  </si>
  <si>
    <t>Lanteria - Te Runanganui o Ngati Porou</t>
  </si>
  <si>
    <t>\\file01\projects\Lanteria\NgatiPorou\Estimates\</t>
  </si>
  <si>
    <t>With add-on</t>
  </si>
  <si>
    <t>Lanteria - NZAIR New Zealand On Air</t>
  </si>
  <si>
    <t>\\file01\projects\Lanteria\NZAIR New Zealand On Air\Estimates\</t>
  </si>
  <si>
    <t>Lanteria - Samco</t>
  </si>
  <si>
    <t>\\file01\projects\Lanteria\Samco\Estimates\</t>
  </si>
  <si>
    <t>Lanteria - Wakatu</t>
  </si>
  <si>
    <t>\\file01\projects\Lanteria\Wakatu\Estimates\</t>
  </si>
  <si>
    <t>\\file01\projects\Lanteria\YMKA\Estimates\</t>
  </si>
  <si>
    <t>Lanteria - YMCA</t>
  </si>
  <si>
    <t>\\file01\projects\MBN 2016 ES BE US Same Basis\Estimates\ES to BE\</t>
  </si>
  <si>
    <t>MBN</t>
  </si>
  <si>
    <t>Localization ES to BE (LQS)</t>
  </si>
  <si>
    <t>\\file01\projects\MBN 2016 ES BE US Same Basis\Estimates\US to BE\</t>
  </si>
  <si>
    <t>Localization US to BE (LQS)</t>
  </si>
  <si>
    <t>\\file01\projects\MBN Upgrade\Estimates\</t>
  </si>
  <si>
    <t>MBN Upgrade</t>
  </si>
  <si>
    <t>MPL 2015 BR</t>
  </si>
  <si>
    <t>BR Localization</t>
  </si>
  <si>
    <t>\\file01\projects\MPL 2015 BR\BR Localization\Estimates\</t>
  </si>
  <si>
    <t>From NAV 2013 LQS2.1 to NAV 2016 LQS4.0</t>
  </si>
  <si>
    <t>\\file01\projects\MT ART\Upgrade to LQS4.0\Estimates\</t>
  </si>
  <si>
    <t>MT ART</t>
  </si>
  <si>
    <t>LQS</t>
  </si>
  <si>
    <t>\\file01\projects\NHS\Estimates\</t>
  </si>
  <si>
    <t>NHS</t>
  </si>
  <si>
    <t>Nova Natie</t>
  </si>
  <si>
    <t xml:space="preserve">From NAV 2009 LQS2.0 to NAV 2016 LQS4.0 </t>
  </si>
  <si>
    <t>\\file01\projects\Nova Natie 2016\Upgrade to LQS4.0\Estimates\</t>
  </si>
  <si>
    <t>\\file01\projects\Nova Natie 2016\Upgrade to LQS4.1\Estimates\LQS 4.0 BE - Nova Natie BE\</t>
  </si>
  <si>
    <t>From LQS4.0 to LQS4.1</t>
  </si>
  <si>
    <t>From LQS4.0 to LQS5.0</t>
  </si>
  <si>
    <t>\\file01\projects\Nova Natie 2016\Upgrade to LQS5.0\Estimates\</t>
  </si>
  <si>
    <t>From LQS4.0 to LQS5.0 CU2</t>
  </si>
  <si>
    <t>\\file01\projects\Nova Natie 2016\Upgrade to LQS5.0 CU2\Estimates\</t>
  </si>
  <si>
    <t>QBS</t>
  </si>
  <si>
    <t>\\file01\projects\QBS\TEST_Upgrade_2013(6,7)\Estimates\</t>
  </si>
  <si>
    <t>Sea_Invest</t>
  </si>
  <si>
    <t>\\file01\projects\Sea_Invest\Upgrade\</t>
  </si>
  <si>
    <t>\\file01\projects\Skillteam\Merge\</t>
  </si>
  <si>
    <t>4.00 SP2</t>
  </si>
  <si>
    <t>Skillteam</t>
  </si>
  <si>
    <t>Suelto - Cedexsa</t>
  </si>
  <si>
    <t>\\file01\projects\Suelto\Cedexsa\Upgrade\Estimates\</t>
  </si>
  <si>
    <t>\\file01\projects\Thomas Forshaw\Alden Upgrade\Estimates\</t>
  </si>
  <si>
    <t>Thomas Forshaw - Alden Systems</t>
  </si>
  <si>
    <t>\\file01\projects\Transuniverse\Estimates\</t>
  </si>
  <si>
    <t>Transuniverse</t>
  </si>
  <si>
    <t>LQS5.1 from W1 to PT Localization</t>
  </si>
  <si>
    <t>\\file01\projects\Xolyd Iberica\NAV 2017 CU11 PT LQS5.1\</t>
  </si>
  <si>
    <t>Xolyd Iberica - NAV 2017 CU11 PT LQS5.1</t>
  </si>
  <si>
    <t>Xolyd Iberica - Upgrade Test</t>
  </si>
  <si>
    <t>\\file01\projects\Xolyd Iberica\Upgrade Test\Estimates\</t>
  </si>
  <si>
    <t>XTRAS - Marahrens</t>
  </si>
  <si>
    <t>\\file01\projects\XTRAS\Inquiry\Estimates\</t>
  </si>
  <si>
    <t>\\file01\projects\XTRAS\RTM\Estimates\</t>
  </si>
  <si>
    <t>XTRAS - RTM</t>
  </si>
  <si>
    <t>\\file01\projects\Sphinx-IT\Allgeier BE\</t>
  </si>
  <si>
    <t>Sphinx-IT - Allgeier BE</t>
  </si>
  <si>
    <t>\\file01\projects\Sphinx-IT\Allgeier NL\</t>
  </si>
  <si>
    <t>\\file01\projects\Sphinx-IT\Benelux Pet Food\Estimates\</t>
  </si>
  <si>
    <t>Sphinx-IT - Benelux Pet Food</t>
  </si>
  <si>
    <t>Sphinx-IT - Allgeier NL</t>
  </si>
  <si>
    <t>\\file01\projects\Sphinx-IT\BuyckSteel\</t>
  </si>
  <si>
    <t>Sphinx-IT - Buyck</t>
  </si>
  <si>
    <t>Sphinx-IT - Forme &amp; Style</t>
  </si>
  <si>
    <t>3.70</t>
  </si>
  <si>
    <t>\\file01\projects\Sphinx-IT\Conversie Frome &amp; Style\Estimates\</t>
  </si>
  <si>
    <t>Sphinx-IT - Estimates</t>
  </si>
  <si>
    <t>\\file01\projects\Sphinx-IT\Estimates\</t>
  </si>
  <si>
    <t>\\file01\projects\Sphinx-IT\Eurabo\Estimates\</t>
  </si>
  <si>
    <t>Sphinx-IT - Eurabo</t>
  </si>
  <si>
    <t>Sphinx-IT - ForestPlus</t>
  </si>
  <si>
    <t>3.60</t>
  </si>
  <si>
    <t>\\file01\projects\Sphinx-IT\Forestplus\</t>
  </si>
  <si>
    <t>\\file01\projects\Sphinx-IT\Franki Foundations\Estimates\</t>
  </si>
  <si>
    <t>Sphinx-IT - Franki Foundations</t>
  </si>
  <si>
    <t>\\file01\projects\Sphinx-IT\Gedimat – De Groote\Estimates\</t>
  </si>
  <si>
    <t>4.0 SP1</t>
  </si>
  <si>
    <t>Sphinx-IT - Gedimat – De Groote</t>
  </si>
  <si>
    <t>\\file01\projects\Sphinx-IT\Kuppersbusch\Automatic Estimator\</t>
  </si>
  <si>
    <t>Sphinx-IT - Kuppersbusch</t>
  </si>
  <si>
    <t>Sphinx-IT - Piano’s Maene</t>
  </si>
  <si>
    <t>\\file01\projects\Sphinx-IT\Maene\Estimates\</t>
  </si>
  <si>
    <t>Sphinx-IT - Medibel</t>
  </si>
  <si>
    <t>4.0 SP3</t>
  </si>
  <si>
    <t>\\file01\projects\Sphinx-IT\Medibel\Estimates\</t>
  </si>
  <si>
    <t>Sphinx-IT - MExT</t>
  </si>
  <si>
    <t>\\file01\projects\Sphinx-IT\Mext\Estimates\</t>
  </si>
  <si>
    <t>Sphinx-IT - Rem-B</t>
  </si>
  <si>
    <t>\\file01\projects\Sphinx-IT\Remb\Estimation\</t>
  </si>
  <si>
    <t>\\file01\projects\Sphinx-IT\Schelfhaut\</t>
  </si>
  <si>
    <t>Sphinx-IT - Schelfhaut</t>
  </si>
  <si>
    <t>\\file01\projects\Sphinx-IT\Serelec\</t>
  </si>
  <si>
    <t>Sphinx-IT - Serelec</t>
  </si>
  <si>
    <t>\\file01\projects\Sphinx-IT\Van Maele\Estimates\</t>
  </si>
  <si>
    <t>Sphinx-IT - Van Maele</t>
  </si>
  <si>
    <t>4.0</t>
  </si>
  <si>
    <t>Sphinx-IT - VerImpex</t>
  </si>
  <si>
    <t>\\file01\projects\Sphinx-IT\Verimpex\Estimates\</t>
  </si>
  <si>
    <t>4.01</t>
  </si>
  <si>
    <t>Sphinx-IT - Zoutman</t>
  </si>
  <si>
    <t>\\file01\projects\Sphinx-IT\Zoutman\</t>
  </si>
  <si>
    <t>BE LQS4.1</t>
  </si>
  <si>
    <t>ES LQS4.0</t>
  </si>
  <si>
    <t>US LQS4.0</t>
  </si>
  <si>
    <t>No. Estimated Objects (Tables + Codeunits)</t>
  </si>
  <si>
    <t>Estimated Hours</t>
  </si>
  <si>
    <t>Classic/RTC</t>
  </si>
  <si>
    <t>RTC</t>
  </si>
  <si>
    <t>Object Type</t>
  </si>
  <si>
    <t>Changed</t>
  </si>
  <si>
    <t>Tables</t>
  </si>
  <si>
    <t>Codeunits</t>
  </si>
  <si>
    <t>Dataports</t>
  </si>
  <si>
    <t>Forms</t>
  </si>
  <si>
    <t>Page</t>
  </si>
  <si>
    <t>Menus</t>
  </si>
  <si>
    <t>Reports</t>
  </si>
  <si>
    <t>XMLPorts</t>
  </si>
  <si>
    <t>Queries</t>
  </si>
  <si>
    <t>TOTAL</t>
  </si>
  <si>
    <t>Total, hrs</t>
  </si>
  <si>
    <t>Code review was a constant = 8</t>
  </si>
  <si>
    <t>\\file01\projects\NHS\</t>
  </si>
  <si>
    <t>OLD</t>
  </si>
  <si>
    <t>NEW</t>
  </si>
  <si>
    <t>Batchjob</t>
  </si>
  <si>
    <t>BatchJobwithSections</t>
  </si>
  <si>
    <t>List</t>
  </si>
  <si>
    <t>ComplexList</t>
  </si>
  <si>
    <t>Document</t>
  </si>
  <si>
    <t>To think</t>
  </si>
  <si>
    <t>Refactoring</t>
  </si>
  <si>
    <t>Status</t>
  </si>
  <si>
    <t>EST</t>
  </si>
  <si>
    <t>DONE</t>
  </si>
  <si>
    <t>TFS</t>
  </si>
  <si>
    <t>No</t>
  </si>
  <si>
    <t>Yes</t>
  </si>
  <si>
    <t>Cegeka - KMSH</t>
  </si>
  <si>
    <t>Cegeka - Maaz</t>
  </si>
  <si>
    <t>\\file01\projects\Cegeka\Oystershell\Delivery\Upgrade 2017 CU10 to 2017 CU19</t>
  </si>
  <si>
    <t>Lanteria - Acurity</t>
  </si>
  <si>
    <t>5.0</t>
  </si>
  <si>
    <t>Lanteria - Artifex Partners</t>
  </si>
  <si>
    <t>Lanteria - Lumino</t>
  </si>
  <si>
    <t>Lanteria - Payment Express</t>
  </si>
  <si>
    <t>Upgrade from 2017 CU10 to 2017 CU19</t>
  </si>
  <si>
    <t>Upgrade from 2016 CU3 to 2016 CU9</t>
  </si>
  <si>
    <t>Upgrade from 2016 40262 to 2016 46290</t>
  </si>
  <si>
    <t>MBN Vietnam</t>
  </si>
  <si>
    <t>Sphinx-IT - Infortel</t>
  </si>
  <si>
    <t>Van Roey - T&amp;A</t>
  </si>
  <si>
    <t>\\file01\projects\Van Roey\Ludo\Automatic Estimator</t>
  </si>
  <si>
    <t>Van Roey - Loda</t>
  </si>
  <si>
    <t>\\file01\projects\Van Roey\Van Roey.Loda upgrade  2015.1500292631\Estimates</t>
  </si>
  <si>
    <t>Van Roey - VDAB</t>
  </si>
  <si>
    <t>\\file01\projects\Van Roey\VDAB\Estimates</t>
  </si>
  <si>
    <t>\\file01\projects\Van Roey\VMM\Estimates</t>
  </si>
  <si>
    <t>Van Roey - VMM</t>
  </si>
  <si>
    <t>\\file01\projects\Van Roey\VRAUpgrade\Estimates</t>
  </si>
  <si>
    <t>Van Roey - VRAUpgrade</t>
  </si>
  <si>
    <t>\\file01\projects\Van Roey\VRAUpgrade 2018\Estimates</t>
  </si>
  <si>
    <t>Van Roey - VRAUpgrade2018</t>
  </si>
  <si>
    <t>\\file01\projects\Van Roey\VRAUpgrade 2018 CU5\Estimates</t>
  </si>
  <si>
    <t>Van Roey - VRAUpgrade2018 CU5</t>
  </si>
  <si>
    <t>\\file01\projects\Cegeka\Maaz</t>
  </si>
  <si>
    <t>\\file01\projects\Lanteria\Acurity</t>
  </si>
  <si>
    <t>\\file01\projects\Lanteria\Lumino</t>
  </si>
  <si>
    <t>Upgrade 2017 CU1 to 2017 CU19</t>
  </si>
  <si>
    <t>\\file01\projects\Cegeka\KMSH</t>
  </si>
  <si>
    <t>\\file01\projects\Lanteria\Artifexpartners\JB\Estimates</t>
  </si>
  <si>
    <t>Lanteria - ArtifexPartners - JB</t>
  </si>
  <si>
    <t>Update add-on RF from 1.50.03 to 1.50.08</t>
  </si>
  <si>
    <t>\\file01\projects\Lanteria\Artifexpartners\Schirm\Estimates</t>
  </si>
  <si>
    <t>Lanteria - ArtifexPartner - Schrim</t>
  </si>
  <si>
    <t>\\file01\projects\Lanteria\PortOtago</t>
  </si>
  <si>
    <t>Lanteria - PortOtago</t>
  </si>
  <si>
    <t>\\file01\projects\Lanteria\Payment Express\Estimates</t>
  </si>
  <si>
    <t>\\file01\projects\MBN Vietnam\Estimates</t>
  </si>
  <si>
    <t>\\file01\projects\Sphinx-IT\Infortel\Estimates</t>
  </si>
  <si>
    <t>Pages</t>
  </si>
  <si>
    <t>They were skipped from esimates</t>
  </si>
  <si>
    <t>Classic</t>
  </si>
  <si>
    <t>\\file01\projects\Cegeka\Levimo\Localization from W1 to CZ\Estimates\W1_and_LevimoALLOBJECTS</t>
  </si>
  <si>
    <t>CLassic</t>
  </si>
  <si>
    <t>No. Objects</t>
  </si>
  <si>
    <t>Type</t>
  </si>
  <si>
    <t>Events</t>
  </si>
  <si>
    <t>6.01</t>
  </si>
  <si>
    <t>8</t>
  </si>
  <si>
    <t>9</t>
  </si>
  <si>
    <t>10</t>
  </si>
  <si>
    <t>7.02</t>
  </si>
  <si>
    <t>6</t>
  </si>
  <si>
    <t>7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</si>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</sst>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color rgb="FFFF0000"/>
      <name val="Segoe UI"/>
      <family val="2"/>
    </font>
    <font>
      <sz val="10"/>
      <color rgb="FFFF0000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Segoe UI"/>
      <family val="2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/>
    <xf numFmtId="0" fontId="6" fillId="4" borderId="3" xfId="0" applyFont="1" applyFill="1" applyBorder="1" applyAlignment="1">
      <alignment horizontal="center"/>
    </xf>
    <xf numFmtId="0" fontId="7" fillId="0" borderId="2" xfId="1" applyBorder="1" applyAlignment="1">
      <alignment horizontal="left"/>
    </xf>
    <xf numFmtId="0" fontId="7" fillId="0" borderId="3" xfId="1" applyBorder="1" applyAlignment="1">
      <alignment horizontal="left"/>
    </xf>
    <xf numFmtId="2" fontId="0" fillId="0" borderId="0" xfId="0" applyNumberFormat="1"/>
    <xf numFmtId="0" fontId="4" fillId="4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3" fillId="0" borderId="0" xfId="0" applyNumberFormat="1" applyFont="1"/>
    <xf numFmtId="0" fontId="1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7" fillId="4" borderId="2" xfId="1" applyFill="1" applyBorder="1" applyAlignment="1">
      <alignment horizontal="left"/>
    </xf>
    <xf numFmtId="0" fontId="1" fillId="4" borderId="0" xfId="0" applyFont="1" applyFill="1"/>
    <xf numFmtId="0" fontId="1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" fontId="6" fillId="6" borderId="3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0" xfId="0" applyFont="1" applyFill="1"/>
    <xf numFmtId="0" fontId="1" fillId="4" borderId="3" xfId="0" applyFont="1" applyFill="1" applyBorder="1" applyAlignment="1">
      <alignment horizontal="left"/>
    </xf>
    <xf numFmtId="16" fontId="1" fillId="4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7" fillId="7" borderId="2" xfId="1" applyFill="1" applyBorder="1" applyAlignment="1">
      <alignment horizontal="left"/>
    </xf>
    <xf numFmtId="0" fontId="1" fillId="7" borderId="0" xfId="0" applyFont="1" applyFill="1"/>
    <xf numFmtId="16" fontId="1" fillId="6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7" fillId="6" borderId="2" xfId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1" fontId="5" fillId="6" borderId="3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16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6" borderId="2" xfId="1" applyFont="1" applyFill="1" applyBorder="1" applyAlignment="1">
      <alignment horizontal="left"/>
    </xf>
    <xf numFmtId="0" fontId="8" fillId="6" borderId="0" xfId="0" applyFont="1" applyFill="1"/>
    <xf numFmtId="0" fontId="2" fillId="2" borderId="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7" fillId="5" borderId="2" xfId="1" applyFill="1" applyBorder="1" applyAlignment="1">
      <alignment horizontal="left"/>
    </xf>
    <xf numFmtId="0" fontId="1" fillId="5" borderId="0" xfId="0" applyFont="1" applyFill="1"/>
    <xf numFmtId="0" fontId="6" fillId="9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left"/>
    </xf>
    <xf numFmtId="16" fontId="8" fillId="9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9" borderId="2" xfId="1" applyFont="1" applyFill="1" applyBorder="1" applyAlignment="1">
      <alignment horizontal="left"/>
    </xf>
    <xf numFmtId="0" fontId="8" fillId="9" borderId="0" xfId="0" applyFont="1" applyFill="1"/>
    <xf numFmtId="0" fontId="2" fillId="10" borderId="1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0" fontId="9" fillId="4" borderId="2" xfId="1" applyFont="1" applyFill="1" applyBorder="1" applyAlignment="1">
      <alignment horizontal="left"/>
    </xf>
    <xf numFmtId="0" fontId="8" fillId="4" borderId="0" xfId="0" applyFont="1" applyFill="1"/>
    <xf numFmtId="0" fontId="5" fillId="4" borderId="2" xfId="0" applyFont="1" applyFill="1" applyBorder="1" applyAlignment="1">
      <alignment horizontal="left"/>
    </xf>
    <xf numFmtId="1" fontId="5" fillId="4" borderId="3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6" fontId="8" fillId="4" borderId="2" xfId="0" applyNumberFormat="1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center"/>
    </xf>
    <xf numFmtId="0" fontId="7" fillId="10" borderId="2" xfId="1" applyFill="1" applyBorder="1" applyAlignment="1">
      <alignment horizontal="left"/>
    </xf>
    <xf numFmtId="0" fontId="1" fillId="10" borderId="0" xfId="0" applyFont="1" applyFill="1"/>
    <xf numFmtId="0" fontId="7" fillId="6" borderId="2" xfId="1" applyFont="1" applyFill="1" applyBorder="1" applyAlignment="1">
      <alignment horizontal="left"/>
    </xf>
    <xf numFmtId="0" fontId="7" fillId="4" borderId="2" xfId="1" applyFont="1" applyFill="1" applyBorder="1" applyAlignment="1">
      <alignment horizontal="left"/>
    </xf>
    <xf numFmtId="1" fontId="6" fillId="5" borderId="3" xfId="0" applyNumberFormat="1" applyFont="1" applyFill="1" applyBorder="1" applyAlignment="1">
      <alignment horizontal="center"/>
    </xf>
    <xf numFmtId="1" fontId="6" fillId="9" borderId="3" xfId="0" applyNumberFormat="1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1" fontId="6" fillId="11" borderId="3" xfId="0" applyNumberFormat="1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7" fillId="11" borderId="2" xfId="1" applyFill="1" applyBorder="1" applyAlignment="1">
      <alignment horizontal="left"/>
    </xf>
    <xf numFmtId="0" fontId="1" fillId="11" borderId="0" xfId="0" applyFont="1" applyFill="1"/>
    <xf numFmtId="0" fontId="1" fillId="0" borderId="0" xfId="0" applyFont="1" applyFill="1"/>
    <xf numFmtId="0" fontId="4" fillId="10" borderId="3" xfId="0" applyFont="1" applyFill="1" applyBorder="1" applyAlignment="1">
      <alignment horizontal="center"/>
    </xf>
    <xf numFmtId="16" fontId="1" fillId="10" borderId="2" xfId="0" applyNumberFormat="1" applyFont="1" applyFill="1" applyBorder="1" applyAlignment="1">
      <alignment horizontal="center"/>
    </xf>
    <xf numFmtId="0" fontId="7" fillId="9" borderId="2" xfId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1" fontId="5" fillId="9" borderId="3" xfId="0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center"/>
    </xf>
    <xf numFmtId="0" fontId="7" fillId="9" borderId="2" xfId="1" applyFont="1" applyFill="1" applyBorder="1" applyAlignment="1">
      <alignment horizontal="left"/>
    </xf>
    <xf numFmtId="0" fontId="1" fillId="9" borderId="0" xfId="0" applyFont="1" applyFill="1"/>
    <xf numFmtId="0" fontId="4" fillId="9" borderId="3" xfId="0" applyFont="1" applyFill="1" applyBorder="1" applyAlignment="1">
      <alignment horizontal="center"/>
    </xf>
    <xf numFmtId="0" fontId="10" fillId="0" borderId="0" xfId="0" applyFont="1"/>
    <xf numFmtId="0" fontId="0" fillId="0" borderId="9" xfId="0" applyFont="1" applyBorder="1"/>
    <xf numFmtId="0" fontId="0" fillId="8" borderId="10" xfId="0" applyFill="1" applyBorder="1" applyAlignment="1">
      <alignment horizontal="center" vertical="center"/>
    </xf>
    <xf numFmtId="0" fontId="0" fillId="0" borderId="11" xfId="0" applyBorder="1"/>
    <xf numFmtId="0" fontId="0" fillId="8" borderId="12" xfId="0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0" fillId="0" borderId="14" xfId="0" applyFont="1" applyBorder="1"/>
    <xf numFmtId="0" fontId="0" fillId="8" borderId="1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0" borderId="15" xfId="0" applyFont="1" applyBorder="1"/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10" fillId="0" borderId="18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1" fillId="0" borderId="0" xfId="0" applyFont="1" applyFill="1" applyAlignment="1">
      <alignment horizontal="center"/>
    </xf>
    <xf numFmtId="1" fontId="7" fillId="9" borderId="4" xfId="1" applyNumberFormat="1" applyFill="1" applyBorder="1" applyAlignment="1"/>
    <xf numFmtId="0" fontId="5" fillId="11" borderId="2" xfId="0" applyFont="1" applyFill="1" applyBorder="1" applyAlignment="1">
      <alignment horizontal="left"/>
    </xf>
    <xf numFmtId="1" fontId="5" fillId="11" borderId="3" xfId="0" applyNumberFormat="1" applyFont="1" applyFill="1" applyBorder="1" applyAlignment="1">
      <alignment horizontal="center"/>
    </xf>
    <xf numFmtId="0" fontId="7" fillId="11" borderId="2" xfId="1" applyFont="1" applyFill="1" applyBorder="1" applyAlignment="1">
      <alignment horizontal="left"/>
    </xf>
    <xf numFmtId="0" fontId="7" fillId="10" borderId="2" xfId="1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7" fillId="4" borderId="3" xfId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8" fillId="11" borderId="0" xfId="0" applyFont="1" applyFill="1"/>
    <xf numFmtId="0" fontId="6" fillId="11" borderId="2" xfId="0" applyFont="1" applyFill="1" applyBorder="1" applyAlignment="1">
      <alignment horizontal="left"/>
    </xf>
    <xf numFmtId="16" fontId="8" fillId="11" borderId="2" xfId="0" applyNumberFormat="1" applyFont="1" applyFill="1" applyBorder="1" applyAlignment="1">
      <alignment horizontal="center"/>
    </xf>
    <xf numFmtId="0" fontId="9" fillId="11" borderId="2" xfId="1" applyFont="1" applyFill="1" applyBorder="1" applyAlignment="1">
      <alignment horizontal="left"/>
    </xf>
    <xf numFmtId="1" fontId="2" fillId="2" borderId="19" xfId="0" applyNumberFormat="1" applyFont="1" applyFill="1" applyBorder="1" applyAlignment="1">
      <alignment horizontal="center" wrapText="1"/>
    </xf>
    <xf numFmtId="1" fontId="2" fillId="2" borderId="21" xfId="0" applyNumberFormat="1" applyFont="1" applyFill="1" applyBorder="1" applyAlignment="1">
      <alignment horizontal="center" wrapText="1"/>
    </xf>
    <xf numFmtId="1" fontId="2" fillId="2" borderId="2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" fontId="2" fillId="2" borderId="19" xfId="0" applyNumberFormat="1" applyFont="1" applyFill="1" applyBorder="1" applyAlignment="1">
      <alignment horizontal="center" wrapText="1"/>
    </xf>
    <xf numFmtId="1" fontId="2" fillId="2" borderId="21" xfId="0" applyNumberFormat="1" applyFont="1" applyFill="1" applyBorder="1" applyAlignment="1">
      <alignment horizontal="center" wrapText="1"/>
    </xf>
    <xf numFmtId="1" fontId="2" fillId="2" borderId="20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22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 wrapText="1"/>
    </xf>
    <xf numFmtId="1" fontId="2" fillId="2" borderId="6" xfId="0" applyNumberFormat="1" applyFont="1" applyFill="1" applyBorder="1" applyAlignment="1">
      <alignment horizontal="center" wrapText="1"/>
    </xf>
    <xf numFmtId="1" fontId="2" fillId="2" borderId="7" xfId="0" applyNumberFormat="1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 indent="4"/>
    </xf>
    <xf numFmtId="49" fontId="2" fillId="2" borderId="2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4" borderId="3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file01\projects\Cegeka\Domani\Estimates\" TargetMode="External"/><Relationship Id="rId21" Type="http://schemas.openxmlformats.org/officeDocument/2006/relationships/hyperlink" Target="file:///\\file01\projects\Cegeka\Boiron\Estimates\" TargetMode="External"/><Relationship Id="rId63" Type="http://schemas.openxmlformats.org/officeDocument/2006/relationships/hyperlink" Target="file:///\\file01\projects\Cegeka\Aptco\Estimates\" TargetMode="External"/><Relationship Id="rId159" Type="http://schemas.openxmlformats.org/officeDocument/2006/relationships/hyperlink" Target="file:///\\file01\projects\Cegeka\Franki%20Foundations\Estimates\" TargetMode="External"/><Relationship Id="rId170" Type="http://schemas.openxmlformats.org/officeDocument/2006/relationships/hyperlink" Target="file:///\\file01\projects\Cegeka\Franki%20Foundations\Estimates\" TargetMode="External"/><Relationship Id="rId226" Type="http://schemas.openxmlformats.org/officeDocument/2006/relationships/hyperlink" Target="file:///\\file01\projects\Cegeka\Limelco%20NV\Estimates\" TargetMode="External"/><Relationship Id="rId268" Type="http://schemas.openxmlformats.org/officeDocument/2006/relationships/hyperlink" Target="file:///\\file01\projects\Cegeka\Oystershell\Estimates\Estimation_2016\" TargetMode="External"/><Relationship Id="rId11" Type="http://schemas.openxmlformats.org/officeDocument/2006/relationships/hyperlink" Target="file:///\\file01\projects\Cegeka\Boiron\Estimates\" TargetMode="External"/><Relationship Id="rId32" Type="http://schemas.openxmlformats.org/officeDocument/2006/relationships/hyperlink" Target="file:///\\file01\projects\HI-Systems\VIPPharma\Estimates\" TargetMode="External"/><Relationship Id="rId53" Type="http://schemas.openxmlformats.org/officeDocument/2006/relationships/hyperlink" Target="file:///\\file01\projects\Nova%20Natie%202016\Upgrade%20to%20LQS4.0\Estimates\" TargetMode="External"/><Relationship Id="rId74" Type="http://schemas.openxmlformats.org/officeDocument/2006/relationships/hyperlink" Target="file:///\\file01\projects\Cegeka\De%20Bisschop\Estimates\" TargetMode="External"/><Relationship Id="rId128" Type="http://schemas.openxmlformats.org/officeDocument/2006/relationships/hyperlink" Target="file:///\\file01\projects\Cegeka\Donaldson\" TargetMode="External"/><Relationship Id="rId149" Type="http://schemas.openxmlformats.org/officeDocument/2006/relationships/hyperlink" Target="file:///\\file01\projects\Cegeka\Eurautomat\Estimates\" TargetMode="External"/><Relationship Id="rId5" Type="http://schemas.openxmlformats.org/officeDocument/2006/relationships/hyperlink" Target="file:///\\file01\projects\Cegeka\Aptco\Estimates\" TargetMode="External"/><Relationship Id="rId95" Type="http://schemas.openxmlformats.org/officeDocument/2006/relationships/hyperlink" Target="file:///\\file01\projects\Cegeka\De%20Oesterbank\Estimates\" TargetMode="External"/><Relationship Id="rId160" Type="http://schemas.openxmlformats.org/officeDocument/2006/relationships/hyperlink" Target="file:///\\file01\projects\Cegeka\Franki%20Foundations\Estimates\" TargetMode="External"/><Relationship Id="rId181" Type="http://schemas.openxmlformats.org/officeDocument/2006/relationships/hyperlink" Target="file:///\\file01\projects\Cegeka\Group%20A\Estimates\" TargetMode="External"/><Relationship Id="rId216" Type="http://schemas.openxmlformats.org/officeDocument/2006/relationships/hyperlink" Target="file:///\\file01\projects\Cegeka\Levimo\Upgrade%20from%20CU0%20to%20CU15%20CZ\Estimates\" TargetMode="External"/><Relationship Id="rId237" Type="http://schemas.openxmlformats.org/officeDocument/2006/relationships/hyperlink" Target="file:///\\file01\projects\Cegeka\Lyfra\Estimates\" TargetMode="External"/><Relationship Id="rId258" Type="http://schemas.openxmlformats.org/officeDocument/2006/relationships/hyperlink" Target="file:///\\file01\projects\Cegeka\Oystershell\Estimates\Estimation_2016\" TargetMode="External"/><Relationship Id="rId22" Type="http://schemas.openxmlformats.org/officeDocument/2006/relationships/hyperlink" Target="file:///\\file01\projects\Cegeka\Boiron\Estimates\" TargetMode="External"/><Relationship Id="rId43" Type="http://schemas.openxmlformats.org/officeDocument/2006/relationships/hyperlink" Target="file:///\\file01\projects\Lanteria\Bay%20Audiology\Estimates\" TargetMode="External"/><Relationship Id="rId64" Type="http://schemas.openxmlformats.org/officeDocument/2006/relationships/hyperlink" Target="file:///\\file01\projects\Cegeka\Building%20Plastics\Estimates\" TargetMode="External"/><Relationship Id="rId118" Type="http://schemas.openxmlformats.org/officeDocument/2006/relationships/hyperlink" Target="file:///\\file01\projects\Cegeka\Donaldson\" TargetMode="External"/><Relationship Id="rId139" Type="http://schemas.openxmlformats.org/officeDocument/2006/relationships/hyperlink" Target="file:///\\file01\projects\Cegeka\ECC\Estimates\" TargetMode="External"/><Relationship Id="rId85" Type="http://schemas.openxmlformats.org/officeDocument/2006/relationships/hyperlink" Target="file:///\\file01\projects\Cegeka\De%20Bisschop\Estimates\" TargetMode="External"/><Relationship Id="rId150" Type="http://schemas.openxmlformats.org/officeDocument/2006/relationships/hyperlink" Target="file:///\\file01\projects\Cegeka\Eurautomat\Estimates\" TargetMode="External"/><Relationship Id="rId171" Type="http://schemas.openxmlformats.org/officeDocument/2006/relationships/hyperlink" Target="file:///\\file01\projects\Cegeka\Franki%20Foundations\Estimates\" TargetMode="External"/><Relationship Id="rId192" Type="http://schemas.openxmlformats.org/officeDocument/2006/relationships/hyperlink" Target="file:///\\file01\projects\Cegeka\KMDA\Estimates\" TargetMode="External"/><Relationship Id="rId206" Type="http://schemas.openxmlformats.org/officeDocument/2006/relationships/hyperlink" Target="file:///\\file01\projects\Cegeka\KMDA\Estimates\" TargetMode="External"/><Relationship Id="rId227" Type="http://schemas.openxmlformats.org/officeDocument/2006/relationships/hyperlink" Target="file:///\\file01\projects\Cegeka\Limelco%20NV\Estimates\" TargetMode="External"/><Relationship Id="rId248" Type="http://schemas.openxmlformats.org/officeDocument/2006/relationships/hyperlink" Target="file:///\\file01\projects\Cegeka\Lyfra\Estimates\" TargetMode="External"/><Relationship Id="rId269" Type="http://schemas.openxmlformats.org/officeDocument/2006/relationships/hyperlink" Target="file:///\\file01\projects\Cegeka\Oystershell\Estimates\Estimation_2016\" TargetMode="External"/><Relationship Id="rId12" Type="http://schemas.openxmlformats.org/officeDocument/2006/relationships/hyperlink" Target="file:///\\file01\projects\Cegeka\Boiron\Estimates\" TargetMode="External"/><Relationship Id="rId33" Type="http://schemas.openxmlformats.org/officeDocument/2006/relationships/hyperlink" Target="file:///\\file01\projects\HI-Systems\VIPPharma\Estimates\" TargetMode="External"/><Relationship Id="rId108" Type="http://schemas.openxmlformats.org/officeDocument/2006/relationships/hyperlink" Target="file:///\\file01\projects\Cegeka\De%20Oesterbank\Estimates\" TargetMode="External"/><Relationship Id="rId129" Type="http://schemas.openxmlformats.org/officeDocument/2006/relationships/hyperlink" Target="file:///\\file01\projects\Cegeka\Donaldson\" TargetMode="External"/><Relationship Id="rId54" Type="http://schemas.openxmlformats.org/officeDocument/2006/relationships/hyperlink" Target="file:///\\file01\projects\Nova%20Natie%202016\Upgrade%20to%20LQS4.0\Estimates\" TargetMode="External"/><Relationship Id="rId75" Type="http://schemas.openxmlformats.org/officeDocument/2006/relationships/hyperlink" Target="file:///\\file01\projects\Cegeka\De%20Bisschop\Estimates\" TargetMode="External"/><Relationship Id="rId96" Type="http://schemas.openxmlformats.org/officeDocument/2006/relationships/hyperlink" Target="file:///\\file01\projects\Cegeka\De%20Oesterbank\Estimates\" TargetMode="External"/><Relationship Id="rId140" Type="http://schemas.openxmlformats.org/officeDocument/2006/relationships/hyperlink" Target="file:///\\file01\projects\Cegeka\ECC\Estimates\" TargetMode="External"/><Relationship Id="rId161" Type="http://schemas.openxmlformats.org/officeDocument/2006/relationships/hyperlink" Target="file:///\\file01\projects\Cegeka\Franki%20Foundations\Estimates\" TargetMode="External"/><Relationship Id="rId182" Type="http://schemas.openxmlformats.org/officeDocument/2006/relationships/hyperlink" Target="file:///\\file01\projects\Cegeka\Group%20A\Estimates\" TargetMode="External"/><Relationship Id="rId217" Type="http://schemas.openxmlformats.org/officeDocument/2006/relationships/hyperlink" Target="file:///\\file01\projects\Cegeka\Levimo\Upgrade%20from%20CU0%20to%20CU15%20CZ\Estimates\" TargetMode="External"/><Relationship Id="rId6" Type="http://schemas.openxmlformats.org/officeDocument/2006/relationships/hyperlink" Target="file:///\\file01\projects\Cegeka\Aptco\Estimates\" TargetMode="External"/><Relationship Id="rId238" Type="http://schemas.openxmlformats.org/officeDocument/2006/relationships/hyperlink" Target="file:///\\file01\projects\Cegeka\Lyfra\Estimates\" TargetMode="External"/><Relationship Id="rId259" Type="http://schemas.openxmlformats.org/officeDocument/2006/relationships/hyperlink" Target="file:///\\file01\projects\Cegeka\Oystershell\Estimates\Estimation_2016\" TargetMode="External"/><Relationship Id="rId23" Type="http://schemas.openxmlformats.org/officeDocument/2006/relationships/hyperlink" Target="file:///\\file01\projects\Cegeka\Boiron\Estimates\" TargetMode="External"/><Relationship Id="rId119" Type="http://schemas.openxmlformats.org/officeDocument/2006/relationships/hyperlink" Target="file:///\\file01\projects\Cegeka\Donaldson\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file:///\\file01\projects\Lanteria\Bay%20Audiology\Estimates\" TargetMode="External"/><Relationship Id="rId65" Type="http://schemas.openxmlformats.org/officeDocument/2006/relationships/hyperlink" Target="file:///\\file01\projects\Cegeka\Building%20Plastics\Estimates\" TargetMode="External"/><Relationship Id="rId86" Type="http://schemas.openxmlformats.org/officeDocument/2006/relationships/hyperlink" Target="file:///\\file01\projects\Cegeka\De%20Bisschop\Estimates\" TargetMode="External"/><Relationship Id="rId130" Type="http://schemas.openxmlformats.org/officeDocument/2006/relationships/hyperlink" Target="file:///\\file01\projects\Cegeka\Donaldson\" TargetMode="External"/><Relationship Id="rId151" Type="http://schemas.openxmlformats.org/officeDocument/2006/relationships/hyperlink" Target="file:///\\file01\projects\Cegeka\Eurautomat\Estimates\" TargetMode="External"/><Relationship Id="rId172" Type="http://schemas.openxmlformats.org/officeDocument/2006/relationships/hyperlink" Target="file:///\\file01\projects\Cegeka\Group%20A\Estimates\" TargetMode="External"/><Relationship Id="rId193" Type="http://schemas.openxmlformats.org/officeDocument/2006/relationships/hyperlink" Target="file:///\\file01\projects\Cegeka\KMDA\Estimates\" TargetMode="External"/><Relationship Id="rId207" Type="http://schemas.openxmlformats.org/officeDocument/2006/relationships/hyperlink" Target="file:///\\file01\projects\Cegeka\KMDA\Estimates\" TargetMode="External"/><Relationship Id="rId228" Type="http://schemas.openxmlformats.org/officeDocument/2006/relationships/hyperlink" Target="file:///\\file01\projects\Cegeka\Limelco%20NV\Estimates\" TargetMode="External"/><Relationship Id="rId249" Type="http://schemas.openxmlformats.org/officeDocument/2006/relationships/hyperlink" Target="file:///\\file01\projects\Cegeka\Lyfra\Estimates\" TargetMode="External"/><Relationship Id="rId13" Type="http://schemas.openxmlformats.org/officeDocument/2006/relationships/hyperlink" Target="file:///\\file01\projects\Cegeka\Boiron\Estimates\" TargetMode="External"/><Relationship Id="rId109" Type="http://schemas.openxmlformats.org/officeDocument/2006/relationships/hyperlink" Target="file:///\\file01\projects\Cegeka\Domani\Estimates\" TargetMode="External"/><Relationship Id="rId260" Type="http://schemas.openxmlformats.org/officeDocument/2006/relationships/hyperlink" Target="file:///\\file01\projects\Cegeka\Oystershell\Estimates\Estimation_2016\" TargetMode="External"/><Relationship Id="rId34" Type="http://schemas.openxmlformats.org/officeDocument/2006/relationships/hyperlink" Target="file:///\\file01\projects\HI-Systems\VIPPharma\Estimates\" TargetMode="External"/><Relationship Id="rId55" Type="http://schemas.openxmlformats.org/officeDocument/2006/relationships/hyperlink" Target="file:///\\file01\projects\Cegeka\Aptco\Estimates\" TargetMode="External"/><Relationship Id="rId76" Type="http://schemas.openxmlformats.org/officeDocument/2006/relationships/hyperlink" Target="file:///\\file01\projects\Cegeka\De%20Bisschop\Estimates\" TargetMode="External"/><Relationship Id="rId97" Type="http://schemas.openxmlformats.org/officeDocument/2006/relationships/hyperlink" Target="file:///\\file01\projects\Cegeka\De%20Oesterbank\Estimates\" TargetMode="External"/><Relationship Id="rId120" Type="http://schemas.openxmlformats.org/officeDocument/2006/relationships/hyperlink" Target="file:///\\file01\projects\Cegeka\Donaldson\" TargetMode="External"/><Relationship Id="rId141" Type="http://schemas.openxmlformats.org/officeDocument/2006/relationships/hyperlink" Target="file:///\\file01\projects\Cegeka\ECC\Estimates\" TargetMode="External"/><Relationship Id="rId7" Type="http://schemas.openxmlformats.org/officeDocument/2006/relationships/hyperlink" Target="file:///\\file01\projects\Cegeka\Aptco\Estimates\" TargetMode="External"/><Relationship Id="rId162" Type="http://schemas.openxmlformats.org/officeDocument/2006/relationships/hyperlink" Target="file:///\\file01\projects\Cegeka\Franki%20Foundations\Estimates\" TargetMode="External"/><Relationship Id="rId183" Type="http://schemas.openxmlformats.org/officeDocument/2006/relationships/hyperlink" Target="file:///\\file01\projects\Cegeka\Group%20A\Estimates\" TargetMode="External"/><Relationship Id="rId218" Type="http://schemas.openxmlformats.org/officeDocument/2006/relationships/hyperlink" Target="file:///\\file01\projects\Cegeka\Levimo\Upgrade%20from%20CU0%20to%20CU15%20CZ\Estimates\" TargetMode="External"/><Relationship Id="rId239" Type="http://schemas.openxmlformats.org/officeDocument/2006/relationships/hyperlink" Target="file:///\\file01\projects\Cegeka\Lyfra\Estimates\" TargetMode="External"/><Relationship Id="rId250" Type="http://schemas.openxmlformats.org/officeDocument/2006/relationships/hyperlink" Target="file:///\\file01\projects\Cegeka\Lyfra\Estimates\" TargetMode="External"/><Relationship Id="rId24" Type="http://schemas.openxmlformats.org/officeDocument/2006/relationships/hyperlink" Target="file:///\\file01\projects\Cegeka\Boiron\Estimates\" TargetMode="External"/><Relationship Id="rId45" Type="http://schemas.openxmlformats.org/officeDocument/2006/relationships/hyperlink" Target="file:///\\file01\projects\Lanteria\Bay%20Audiology\Estimates\" TargetMode="External"/><Relationship Id="rId66" Type="http://schemas.openxmlformats.org/officeDocument/2006/relationships/hyperlink" Target="file:///\\file01\projects\Cegeka\Building%20Plastics\Estimates\" TargetMode="External"/><Relationship Id="rId87" Type="http://schemas.openxmlformats.org/officeDocument/2006/relationships/hyperlink" Target="file:///\\file01\projects\Cegeka\De%20Bisschop\Estimates\" TargetMode="External"/><Relationship Id="rId110" Type="http://schemas.openxmlformats.org/officeDocument/2006/relationships/hyperlink" Target="file:///\\file01\projects\Cegeka\Domani\Estimates\" TargetMode="External"/><Relationship Id="rId131" Type="http://schemas.openxmlformats.org/officeDocument/2006/relationships/hyperlink" Target="file:///\\file01\projects\Cegeka\Donaldson\" TargetMode="External"/><Relationship Id="rId152" Type="http://schemas.openxmlformats.org/officeDocument/2006/relationships/hyperlink" Target="file:///\\file01\projects\Cegeka\Eurautomat\Estimates\" TargetMode="External"/><Relationship Id="rId173" Type="http://schemas.openxmlformats.org/officeDocument/2006/relationships/hyperlink" Target="file:///\\file01\projects\Cegeka\Group%20A\Estimates\" TargetMode="External"/><Relationship Id="rId194" Type="http://schemas.openxmlformats.org/officeDocument/2006/relationships/hyperlink" Target="file:///\\file01\projects\Cegeka\KMDA\Estimates\" TargetMode="External"/><Relationship Id="rId208" Type="http://schemas.openxmlformats.org/officeDocument/2006/relationships/hyperlink" Target="file:///\\file01\projects\Cegeka\Levimo\Localization%20from%20W1%20to%20CZ\Estimates\W1_and_CZ\" TargetMode="External"/><Relationship Id="rId229" Type="http://schemas.openxmlformats.org/officeDocument/2006/relationships/hyperlink" Target="file:///\\file01\projects\Cegeka\Limelco%20NV\Estimates\" TargetMode="External"/><Relationship Id="rId240" Type="http://schemas.openxmlformats.org/officeDocument/2006/relationships/hyperlink" Target="file:///\\file01\projects\Cegeka\Lyfra\Estimates\" TargetMode="External"/><Relationship Id="rId261" Type="http://schemas.openxmlformats.org/officeDocument/2006/relationships/hyperlink" Target="file:///\\file01\projects\Cegeka\Oystershell\Estimates\Estimation_2016\" TargetMode="External"/><Relationship Id="rId14" Type="http://schemas.openxmlformats.org/officeDocument/2006/relationships/hyperlink" Target="file:///\\file01\projects\Cegeka\Boiron\Estimates\" TargetMode="External"/><Relationship Id="rId35" Type="http://schemas.openxmlformats.org/officeDocument/2006/relationships/hyperlink" Target="file:///\\file01\projects\HI-Systems\VIPPharma\Estimates\" TargetMode="External"/><Relationship Id="rId56" Type="http://schemas.openxmlformats.org/officeDocument/2006/relationships/hyperlink" Target="file:///\\file01\projects\Cegeka\Aptco\Estimates\" TargetMode="External"/><Relationship Id="rId77" Type="http://schemas.openxmlformats.org/officeDocument/2006/relationships/hyperlink" Target="file:///\\file01\projects\Cegeka\De%20Bisschop\Estimates\" TargetMode="External"/><Relationship Id="rId100" Type="http://schemas.openxmlformats.org/officeDocument/2006/relationships/hyperlink" Target="file:///\\file01\projects\Cegeka\De%20Oesterbank\Estimates\" TargetMode="External"/><Relationship Id="rId8" Type="http://schemas.openxmlformats.org/officeDocument/2006/relationships/hyperlink" Target="file:///\\file01\projects\Cegeka\Aptco\Estimates\" TargetMode="External"/><Relationship Id="rId98" Type="http://schemas.openxmlformats.org/officeDocument/2006/relationships/hyperlink" Target="file:///\\file01\projects\Cegeka\De%20Oesterbank\Estimates\" TargetMode="External"/><Relationship Id="rId121" Type="http://schemas.openxmlformats.org/officeDocument/2006/relationships/hyperlink" Target="file:///\\file01\projects\Cegeka\Donaldson\" TargetMode="External"/><Relationship Id="rId142" Type="http://schemas.openxmlformats.org/officeDocument/2006/relationships/hyperlink" Target="file:///\\file01\projects\Cegeka\ECC\Estimates\" TargetMode="External"/><Relationship Id="rId163" Type="http://schemas.openxmlformats.org/officeDocument/2006/relationships/hyperlink" Target="file:///\\file01\projects\Cegeka\Franki%20Foundations\Estimates\" TargetMode="External"/><Relationship Id="rId184" Type="http://schemas.openxmlformats.org/officeDocument/2006/relationships/hyperlink" Target="file:///\\file01\projects\Cegeka\Group%20A\Estimates\" TargetMode="External"/><Relationship Id="rId219" Type="http://schemas.openxmlformats.org/officeDocument/2006/relationships/hyperlink" Target="file:///\\file01\projects\Cegeka\Levimo\Upgrade%20from%20CU0%20to%20CU15%20CZ\Estimates\" TargetMode="External"/><Relationship Id="rId230" Type="http://schemas.openxmlformats.org/officeDocument/2006/relationships/hyperlink" Target="file:///\\file01\projects\Cegeka\Limelco%20NV\Estimates\" TargetMode="External"/><Relationship Id="rId251" Type="http://schemas.openxmlformats.org/officeDocument/2006/relationships/hyperlink" Target="file:///\\file01\projects\Cegeka\Lyfra\Estimates\" TargetMode="External"/><Relationship Id="rId25" Type="http://schemas.openxmlformats.org/officeDocument/2006/relationships/hyperlink" Target="file:///\\file01\projects\Cegeka\Boiron\Estimates\" TargetMode="External"/><Relationship Id="rId46" Type="http://schemas.openxmlformats.org/officeDocument/2006/relationships/hyperlink" Target="file:///\\file01\projects\Nova%20Natie%202016\Upgrade%20to%20LQS4.0\Estimates\" TargetMode="External"/><Relationship Id="rId67" Type="http://schemas.openxmlformats.org/officeDocument/2006/relationships/hyperlink" Target="file:///\\file01\projects\Cegeka\Building%20Plastics\Estimates\" TargetMode="External"/><Relationship Id="rId88" Type="http://schemas.openxmlformats.org/officeDocument/2006/relationships/hyperlink" Target="file:///\\file01\projects\Cegeka\De%20Bisschop\Estimates\" TargetMode="External"/><Relationship Id="rId111" Type="http://schemas.openxmlformats.org/officeDocument/2006/relationships/hyperlink" Target="file:///\\file01\projects\Cegeka\Domani\Estimates\" TargetMode="External"/><Relationship Id="rId132" Type="http://schemas.openxmlformats.org/officeDocument/2006/relationships/hyperlink" Target="file:///\\file01\projects\Cegeka\Donaldson\" TargetMode="External"/><Relationship Id="rId153" Type="http://schemas.openxmlformats.org/officeDocument/2006/relationships/hyperlink" Target="file:///\\file01\projects\Cegeka\Eurautomat\Estimates\" TargetMode="External"/><Relationship Id="rId174" Type="http://schemas.openxmlformats.org/officeDocument/2006/relationships/hyperlink" Target="file:///\\file01\projects\Cegeka\Group%20A\Estimates\" TargetMode="External"/><Relationship Id="rId195" Type="http://schemas.openxmlformats.org/officeDocument/2006/relationships/hyperlink" Target="file:///\\file01\projects\Cegeka\KMDA\Estimates\" TargetMode="External"/><Relationship Id="rId209" Type="http://schemas.openxmlformats.org/officeDocument/2006/relationships/hyperlink" Target="file:///\\file01\projects\Cegeka\Levimo\Localization%20from%20W1%20to%20CZ\Estimates\W1_and_CZ\" TargetMode="External"/><Relationship Id="rId220" Type="http://schemas.openxmlformats.org/officeDocument/2006/relationships/hyperlink" Target="file:///\\file01\projects\Cegeka\Levimo\Upgrade%20from%20CU0%20to%20CU15%20CZ\Estimates\" TargetMode="External"/><Relationship Id="rId241" Type="http://schemas.openxmlformats.org/officeDocument/2006/relationships/hyperlink" Target="file:///\\file01\projects\Cegeka\Lyfra\Estimates\" TargetMode="External"/><Relationship Id="rId15" Type="http://schemas.openxmlformats.org/officeDocument/2006/relationships/hyperlink" Target="file:///\\file01\projects\Cegeka\Boiron\Estimates\" TargetMode="External"/><Relationship Id="rId36" Type="http://schemas.openxmlformats.org/officeDocument/2006/relationships/hyperlink" Target="file:///\\file01\projects\HI-Systems\VIPPharma\Estimates\" TargetMode="External"/><Relationship Id="rId57" Type="http://schemas.openxmlformats.org/officeDocument/2006/relationships/hyperlink" Target="file:///\\file01\projects\Cegeka\Aptco\Estimates\" TargetMode="External"/><Relationship Id="rId262" Type="http://schemas.openxmlformats.org/officeDocument/2006/relationships/hyperlink" Target="file:///\\file01\projects\Cegeka\Oystershell\Estimates\Estimation_2016\" TargetMode="External"/><Relationship Id="rId78" Type="http://schemas.openxmlformats.org/officeDocument/2006/relationships/hyperlink" Target="file:///\\file01\projects\Cegeka\De%20Bisschop\Estimates\" TargetMode="External"/><Relationship Id="rId99" Type="http://schemas.openxmlformats.org/officeDocument/2006/relationships/hyperlink" Target="file:///\\file01\projects\Cegeka\De%20Oesterbank\Estimates\" TargetMode="External"/><Relationship Id="rId101" Type="http://schemas.openxmlformats.org/officeDocument/2006/relationships/hyperlink" Target="file:///\\file01\projects\Cegeka\De%20Oesterbank\Estimates\" TargetMode="External"/><Relationship Id="rId122" Type="http://schemas.openxmlformats.org/officeDocument/2006/relationships/hyperlink" Target="file:///\\file01\projects\Cegeka\Donaldson\" TargetMode="External"/><Relationship Id="rId143" Type="http://schemas.openxmlformats.org/officeDocument/2006/relationships/hyperlink" Target="file:///\\file01\projects\Cegeka\ECC\Estimates\" TargetMode="External"/><Relationship Id="rId164" Type="http://schemas.openxmlformats.org/officeDocument/2006/relationships/hyperlink" Target="file:///\\file01\projects\Cegeka\Franki%20Foundations\Estimates\" TargetMode="External"/><Relationship Id="rId185" Type="http://schemas.openxmlformats.org/officeDocument/2006/relationships/hyperlink" Target="file:///\\file01\projects\Cegeka\Group%20A\Estimates\" TargetMode="External"/><Relationship Id="rId9" Type="http://schemas.openxmlformats.org/officeDocument/2006/relationships/hyperlink" Target="file:///\\file01\projects\Cegeka\Aptco\Estimates\" TargetMode="External"/><Relationship Id="rId210" Type="http://schemas.openxmlformats.org/officeDocument/2006/relationships/hyperlink" Target="file:///\\file01\projects\Cegeka\Levimo\Localization%20from%20W1%20to%20CZ\Estimates\W1_and_CZ\" TargetMode="External"/><Relationship Id="rId26" Type="http://schemas.openxmlformats.org/officeDocument/2006/relationships/hyperlink" Target="file:///\\file01\projects\Cegeka\Boiron\Estimates\" TargetMode="External"/><Relationship Id="rId231" Type="http://schemas.openxmlformats.org/officeDocument/2006/relationships/hyperlink" Target="file:///\\file01\projects\Cegeka\Limelco%20NV\Estimates\" TargetMode="External"/><Relationship Id="rId252" Type="http://schemas.openxmlformats.org/officeDocument/2006/relationships/hyperlink" Target="file:///\\file01\projects\Cegeka\Oystershell\Estimates\Estimation_2016\" TargetMode="External"/><Relationship Id="rId47" Type="http://schemas.openxmlformats.org/officeDocument/2006/relationships/hyperlink" Target="file:///\\file01\projects\Nova%20Natie%202016\Upgrade%20to%20LQS4.0\Estimates\" TargetMode="External"/><Relationship Id="rId68" Type="http://schemas.openxmlformats.org/officeDocument/2006/relationships/hyperlink" Target="file:///\\file01\projects\Cegeka\Building%20Plastics\Estimates\" TargetMode="External"/><Relationship Id="rId89" Type="http://schemas.openxmlformats.org/officeDocument/2006/relationships/hyperlink" Target="file:///\\file01\projects\Cegeka\De%20Bisschop\Estimates\" TargetMode="External"/><Relationship Id="rId112" Type="http://schemas.openxmlformats.org/officeDocument/2006/relationships/hyperlink" Target="file:///\\file01\projects\Cegeka\Domani\Estimates\" TargetMode="External"/><Relationship Id="rId133" Type="http://schemas.openxmlformats.org/officeDocument/2006/relationships/hyperlink" Target="file:///\\file01\projects\Cegeka\Donaldson\" TargetMode="External"/><Relationship Id="rId154" Type="http://schemas.openxmlformats.org/officeDocument/2006/relationships/hyperlink" Target="file:///\\file01\projects\Cegeka\Franki%20Foundations\Estimates\" TargetMode="External"/><Relationship Id="rId175" Type="http://schemas.openxmlformats.org/officeDocument/2006/relationships/hyperlink" Target="file:///\\file01\projects\Cegeka\Group%20A\Estimates\" TargetMode="External"/><Relationship Id="rId196" Type="http://schemas.openxmlformats.org/officeDocument/2006/relationships/hyperlink" Target="file:///\\file01\projects\Cegeka\KMDA\Estimates\" TargetMode="External"/><Relationship Id="rId200" Type="http://schemas.openxmlformats.org/officeDocument/2006/relationships/hyperlink" Target="file:///\\file01\projects\Cegeka\KMDA\Estimates\" TargetMode="External"/><Relationship Id="rId16" Type="http://schemas.openxmlformats.org/officeDocument/2006/relationships/hyperlink" Target="file:///\\file01\projects\Cegeka\Boiron\Estimates\" TargetMode="External"/><Relationship Id="rId221" Type="http://schemas.openxmlformats.org/officeDocument/2006/relationships/hyperlink" Target="file:///\\file01\projects\Cegeka\Levimo\Upgrade%20from%20CU0%20to%20CU15%20CZ\Estimates\" TargetMode="External"/><Relationship Id="rId242" Type="http://schemas.openxmlformats.org/officeDocument/2006/relationships/hyperlink" Target="file:///\\file01\projects\Cegeka\Lyfra\Estimates\" TargetMode="External"/><Relationship Id="rId263" Type="http://schemas.openxmlformats.org/officeDocument/2006/relationships/hyperlink" Target="file:///\\file01\projects\Cegeka\Oystershell\Estimates\Estimation_2016\" TargetMode="External"/><Relationship Id="rId37" Type="http://schemas.openxmlformats.org/officeDocument/2006/relationships/hyperlink" Target="file:///\\file01\projects\Lanteria\Bay%20Audiology\Estimates\" TargetMode="External"/><Relationship Id="rId58" Type="http://schemas.openxmlformats.org/officeDocument/2006/relationships/hyperlink" Target="file:///\\file01\projects\Cegeka\Aptco\Estimates\" TargetMode="External"/><Relationship Id="rId79" Type="http://schemas.openxmlformats.org/officeDocument/2006/relationships/hyperlink" Target="file:///\\file01\projects\Cegeka\De%20Bisschop\Estimates\" TargetMode="External"/><Relationship Id="rId102" Type="http://schemas.openxmlformats.org/officeDocument/2006/relationships/hyperlink" Target="file:///\\file01\projects\Cegeka\De%20Oesterbank\Estimates\" TargetMode="External"/><Relationship Id="rId123" Type="http://schemas.openxmlformats.org/officeDocument/2006/relationships/hyperlink" Target="file:///\\file01\projects\Cegeka\Donaldson\" TargetMode="External"/><Relationship Id="rId144" Type="http://schemas.openxmlformats.org/officeDocument/2006/relationships/hyperlink" Target="file:///\\file01\projects\Cegeka\ECC\Estimates\" TargetMode="External"/><Relationship Id="rId90" Type="http://schemas.openxmlformats.org/officeDocument/2006/relationships/hyperlink" Target="file:///\\file01\projects\Cegeka\De%20Bisschop\Estimates\" TargetMode="External"/><Relationship Id="rId165" Type="http://schemas.openxmlformats.org/officeDocument/2006/relationships/hyperlink" Target="file:///\\file01\projects\Cegeka\Franki%20Foundations\Estimates\" TargetMode="External"/><Relationship Id="rId186" Type="http://schemas.openxmlformats.org/officeDocument/2006/relationships/hyperlink" Target="file:///\\file01\projects\Cegeka\Group%20A\Estimates\" TargetMode="External"/><Relationship Id="rId211" Type="http://schemas.openxmlformats.org/officeDocument/2006/relationships/hyperlink" Target="file:///\\file01\projects\Cegeka\Levimo\Localization%20from%20W1%20to%20CZ\Estimates\W1_and_CZ\" TargetMode="External"/><Relationship Id="rId232" Type="http://schemas.openxmlformats.org/officeDocument/2006/relationships/hyperlink" Target="file:///\\file01\projects\Cegeka\Limelco%20NV\Estimates\" TargetMode="External"/><Relationship Id="rId253" Type="http://schemas.openxmlformats.org/officeDocument/2006/relationships/hyperlink" Target="file:///\\file01\projects\Cegeka\Oystershell\Estimates\Estimation_2016\" TargetMode="External"/><Relationship Id="rId27" Type="http://schemas.openxmlformats.org/officeDocument/2006/relationships/hyperlink" Target="file:///\\file01\projects\Cegeka\Boiron\Estimates\" TargetMode="External"/><Relationship Id="rId48" Type="http://schemas.openxmlformats.org/officeDocument/2006/relationships/hyperlink" Target="file:///\\file01\projects\Nova%20Natie%202016\Upgrade%20to%20LQS4.0\Estimates\" TargetMode="External"/><Relationship Id="rId69" Type="http://schemas.openxmlformats.org/officeDocument/2006/relationships/hyperlink" Target="file:///\\file01\projects\Cegeka\Building%20Plastics\Estimates\" TargetMode="External"/><Relationship Id="rId113" Type="http://schemas.openxmlformats.org/officeDocument/2006/relationships/hyperlink" Target="file:///\\file01\projects\Cegeka\Domani\Estimates\" TargetMode="External"/><Relationship Id="rId134" Type="http://schemas.openxmlformats.org/officeDocument/2006/relationships/hyperlink" Target="file:///\\file01\projects\Cegeka\Donaldson\" TargetMode="External"/><Relationship Id="rId80" Type="http://schemas.openxmlformats.org/officeDocument/2006/relationships/hyperlink" Target="file:///\\file01\projects\Cegeka\De%20Bisschop\Estimates\" TargetMode="External"/><Relationship Id="rId155" Type="http://schemas.openxmlformats.org/officeDocument/2006/relationships/hyperlink" Target="file:///\\file01\projects\Cegeka\Franki%20Foundations\Estimates\" TargetMode="External"/><Relationship Id="rId176" Type="http://schemas.openxmlformats.org/officeDocument/2006/relationships/hyperlink" Target="file:///\\file01\projects\Cegeka\Group%20A\Estimates\" TargetMode="External"/><Relationship Id="rId197" Type="http://schemas.openxmlformats.org/officeDocument/2006/relationships/hyperlink" Target="file:///\\file01\projects\Cegeka\KMDA\Estimates\" TargetMode="External"/><Relationship Id="rId201" Type="http://schemas.openxmlformats.org/officeDocument/2006/relationships/hyperlink" Target="file:///\\file01\projects\Cegeka\KMDA\Estimates\" TargetMode="External"/><Relationship Id="rId222" Type="http://schemas.openxmlformats.org/officeDocument/2006/relationships/hyperlink" Target="file:///\\file01\projects\Cegeka\Levimo\Upgrade%20from%20CU0%20to%20CU15%20CZ\Estimates\" TargetMode="External"/><Relationship Id="rId243" Type="http://schemas.openxmlformats.org/officeDocument/2006/relationships/hyperlink" Target="file:///\\file01\projects\Cegeka\Lyfra\Estimates\" TargetMode="External"/><Relationship Id="rId264" Type="http://schemas.openxmlformats.org/officeDocument/2006/relationships/hyperlink" Target="file:///\\file01\projects\Cegeka\Oystershell\Estimates\Estimation_2016\" TargetMode="External"/><Relationship Id="rId17" Type="http://schemas.openxmlformats.org/officeDocument/2006/relationships/hyperlink" Target="file:///\\file01\projects\Cegeka\Boiron\Estimates\" TargetMode="External"/><Relationship Id="rId38" Type="http://schemas.openxmlformats.org/officeDocument/2006/relationships/hyperlink" Target="file:///\\file01\projects\Lanteria\Bay%20Audiology\Estimates\" TargetMode="External"/><Relationship Id="rId59" Type="http://schemas.openxmlformats.org/officeDocument/2006/relationships/hyperlink" Target="file:///\\file01\projects\Cegeka\Aptco\Estimates\" TargetMode="External"/><Relationship Id="rId103" Type="http://schemas.openxmlformats.org/officeDocument/2006/relationships/hyperlink" Target="file:///\\file01\projects\Cegeka\De%20Oesterbank\Estimates\" TargetMode="External"/><Relationship Id="rId124" Type="http://schemas.openxmlformats.org/officeDocument/2006/relationships/hyperlink" Target="file:///\\file01\projects\Cegeka\Donaldson\" TargetMode="External"/><Relationship Id="rId70" Type="http://schemas.openxmlformats.org/officeDocument/2006/relationships/hyperlink" Target="file:///\\file01\projects\Cegeka\Building%20Plastics\Estimates\" TargetMode="External"/><Relationship Id="rId91" Type="http://schemas.openxmlformats.org/officeDocument/2006/relationships/hyperlink" Target="file:///\\file01\projects\Cegeka\De%20Oesterbank\Estimates\" TargetMode="External"/><Relationship Id="rId145" Type="http://schemas.openxmlformats.org/officeDocument/2006/relationships/hyperlink" Target="file:///\\file01\projects\Cegeka\Eurautomat\Estimates\" TargetMode="External"/><Relationship Id="rId166" Type="http://schemas.openxmlformats.org/officeDocument/2006/relationships/hyperlink" Target="file:///\\file01\projects\Cegeka\Franki%20Foundations\Estimates\" TargetMode="External"/><Relationship Id="rId187" Type="http://schemas.openxmlformats.org/officeDocument/2006/relationships/hyperlink" Target="file:///\\file01\projects\Cegeka\Group%20A\Estimates\" TargetMode="External"/><Relationship Id="rId1" Type="http://schemas.openxmlformats.org/officeDocument/2006/relationships/hyperlink" Target="file:///\\file01\projects\Cegeka\Aptco\Estimates\" TargetMode="External"/><Relationship Id="rId212" Type="http://schemas.openxmlformats.org/officeDocument/2006/relationships/hyperlink" Target="file:///\\file01\projects\Cegeka\Levimo\Localization%20from%20W1%20to%20CZ\Estimates\W1_and_CZ\" TargetMode="External"/><Relationship Id="rId233" Type="http://schemas.openxmlformats.org/officeDocument/2006/relationships/hyperlink" Target="file:///\\file01\projects\Cegeka\Limelco%20NV\Estimates\" TargetMode="External"/><Relationship Id="rId254" Type="http://schemas.openxmlformats.org/officeDocument/2006/relationships/hyperlink" Target="file:///\\file01\projects\Cegeka\Oystershell\Estimates\Estimation_2016\" TargetMode="External"/><Relationship Id="rId28" Type="http://schemas.openxmlformats.org/officeDocument/2006/relationships/hyperlink" Target="file:///\\file01\projects\HI-Systems\VIPPharma\Estimates\" TargetMode="External"/><Relationship Id="rId49" Type="http://schemas.openxmlformats.org/officeDocument/2006/relationships/hyperlink" Target="file:///\\file01\projects\Nova%20Natie%202016\Upgrade%20to%20LQS4.0\Estimates\" TargetMode="External"/><Relationship Id="rId114" Type="http://schemas.openxmlformats.org/officeDocument/2006/relationships/hyperlink" Target="file:///\\file01\projects\Cegeka\Domani\Estimates\" TargetMode="External"/><Relationship Id="rId60" Type="http://schemas.openxmlformats.org/officeDocument/2006/relationships/hyperlink" Target="file:///\\file01\projects\Cegeka\Aptco\Estimates\" TargetMode="External"/><Relationship Id="rId81" Type="http://schemas.openxmlformats.org/officeDocument/2006/relationships/hyperlink" Target="file:///\\file01\projects\Cegeka\De%20Bisschop\Estimates\" TargetMode="External"/><Relationship Id="rId135" Type="http://schemas.openxmlformats.org/officeDocument/2006/relationships/hyperlink" Target="file:///\\file01\projects\Cegeka\Donaldson\" TargetMode="External"/><Relationship Id="rId156" Type="http://schemas.openxmlformats.org/officeDocument/2006/relationships/hyperlink" Target="file:///\\file01\projects\Cegeka\Franki%20Foundations\Estimates\" TargetMode="External"/><Relationship Id="rId177" Type="http://schemas.openxmlformats.org/officeDocument/2006/relationships/hyperlink" Target="file:///\\file01\projects\Cegeka\Group%20A\Estimates\" TargetMode="External"/><Relationship Id="rId198" Type="http://schemas.openxmlformats.org/officeDocument/2006/relationships/hyperlink" Target="file:///\\file01\projects\Cegeka\KMDA\Estimates\" TargetMode="External"/><Relationship Id="rId202" Type="http://schemas.openxmlformats.org/officeDocument/2006/relationships/hyperlink" Target="file:///\\file01\projects\Cegeka\KMDA\Estimates\" TargetMode="External"/><Relationship Id="rId223" Type="http://schemas.openxmlformats.org/officeDocument/2006/relationships/hyperlink" Target="file:///\\file01\projects\Cegeka\Levimo\Upgrade%20from%20CU0%20to%20CU15%20CZ\Estimates\" TargetMode="External"/><Relationship Id="rId244" Type="http://schemas.openxmlformats.org/officeDocument/2006/relationships/hyperlink" Target="file:///\\file01\projects\Cegeka\Lyfra\Estimates\" TargetMode="External"/><Relationship Id="rId18" Type="http://schemas.openxmlformats.org/officeDocument/2006/relationships/hyperlink" Target="file:///\\file01\projects\Cegeka\Boiron\Estimates\" TargetMode="External"/><Relationship Id="rId39" Type="http://schemas.openxmlformats.org/officeDocument/2006/relationships/hyperlink" Target="file:///\\file01\projects\Lanteria\Bay%20Audiology\Estimates\" TargetMode="External"/><Relationship Id="rId265" Type="http://schemas.openxmlformats.org/officeDocument/2006/relationships/hyperlink" Target="file:///\\file01\projects\Cegeka\Oystershell\Estimates\Estimation_2016\" TargetMode="External"/><Relationship Id="rId50" Type="http://schemas.openxmlformats.org/officeDocument/2006/relationships/hyperlink" Target="file:///\\file01\projects\Nova%20Natie%202016\Upgrade%20to%20LQS4.0\Estimates\" TargetMode="External"/><Relationship Id="rId104" Type="http://schemas.openxmlformats.org/officeDocument/2006/relationships/hyperlink" Target="file:///\\file01\projects\Cegeka\De%20Oesterbank\Estimates\" TargetMode="External"/><Relationship Id="rId125" Type="http://schemas.openxmlformats.org/officeDocument/2006/relationships/hyperlink" Target="file:///\\file01\projects\Cegeka\Donaldson\" TargetMode="External"/><Relationship Id="rId146" Type="http://schemas.openxmlformats.org/officeDocument/2006/relationships/hyperlink" Target="file:///\\file01\projects\Cegeka\Eurautomat\Estimates\" TargetMode="External"/><Relationship Id="rId167" Type="http://schemas.openxmlformats.org/officeDocument/2006/relationships/hyperlink" Target="file:///\\file01\projects\Cegeka\Franki%20Foundations\Estimates\" TargetMode="External"/><Relationship Id="rId188" Type="http://schemas.openxmlformats.org/officeDocument/2006/relationships/hyperlink" Target="file:///\\file01\projects\Cegeka\Group%20A\Estimates\" TargetMode="External"/><Relationship Id="rId71" Type="http://schemas.openxmlformats.org/officeDocument/2006/relationships/hyperlink" Target="file:///\\file01\projects\Cegeka\Building%20Plastics\Estimates\" TargetMode="External"/><Relationship Id="rId92" Type="http://schemas.openxmlformats.org/officeDocument/2006/relationships/hyperlink" Target="file:///\\file01\projects\Cegeka\De%20Oesterbank\Estimates\" TargetMode="External"/><Relationship Id="rId213" Type="http://schemas.openxmlformats.org/officeDocument/2006/relationships/hyperlink" Target="file:///\\file01\projects\Cegeka\Levimo\Localization%20from%20W1%20to%20CZ\Estimates\W1_and_CZ\" TargetMode="External"/><Relationship Id="rId234" Type="http://schemas.openxmlformats.org/officeDocument/2006/relationships/hyperlink" Target="file:///\\file01\projects\Cegeka\Lyfra\Estimates\" TargetMode="External"/><Relationship Id="rId2" Type="http://schemas.openxmlformats.org/officeDocument/2006/relationships/hyperlink" Target="file:///\\file01\projects\Cegeka\Aptco\Estimates\" TargetMode="External"/><Relationship Id="rId29" Type="http://schemas.openxmlformats.org/officeDocument/2006/relationships/hyperlink" Target="file:///\\file01\projects\HI-Systems\VIPPharma\Estimates\" TargetMode="External"/><Relationship Id="rId255" Type="http://schemas.openxmlformats.org/officeDocument/2006/relationships/hyperlink" Target="file:///\\file01\projects\Cegeka\Oystershell\Estimates\Estimation_2016\" TargetMode="External"/><Relationship Id="rId40" Type="http://schemas.openxmlformats.org/officeDocument/2006/relationships/hyperlink" Target="file:///\\file01\projects\Lanteria\Bay%20Audiology\Estimates\" TargetMode="External"/><Relationship Id="rId115" Type="http://schemas.openxmlformats.org/officeDocument/2006/relationships/hyperlink" Target="file:///\\file01\projects\Cegeka\Domani\Estimates\" TargetMode="External"/><Relationship Id="rId136" Type="http://schemas.openxmlformats.org/officeDocument/2006/relationships/hyperlink" Target="file:///\\file01\projects\Cegeka\ECC\Estimates\" TargetMode="External"/><Relationship Id="rId157" Type="http://schemas.openxmlformats.org/officeDocument/2006/relationships/hyperlink" Target="file:///\\file01\projects\Cegeka\Franki%20Foundations\Estimates\" TargetMode="External"/><Relationship Id="rId178" Type="http://schemas.openxmlformats.org/officeDocument/2006/relationships/hyperlink" Target="file:///\\file01\projects\Cegeka\Group%20A\Estimates\" TargetMode="External"/><Relationship Id="rId61" Type="http://schemas.openxmlformats.org/officeDocument/2006/relationships/hyperlink" Target="file:///\\file01\projects\Cegeka\Aptco\Estimates\" TargetMode="External"/><Relationship Id="rId82" Type="http://schemas.openxmlformats.org/officeDocument/2006/relationships/hyperlink" Target="file:///\\file01\projects\Cegeka\De%20Bisschop\Estimates\" TargetMode="External"/><Relationship Id="rId199" Type="http://schemas.openxmlformats.org/officeDocument/2006/relationships/hyperlink" Target="file:///\\file01\projects\Cegeka\KMDA\Estimates\" TargetMode="External"/><Relationship Id="rId203" Type="http://schemas.openxmlformats.org/officeDocument/2006/relationships/hyperlink" Target="file:///\\file01\projects\Cegeka\KMDA\Estimates\" TargetMode="External"/><Relationship Id="rId19" Type="http://schemas.openxmlformats.org/officeDocument/2006/relationships/hyperlink" Target="file:///\\file01\projects\Cegeka\Boiron\Estimates\" TargetMode="External"/><Relationship Id="rId224" Type="http://schemas.openxmlformats.org/officeDocument/2006/relationships/hyperlink" Target="file:///\\file01\projects\Cegeka\Levimo\Upgrade%20from%20CU0%20to%20CU15%20CZ\Estimates\" TargetMode="External"/><Relationship Id="rId245" Type="http://schemas.openxmlformats.org/officeDocument/2006/relationships/hyperlink" Target="file:///\\file01\projects\Cegeka\Lyfra\Estimates\" TargetMode="External"/><Relationship Id="rId266" Type="http://schemas.openxmlformats.org/officeDocument/2006/relationships/hyperlink" Target="file:///\\file01\projects\Cegeka\Oystershell\Estimates\Estimation_2016\" TargetMode="External"/><Relationship Id="rId30" Type="http://schemas.openxmlformats.org/officeDocument/2006/relationships/hyperlink" Target="file:///\\file01\projects\HI-Systems\VIPPharma\Estimates\" TargetMode="External"/><Relationship Id="rId105" Type="http://schemas.openxmlformats.org/officeDocument/2006/relationships/hyperlink" Target="file:///\\file01\projects\Cegeka\De%20Oesterbank\Estimates\" TargetMode="External"/><Relationship Id="rId126" Type="http://schemas.openxmlformats.org/officeDocument/2006/relationships/hyperlink" Target="file:///\\file01\projects\Cegeka\Donaldson\" TargetMode="External"/><Relationship Id="rId147" Type="http://schemas.openxmlformats.org/officeDocument/2006/relationships/hyperlink" Target="file:///\\file01\projects\Cegeka\Eurautomat\Estimates\" TargetMode="External"/><Relationship Id="rId168" Type="http://schemas.openxmlformats.org/officeDocument/2006/relationships/hyperlink" Target="file:///\\file01\projects\Cegeka\Franki%20Foundations\Estimates\" TargetMode="External"/><Relationship Id="rId51" Type="http://schemas.openxmlformats.org/officeDocument/2006/relationships/hyperlink" Target="file:///\\file01\projects\Nova%20Natie%202016\Upgrade%20to%20LQS4.0\Estimates\" TargetMode="External"/><Relationship Id="rId72" Type="http://schemas.openxmlformats.org/officeDocument/2006/relationships/hyperlink" Target="file:///\\file01\projects\Cegeka\Building%20Plastics\Estimates\" TargetMode="External"/><Relationship Id="rId93" Type="http://schemas.openxmlformats.org/officeDocument/2006/relationships/hyperlink" Target="file:///\\file01\projects\Cegeka\De%20Oesterbank\Estimates\" TargetMode="External"/><Relationship Id="rId189" Type="http://schemas.openxmlformats.org/officeDocument/2006/relationships/hyperlink" Target="file:///\\file01\projects\Cegeka\Group%20A\Estimates\" TargetMode="External"/><Relationship Id="rId3" Type="http://schemas.openxmlformats.org/officeDocument/2006/relationships/hyperlink" Target="file:///\\file01\projects\Cegeka\Aptco\Estimates\" TargetMode="External"/><Relationship Id="rId214" Type="http://schemas.openxmlformats.org/officeDocument/2006/relationships/hyperlink" Target="file:///\\file01\projects\Cegeka\Levimo\Localization%20from%20W1%20to%20CZ\Estimates\W1_and_CZ\" TargetMode="External"/><Relationship Id="rId235" Type="http://schemas.openxmlformats.org/officeDocument/2006/relationships/hyperlink" Target="file:///\\file01\projects\Cegeka\Lyfra\Estimates\" TargetMode="External"/><Relationship Id="rId256" Type="http://schemas.openxmlformats.org/officeDocument/2006/relationships/hyperlink" Target="file:///\\file01\projects\Cegeka\Oystershell\Estimates\Estimation_2016\" TargetMode="External"/><Relationship Id="rId116" Type="http://schemas.openxmlformats.org/officeDocument/2006/relationships/hyperlink" Target="file:///\\file01\projects\Cegeka\Domani\Estimates\" TargetMode="External"/><Relationship Id="rId137" Type="http://schemas.openxmlformats.org/officeDocument/2006/relationships/hyperlink" Target="file:///\\file01\projects\Cegeka\ECC\Estimates\" TargetMode="External"/><Relationship Id="rId158" Type="http://schemas.openxmlformats.org/officeDocument/2006/relationships/hyperlink" Target="file:///\\file01\projects\Cegeka\Franki%20Foundations\Estimates\" TargetMode="External"/><Relationship Id="rId20" Type="http://schemas.openxmlformats.org/officeDocument/2006/relationships/hyperlink" Target="file:///\\file01\projects\Cegeka\Boiron\Estimates\" TargetMode="External"/><Relationship Id="rId41" Type="http://schemas.openxmlformats.org/officeDocument/2006/relationships/hyperlink" Target="file:///\\file01\projects\Lanteria\Bay%20Audiology\Estimates\" TargetMode="External"/><Relationship Id="rId62" Type="http://schemas.openxmlformats.org/officeDocument/2006/relationships/hyperlink" Target="file:///\\file01\projects\Cegeka\Aptco\Estimates\" TargetMode="External"/><Relationship Id="rId83" Type="http://schemas.openxmlformats.org/officeDocument/2006/relationships/hyperlink" Target="file:///\\file01\projects\Cegeka\De%20Bisschop\Estimates\" TargetMode="External"/><Relationship Id="rId179" Type="http://schemas.openxmlformats.org/officeDocument/2006/relationships/hyperlink" Target="file:///\\file01\projects\Cegeka\Group%20A\Estimates\" TargetMode="External"/><Relationship Id="rId190" Type="http://schemas.openxmlformats.org/officeDocument/2006/relationships/hyperlink" Target="file:///\\file01\projects\Cegeka\KMDA\Estimates\" TargetMode="External"/><Relationship Id="rId204" Type="http://schemas.openxmlformats.org/officeDocument/2006/relationships/hyperlink" Target="file:///\\file01\projects\Cegeka\KMDA\Estimates\" TargetMode="External"/><Relationship Id="rId225" Type="http://schemas.openxmlformats.org/officeDocument/2006/relationships/hyperlink" Target="file:///\\file01\projects\Cegeka\Limelco%20NV\Estimates\" TargetMode="External"/><Relationship Id="rId246" Type="http://schemas.openxmlformats.org/officeDocument/2006/relationships/hyperlink" Target="file:///\\file01\projects\Cegeka\Lyfra\Estimates\" TargetMode="External"/><Relationship Id="rId267" Type="http://schemas.openxmlformats.org/officeDocument/2006/relationships/hyperlink" Target="file:///\\file01\projects\Cegeka\Oystershell\Estimates\Estimation_2016\" TargetMode="External"/><Relationship Id="rId106" Type="http://schemas.openxmlformats.org/officeDocument/2006/relationships/hyperlink" Target="file:///\\file01\projects\Cegeka\De%20Oesterbank\Estimates\" TargetMode="External"/><Relationship Id="rId127" Type="http://schemas.openxmlformats.org/officeDocument/2006/relationships/hyperlink" Target="file:///\\file01\projects\Cegeka\Donaldson\" TargetMode="External"/><Relationship Id="rId10" Type="http://schemas.openxmlformats.org/officeDocument/2006/relationships/hyperlink" Target="file:///\\file01\projects\Cegeka\Boiron\Estimates\" TargetMode="External"/><Relationship Id="rId31" Type="http://schemas.openxmlformats.org/officeDocument/2006/relationships/hyperlink" Target="file:///\\file01\projects\HI-Systems\VIPPharma\Estimates\" TargetMode="External"/><Relationship Id="rId52" Type="http://schemas.openxmlformats.org/officeDocument/2006/relationships/hyperlink" Target="file:///\\file01\projects\Nova%20Natie%202016\Upgrade%20to%20LQS4.0\Estimates\" TargetMode="External"/><Relationship Id="rId73" Type="http://schemas.openxmlformats.org/officeDocument/2006/relationships/hyperlink" Target="file:///\\file01\projects\Cegeka\De%20Bisschop\Estimates\" TargetMode="External"/><Relationship Id="rId94" Type="http://schemas.openxmlformats.org/officeDocument/2006/relationships/hyperlink" Target="file:///\\file01\projects\Cegeka\De%20Oesterbank\Estimates\" TargetMode="External"/><Relationship Id="rId148" Type="http://schemas.openxmlformats.org/officeDocument/2006/relationships/hyperlink" Target="file:///\\file01\projects\Cegeka\Eurautomat\Estimates\" TargetMode="External"/><Relationship Id="rId169" Type="http://schemas.openxmlformats.org/officeDocument/2006/relationships/hyperlink" Target="file:///\\file01\projects\Cegeka\Franki%20Foundations\Estimates\" TargetMode="External"/><Relationship Id="rId4" Type="http://schemas.openxmlformats.org/officeDocument/2006/relationships/hyperlink" Target="file:///\\file01\projects\Cegeka\Aptco\Estimates\" TargetMode="External"/><Relationship Id="rId180" Type="http://schemas.openxmlformats.org/officeDocument/2006/relationships/hyperlink" Target="file:///\\file01\projects\Cegeka\Group%20A\Estimates\" TargetMode="External"/><Relationship Id="rId215" Type="http://schemas.openxmlformats.org/officeDocument/2006/relationships/hyperlink" Target="file:///\\file01\projects\Cegeka\Levimo\Localization%20from%20W1%20to%20CZ\Estimates\W1_and_CZ\" TargetMode="External"/><Relationship Id="rId236" Type="http://schemas.openxmlformats.org/officeDocument/2006/relationships/hyperlink" Target="file:///\\file01\projects\Cegeka\Lyfra\Estimates\" TargetMode="External"/><Relationship Id="rId257" Type="http://schemas.openxmlformats.org/officeDocument/2006/relationships/hyperlink" Target="file:///\\file01\projects\Cegeka\Oystershell\Estimates\Estimation_2016\" TargetMode="External"/><Relationship Id="rId42" Type="http://schemas.openxmlformats.org/officeDocument/2006/relationships/hyperlink" Target="file:///\\file01\projects\Lanteria\Bay%20Audiology\Estimates\" TargetMode="External"/><Relationship Id="rId84" Type="http://schemas.openxmlformats.org/officeDocument/2006/relationships/hyperlink" Target="file:///\\file01\projects\Cegeka\De%20Bisschop\Estimates\" TargetMode="External"/><Relationship Id="rId138" Type="http://schemas.openxmlformats.org/officeDocument/2006/relationships/hyperlink" Target="file:///\\file01\projects\Cegeka\ECC\Estimates\" TargetMode="External"/><Relationship Id="rId191" Type="http://schemas.openxmlformats.org/officeDocument/2006/relationships/hyperlink" Target="file:///\\file01\projects\Cegeka\KMDA\Estimates\" TargetMode="External"/><Relationship Id="rId205" Type="http://schemas.openxmlformats.org/officeDocument/2006/relationships/hyperlink" Target="file:///\\file01\projects\Cegeka\KMDA\Estimates\" TargetMode="External"/><Relationship Id="rId247" Type="http://schemas.openxmlformats.org/officeDocument/2006/relationships/hyperlink" Target="file:///\\file01\projects\Cegeka\Lyfra\Estimates\" TargetMode="External"/><Relationship Id="rId107" Type="http://schemas.openxmlformats.org/officeDocument/2006/relationships/hyperlink" Target="file:///\\file01\projects\Cegeka\De%20Oesterbank\Estimates\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file01\projects\Sphinx-IT\Franki%20Foundations\Estimates\" TargetMode="External"/><Relationship Id="rId18" Type="http://schemas.openxmlformats.org/officeDocument/2006/relationships/hyperlink" Target="file:///\\file01\projects\Sphinx-IT\Remb\Estimation\" TargetMode="External"/><Relationship Id="rId26" Type="http://schemas.openxmlformats.org/officeDocument/2006/relationships/hyperlink" Target="file:///\\file01\projects\GI\Upgrade%20to%202015\Estimates\" TargetMode="External"/><Relationship Id="rId39" Type="http://schemas.openxmlformats.org/officeDocument/2006/relationships/hyperlink" Target="file:///\\file01\projects\Cegeka\CGK-ADDON-DEV\Phase1_2017\Estimates\To%20NAV%202018\" TargetMode="External"/><Relationship Id="rId21" Type="http://schemas.openxmlformats.org/officeDocument/2006/relationships/hyperlink" Target="file:///\\file01\projects\Sphinx-IT\Van%20Maele\Estimates\" TargetMode="External"/><Relationship Id="rId34" Type="http://schemas.openxmlformats.org/officeDocument/2006/relationships/hyperlink" Target="file:///\\file01\projects\Lanteria\Intergen%20Internal\Estimates\" TargetMode="External"/><Relationship Id="rId42" Type="http://schemas.openxmlformats.org/officeDocument/2006/relationships/hyperlink" Target="file:///\\file01\projects\Cegeka\CGK-ADDON-DEV\Phase1_2017\Estimates\To%20NAV%202018\" TargetMode="External"/><Relationship Id="rId7" Type="http://schemas.openxmlformats.org/officeDocument/2006/relationships/hyperlink" Target="file:///\\file01\projects\Sphinx-IT\Allgeier%20NL\" TargetMode="External"/><Relationship Id="rId2" Type="http://schemas.openxmlformats.org/officeDocument/2006/relationships/hyperlink" Target="file:///\\file01\projects\NHS\" TargetMode="External"/><Relationship Id="rId16" Type="http://schemas.openxmlformats.org/officeDocument/2006/relationships/hyperlink" Target="file:///\\file01\projects\Sphinx-IT\Medibel\Estimates\" TargetMode="External"/><Relationship Id="rId29" Type="http://schemas.openxmlformats.org/officeDocument/2006/relationships/hyperlink" Target="file:///\\file01\projects\ILB%20LQS%205.1\Esimate%20ILB\" TargetMode="External"/><Relationship Id="rId1" Type="http://schemas.openxmlformats.org/officeDocument/2006/relationships/hyperlink" Target="file:///\\file01\projects\Cegeka\CGK-ADDON-DEV\Phase1_2017\Estimates\To%20NAV%202018\" TargetMode="External"/><Relationship Id="rId6" Type="http://schemas.openxmlformats.org/officeDocument/2006/relationships/hyperlink" Target="file:///\\file01\projects\Sphinx-IT\Allgeier%20BE\" TargetMode="External"/><Relationship Id="rId11" Type="http://schemas.openxmlformats.org/officeDocument/2006/relationships/hyperlink" Target="file:///\\file01\projects\Sphinx-IT\Estimates\" TargetMode="External"/><Relationship Id="rId24" Type="http://schemas.openxmlformats.org/officeDocument/2006/relationships/hyperlink" Target="file:///\\file01\projects\Intervracht\Upgade%20Estimation\Automatic%20Estimator%20Option1\" TargetMode="External"/><Relationship Id="rId32" Type="http://schemas.openxmlformats.org/officeDocument/2006/relationships/hyperlink" Target="file:///\\file01\projects\Lanteria\Empired\Estimates\" TargetMode="External"/><Relationship Id="rId37" Type="http://schemas.openxmlformats.org/officeDocument/2006/relationships/hyperlink" Target="file:///\\file01\projects\Cegeka\CGK-ADDON-DEV\Phase1_2017\Estimates\To%20NAV%202018\" TargetMode="External"/><Relationship Id="rId40" Type="http://schemas.openxmlformats.org/officeDocument/2006/relationships/hyperlink" Target="file:///\\file01\projects\Cegeka\CGK-ADDON-DEV\Phase1_2017\Estimates\To%20NAV%202018\" TargetMode="External"/><Relationship Id="rId45" Type="http://schemas.openxmlformats.org/officeDocument/2006/relationships/hyperlink" Target="file:///\\file01\projects\Cegeka\CGK-ADDON-DEV\Phase1_2017\Estimates\To%20NAV%202018\" TargetMode="External"/><Relationship Id="rId5" Type="http://schemas.openxmlformats.org/officeDocument/2006/relationships/hyperlink" Target="file:///\\file01\projects\Transuniverse\Estimates\" TargetMode="External"/><Relationship Id="rId15" Type="http://schemas.openxmlformats.org/officeDocument/2006/relationships/hyperlink" Target="file:///\\file01\projects\Sphinx-IT\Maene\Estimates\" TargetMode="External"/><Relationship Id="rId23" Type="http://schemas.openxmlformats.org/officeDocument/2006/relationships/hyperlink" Target="file:///\\file01\projects\Sphinx-IT\Zoutman\" TargetMode="External"/><Relationship Id="rId28" Type="http://schemas.openxmlformats.org/officeDocument/2006/relationships/hyperlink" Target="file:///\\file01\projects\iFacto\Moveplus\" TargetMode="External"/><Relationship Id="rId36" Type="http://schemas.openxmlformats.org/officeDocument/2006/relationships/hyperlink" Target="file:///\\file01\projects\Cegeka\CGK-ADDON-DEV\Phase1_2017\Estimates\To%20NAV%202018\" TargetMode="External"/><Relationship Id="rId10" Type="http://schemas.openxmlformats.org/officeDocument/2006/relationships/hyperlink" Target="file:///\\file01\projects\Sphinx-IT\Conversie%20Frome%20&amp;%20Style\Estimates\" TargetMode="External"/><Relationship Id="rId19" Type="http://schemas.openxmlformats.org/officeDocument/2006/relationships/hyperlink" Target="file:///\\file01\projects\Sphinx-IT\Schelfhaut\" TargetMode="External"/><Relationship Id="rId31" Type="http://schemas.openxmlformats.org/officeDocument/2006/relationships/hyperlink" Target="file:///\\file01\projects\Lanteria\Dental%20Partners\Estimates\" TargetMode="External"/><Relationship Id="rId44" Type="http://schemas.openxmlformats.org/officeDocument/2006/relationships/hyperlink" Target="file:///\\file01\projects\Cegeka\CGK-ADDON-DEV\Phase1_2017\Estimates\To%20NAV%202018\" TargetMode="External"/><Relationship Id="rId4" Type="http://schemas.openxmlformats.org/officeDocument/2006/relationships/hyperlink" Target="file:///\\file01\projects\Skillteam\Merge\" TargetMode="External"/><Relationship Id="rId9" Type="http://schemas.openxmlformats.org/officeDocument/2006/relationships/hyperlink" Target="file:///\\file01\projects\Sphinx-IT\BuyckSteel\" TargetMode="External"/><Relationship Id="rId14" Type="http://schemas.openxmlformats.org/officeDocument/2006/relationships/hyperlink" Target="file:///\\file01\projects\Sphinx-IT\Gedimat%20&#8211;%20De%20Groote\Estimates\" TargetMode="External"/><Relationship Id="rId22" Type="http://schemas.openxmlformats.org/officeDocument/2006/relationships/hyperlink" Target="file:///\\file01\projects\Sphinx-IT\Verimpex\Estimates\" TargetMode="External"/><Relationship Id="rId27" Type="http://schemas.openxmlformats.org/officeDocument/2006/relationships/hyperlink" Target="file:///\\file01\projects\iFacto\Internal%20System%20Upgrade\" TargetMode="External"/><Relationship Id="rId30" Type="http://schemas.openxmlformats.org/officeDocument/2006/relationships/hyperlink" Target="file:///\\file01\projects\Lanteria\Bay%20Audiology\Estimates\" TargetMode="External"/><Relationship Id="rId35" Type="http://schemas.openxmlformats.org/officeDocument/2006/relationships/hyperlink" Target="file:///\\file01\projects\Sphinx-IT\Verimpex\Estimates\" TargetMode="External"/><Relationship Id="rId43" Type="http://schemas.openxmlformats.org/officeDocument/2006/relationships/hyperlink" Target="file:///\\file01\projects\Cegeka\CGK-ADDON-DEV\Phase1_2017\Estimates\To%20NAV%202018\" TargetMode="External"/><Relationship Id="rId8" Type="http://schemas.openxmlformats.org/officeDocument/2006/relationships/hyperlink" Target="file:///\\file01\projects\Sphinx-IT\Benelux%20Pet%20Food\Estimates\" TargetMode="External"/><Relationship Id="rId3" Type="http://schemas.openxmlformats.org/officeDocument/2006/relationships/hyperlink" Target="file:///\\file01\projects\Sea_Invest\Upgrade\" TargetMode="External"/><Relationship Id="rId12" Type="http://schemas.openxmlformats.org/officeDocument/2006/relationships/hyperlink" Target="file:///\\file01\projects\Sphinx-IT\Eurabo\Estimates\" TargetMode="External"/><Relationship Id="rId17" Type="http://schemas.openxmlformats.org/officeDocument/2006/relationships/hyperlink" Target="file:///\\file01\projects\Sphinx-IT\Mext\Estimates\" TargetMode="External"/><Relationship Id="rId25" Type="http://schemas.openxmlformats.org/officeDocument/2006/relationships/hyperlink" Target="file:///\\file01\projects\Hertz\" TargetMode="External"/><Relationship Id="rId33" Type="http://schemas.openxmlformats.org/officeDocument/2006/relationships/hyperlink" Target="file:///\\file01\projects\Lanteria\Intergen%20Internal\Estimates\" TargetMode="External"/><Relationship Id="rId38" Type="http://schemas.openxmlformats.org/officeDocument/2006/relationships/hyperlink" Target="file:///\\file01\projects\Cegeka\CGK-ADDON-DEV\Phase1_2017\Estimates\To%20NAV%202018\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file:///\\file01\projects\Sphinx-IT\Serelec\" TargetMode="External"/><Relationship Id="rId41" Type="http://schemas.openxmlformats.org/officeDocument/2006/relationships/hyperlink" Target="file:///\\file01\projects\Cegeka\CGK-ADDON-DEV\Phase1_2017\Estimates\To%20NAV%202018\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file:///\\file01\projects\Cegeka\Oystershell\Estimates\Estimation_2016\" TargetMode="External"/><Relationship Id="rId21" Type="http://schemas.openxmlformats.org/officeDocument/2006/relationships/hyperlink" Target="file:///\\file01\projects\Cegeka\KMDA\Estimates\" TargetMode="External"/><Relationship Id="rId42" Type="http://schemas.openxmlformats.org/officeDocument/2006/relationships/hyperlink" Target="file:///\\file01\projects\Lanteria\Artifexpartners\NTR%20Upgrade\Estimates\" TargetMode="External"/><Relationship Id="rId47" Type="http://schemas.openxmlformats.org/officeDocument/2006/relationships/hyperlink" Target="file:///\\file01\projects\Lanteria\Dental%20Partners\Estimates\" TargetMode="External"/><Relationship Id="rId63" Type="http://schemas.openxmlformats.org/officeDocument/2006/relationships/hyperlink" Target="file:///\\file01\projects\NHS\Estimates\" TargetMode="External"/><Relationship Id="rId68" Type="http://schemas.openxmlformats.org/officeDocument/2006/relationships/hyperlink" Target="file:///\\file01\projects\QBS\TEST_Upgrade_2013(6,7)\Estimates\" TargetMode="External"/><Relationship Id="rId84" Type="http://schemas.openxmlformats.org/officeDocument/2006/relationships/hyperlink" Target="file:///\\file01\projects\Sphinx-IT\Eurabo\Estimates\" TargetMode="External"/><Relationship Id="rId89" Type="http://schemas.openxmlformats.org/officeDocument/2006/relationships/hyperlink" Target="file:///\\file01\projects\Sphinx-IT\Maene\Estimates\" TargetMode="External"/><Relationship Id="rId16" Type="http://schemas.openxmlformats.org/officeDocument/2006/relationships/hyperlink" Target="file:///\\file01\projects\Cegeka\Eurautomat\Estimates\" TargetMode="External"/><Relationship Id="rId107" Type="http://schemas.openxmlformats.org/officeDocument/2006/relationships/hyperlink" Target="file:///\\file01\projects\Cegeka\KMSH" TargetMode="External"/><Relationship Id="rId11" Type="http://schemas.openxmlformats.org/officeDocument/2006/relationships/hyperlink" Target="file:///\\file01\projects\Cegeka\De%20Oesterbank\Estimates\" TargetMode="External"/><Relationship Id="rId32" Type="http://schemas.openxmlformats.org/officeDocument/2006/relationships/hyperlink" Target="file:///\\file01\projects\Hertz\" TargetMode="External"/><Relationship Id="rId37" Type="http://schemas.openxmlformats.org/officeDocument/2006/relationships/hyperlink" Target="file:///\\file01\projects\iFacto\Moveplus\" TargetMode="External"/><Relationship Id="rId53" Type="http://schemas.openxmlformats.org/officeDocument/2006/relationships/hyperlink" Target="file:///\\file01\projects\Lanteria\NgatiPorou\Estimates\" TargetMode="External"/><Relationship Id="rId58" Type="http://schemas.openxmlformats.org/officeDocument/2006/relationships/hyperlink" Target="file:///\\file01\projects\MBN%202016%20ES%20BE%20US%20Same%20Basis\Estimates\ES%20to%20BE\" TargetMode="External"/><Relationship Id="rId74" Type="http://schemas.openxmlformats.org/officeDocument/2006/relationships/hyperlink" Target="file:///\\file01\projects\Xolyd%20Iberica\NAV%202017%20CU11%20PT%20LQS5.1\" TargetMode="External"/><Relationship Id="rId79" Type="http://schemas.openxmlformats.org/officeDocument/2006/relationships/hyperlink" Target="file:///\\file01\projects\Sphinx-IT\Allgeier%20NL\" TargetMode="External"/><Relationship Id="rId102" Type="http://schemas.openxmlformats.org/officeDocument/2006/relationships/hyperlink" Target="file:///\\file01\projects\Van%20Roey\VDAB\Estimates" TargetMode="External"/><Relationship Id="rId5" Type="http://schemas.openxmlformats.org/officeDocument/2006/relationships/hyperlink" Target="file:///\\file01\projects\Cegeka\Boiron\Estimates\" TargetMode="External"/><Relationship Id="rId90" Type="http://schemas.openxmlformats.org/officeDocument/2006/relationships/hyperlink" Target="file:///\\file01\projects\Sphinx-IT\Medibel\Estimates\" TargetMode="External"/><Relationship Id="rId95" Type="http://schemas.openxmlformats.org/officeDocument/2006/relationships/hyperlink" Target="file:///\\file01\projects\Sphinx-IT\Van%20Maele\Estimates\" TargetMode="External"/><Relationship Id="rId22" Type="http://schemas.openxmlformats.org/officeDocument/2006/relationships/hyperlink" Target="file:///\\file01\projects\Cegeka\Levimo\Upgrade%20from%20CU0%20to%20CU15%20CZ\Estimates\" TargetMode="External"/><Relationship Id="rId27" Type="http://schemas.openxmlformats.org/officeDocument/2006/relationships/hyperlink" Target="file:///\\file01\projects\Cegeka\Trappen%20Smet\Estimates\" TargetMode="External"/><Relationship Id="rId43" Type="http://schemas.openxmlformats.org/officeDocument/2006/relationships/hyperlink" Target="file:///\\file01\projects\Lanteria\Artifexpartners\PSP\Phase%201%20PSP%20Upgrade\Estimates\" TargetMode="External"/><Relationship Id="rId48" Type="http://schemas.openxmlformats.org/officeDocument/2006/relationships/hyperlink" Target="file:///\\file01\projects\Lanteria\Empired\Estimates\" TargetMode="External"/><Relationship Id="rId64" Type="http://schemas.openxmlformats.org/officeDocument/2006/relationships/hyperlink" Target="file:///\\file01\projects\Nova%20Natie%202016\Upgrade%20to%20LQS4.0\Estimates\" TargetMode="External"/><Relationship Id="rId69" Type="http://schemas.openxmlformats.org/officeDocument/2006/relationships/hyperlink" Target="file:///\\file01\projects\Sea_Invest\Upgrade\" TargetMode="External"/><Relationship Id="rId80" Type="http://schemas.openxmlformats.org/officeDocument/2006/relationships/hyperlink" Target="file:///\\file01\projects\Sphinx-IT\Benelux%20Pet%20Food\Estimates\" TargetMode="External"/><Relationship Id="rId85" Type="http://schemas.openxmlformats.org/officeDocument/2006/relationships/hyperlink" Target="file:///\\file01\projects\Sphinx-IT\Forestplus\" TargetMode="External"/><Relationship Id="rId12" Type="http://schemas.openxmlformats.org/officeDocument/2006/relationships/hyperlink" Target="file:///\\file01\projects\Cegeka\De%20Oesterbank\Estimates\" TargetMode="External"/><Relationship Id="rId17" Type="http://schemas.openxmlformats.org/officeDocument/2006/relationships/hyperlink" Target="file:///\\file01\projects\Cegeka\Franki%20Foundations\Estimates\" TargetMode="External"/><Relationship Id="rId33" Type="http://schemas.openxmlformats.org/officeDocument/2006/relationships/hyperlink" Target="file:///\\file01\projects\GI\Upgrade%20to%202015\Estimates\" TargetMode="External"/><Relationship Id="rId38" Type="http://schemas.openxmlformats.org/officeDocument/2006/relationships/hyperlink" Target="file:///\\file01\projects\ILB%20LQS%205.1\Esimate%20ILB\" TargetMode="External"/><Relationship Id="rId59" Type="http://schemas.openxmlformats.org/officeDocument/2006/relationships/hyperlink" Target="file:///\\file01\projects\MBN%202016%20ES%20BE%20US%20Same%20Basis\Estimates\US%20to%20BE\" TargetMode="External"/><Relationship Id="rId103" Type="http://schemas.openxmlformats.org/officeDocument/2006/relationships/hyperlink" Target="file:///\\file01\projects\Van%20Roey\VRAUpgrade%202018%20CU5\Estimates" TargetMode="External"/><Relationship Id="rId108" Type="http://schemas.openxmlformats.org/officeDocument/2006/relationships/hyperlink" Target="file:///\\file01\projects\Lanteria\Acurity" TargetMode="External"/><Relationship Id="rId54" Type="http://schemas.openxmlformats.org/officeDocument/2006/relationships/hyperlink" Target="file:///\\file01\projects\Lanteria\NZAIR%20New%20Zealand%20On%20Air\Estimates\" TargetMode="External"/><Relationship Id="rId70" Type="http://schemas.openxmlformats.org/officeDocument/2006/relationships/hyperlink" Target="file:///\\file01\projects\Skillteam\Merge\" TargetMode="External"/><Relationship Id="rId75" Type="http://schemas.openxmlformats.org/officeDocument/2006/relationships/hyperlink" Target="file:///\\file01\projects\Xolyd%20Iberica\Upgrade%20Test\Estimates\" TargetMode="External"/><Relationship Id="rId91" Type="http://schemas.openxmlformats.org/officeDocument/2006/relationships/hyperlink" Target="file:///\\file01\projects\Sphinx-IT\Mext\Estimates\" TargetMode="External"/><Relationship Id="rId96" Type="http://schemas.openxmlformats.org/officeDocument/2006/relationships/hyperlink" Target="file:///\\file01\projects\Sphinx-IT\Verimpex\Estimates\" TargetMode="External"/><Relationship Id="rId1" Type="http://schemas.openxmlformats.org/officeDocument/2006/relationships/hyperlink" Target="file:///\\file01\projects\Cegeka\De%20Bisschop\Estimates\" TargetMode="External"/><Relationship Id="rId6" Type="http://schemas.openxmlformats.org/officeDocument/2006/relationships/hyperlink" Target="file:///\\file01\projects\Cegeka\Boiron\Estimates\" TargetMode="External"/><Relationship Id="rId15" Type="http://schemas.openxmlformats.org/officeDocument/2006/relationships/hyperlink" Target="file:///\\file01\projects\Cegeka\ECC\Estimates\" TargetMode="External"/><Relationship Id="rId23" Type="http://schemas.openxmlformats.org/officeDocument/2006/relationships/hyperlink" Target="file:///\\file01\projects\Cegeka\Lyfra\Estimates\" TargetMode="External"/><Relationship Id="rId28" Type="http://schemas.openxmlformats.org/officeDocument/2006/relationships/hyperlink" Target="file:///\\file01\projects\Cegeka\Trappen%20Smet\Estimates\" TargetMode="External"/><Relationship Id="rId36" Type="http://schemas.openxmlformats.org/officeDocument/2006/relationships/hyperlink" Target="file:///\\file01\projects\iFacto\Internal%20System%20Upgrade\" TargetMode="External"/><Relationship Id="rId49" Type="http://schemas.openxmlformats.org/officeDocument/2006/relationships/hyperlink" Target="file:///\\file01\projects\Lanteria\Harwood%20Consulting\Bioactive\Estimates\" TargetMode="External"/><Relationship Id="rId57" Type="http://schemas.openxmlformats.org/officeDocument/2006/relationships/hyperlink" Target="file:///\\file01\projects\Lanteria\YMKA\Estimates\" TargetMode="External"/><Relationship Id="rId106" Type="http://schemas.openxmlformats.org/officeDocument/2006/relationships/hyperlink" Target="file:///\\file01\projects\Cegeka\Maaz" TargetMode="External"/><Relationship Id="rId10" Type="http://schemas.openxmlformats.org/officeDocument/2006/relationships/hyperlink" Target="file:///\\file01\projects\Cegeka\Aptco\Estimates\" TargetMode="External"/><Relationship Id="rId31" Type="http://schemas.openxmlformats.org/officeDocument/2006/relationships/hyperlink" Target="file:///\\file01\projects\Ceva\Documents\" TargetMode="External"/><Relationship Id="rId44" Type="http://schemas.openxmlformats.org/officeDocument/2006/relationships/hyperlink" Target="file:///\\file01\projects\Lanteria\Artifexpartners\SAS\Estimates\" TargetMode="External"/><Relationship Id="rId52" Type="http://schemas.openxmlformats.org/officeDocument/2006/relationships/hyperlink" Target="file:///\\file01\projects\Lanteria\NgatiPorou\Estimates\" TargetMode="External"/><Relationship Id="rId60" Type="http://schemas.openxmlformats.org/officeDocument/2006/relationships/hyperlink" Target="file:///\\file01\projects\MBN%20Upgrade\Estimates\" TargetMode="External"/><Relationship Id="rId65" Type="http://schemas.openxmlformats.org/officeDocument/2006/relationships/hyperlink" Target="file:///\\file01\projects\Nova%20Natie%202016\Upgrade%20to%20LQS4.1\Estimates\LQS%204.0%20BE%20-%20Nova%20Natie%20BE\" TargetMode="External"/><Relationship Id="rId73" Type="http://schemas.openxmlformats.org/officeDocument/2006/relationships/hyperlink" Target="file:///\\file01\projects\Transuniverse\Estimates\" TargetMode="External"/><Relationship Id="rId78" Type="http://schemas.openxmlformats.org/officeDocument/2006/relationships/hyperlink" Target="file:///\\file01\projects\Sphinx-IT\Allgeier%20BE\" TargetMode="External"/><Relationship Id="rId81" Type="http://schemas.openxmlformats.org/officeDocument/2006/relationships/hyperlink" Target="file:///\\file01\projects\Sphinx-IT\BuyckSteel\" TargetMode="External"/><Relationship Id="rId86" Type="http://schemas.openxmlformats.org/officeDocument/2006/relationships/hyperlink" Target="file:///\\file01\projects\Sphinx-IT\Franki%20Foundations\Estimates\" TargetMode="External"/><Relationship Id="rId94" Type="http://schemas.openxmlformats.org/officeDocument/2006/relationships/hyperlink" Target="file:///\\file01\projects\Sphinx-IT\Serelec\" TargetMode="External"/><Relationship Id="rId99" Type="http://schemas.openxmlformats.org/officeDocument/2006/relationships/hyperlink" Target="file:///\\file01\projects\MBN%20Upgrade\Estimates\" TargetMode="External"/><Relationship Id="rId101" Type="http://schemas.openxmlformats.org/officeDocument/2006/relationships/hyperlink" Target="file:///\\file01\projects\Cegeka\Oystershell\Delivery\Upgrade%202017%20CU10%20to%202017%20CU19" TargetMode="External"/><Relationship Id="rId4" Type="http://schemas.openxmlformats.org/officeDocument/2006/relationships/hyperlink" Target="file:///\\file01\projects\Cegeka\CGK-ADDON-DEV\Phase1_2017\Estimates\To%20NAV%202018\" TargetMode="External"/><Relationship Id="rId9" Type="http://schemas.openxmlformats.org/officeDocument/2006/relationships/hyperlink" Target="file:///\\file01\projects\Cegeka\Aptco\Estimates\" TargetMode="External"/><Relationship Id="rId13" Type="http://schemas.openxmlformats.org/officeDocument/2006/relationships/hyperlink" Target="file:///\\file01\projects\Cegeka\Domani\Estimates\" TargetMode="External"/><Relationship Id="rId18" Type="http://schemas.openxmlformats.org/officeDocument/2006/relationships/hyperlink" Target="file:///\\file01\projects\Cegeka\Franki%20Foundations\Estimates\" TargetMode="External"/><Relationship Id="rId39" Type="http://schemas.openxmlformats.org/officeDocument/2006/relationships/hyperlink" Target="file:///\\file01\projects\Innoware\Upgrade%202017%20UA%20to%20Extensions\Estimates1\" TargetMode="External"/><Relationship Id="rId109" Type="http://schemas.openxmlformats.org/officeDocument/2006/relationships/hyperlink" Target="file:///\\file01\projects\Cegeka\Donaldson\" TargetMode="External"/><Relationship Id="rId34" Type="http://schemas.openxmlformats.org/officeDocument/2006/relationships/hyperlink" Target="file:///\\file01\projects\HI-Systems\VIPPharma\Estimates\" TargetMode="External"/><Relationship Id="rId50" Type="http://schemas.openxmlformats.org/officeDocument/2006/relationships/hyperlink" Target="file:///\\file01\projects\Lanteria\HRV\Estimates\" TargetMode="External"/><Relationship Id="rId55" Type="http://schemas.openxmlformats.org/officeDocument/2006/relationships/hyperlink" Target="file:///\\file01\projects\Lanteria\Samco\Estimates\" TargetMode="External"/><Relationship Id="rId76" Type="http://schemas.openxmlformats.org/officeDocument/2006/relationships/hyperlink" Target="file:///\\file01\projects\XTRAS\Inquiry\Estimates\" TargetMode="External"/><Relationship Id="rId97" Type="http://schemas.openxmlformats.org/officeDocument/2006/relationships/hyperlink" Target="file:///\\file01\projects\Sphinx-IT\Zoutman\" TargetMode="External"/><Relationship Id="rId104" Type="http://schemas.openxmlformats.org/officeDocument/2006/relationships/hyperlink" Target="file:///\\file01\projects\Van%20Roey\VRAUpgrade%202018\Estimates" TargetMode="External"/><Relationship Id="rId7" Type="http://schemas.openxmlformats.org/officeDocument/2006/relationships/hyperlink" Target="file:///\\file01\projects\Cegeka\Belgosuc\Estimates\" TargetMode="External"/><Relationship Id="rId71" Type="http://schemas.openxmlformats.org/officeDocument/2006/relationships/hyperlink" Target="file:///\\file01\projects\Suelto\Cedexsa\Upgrade\Estimates\" TargetMode="External"/><Relationship Id="rId92" Type="http://schemas.openxmlformats.org/officeDocument/2006/relationships/hyperlink" Target="file:///\\file01\projects\Sphinx-IT\Remb\Estimation\" TargetMode="External"/><Relationship Id="rId2" Type="http://schemas.openxmlformats.org/officeDocument/2006/relationships/hyperlink" Target="file:///\\file01\projects\Cegeka\De%20Bisschop\Estimates\" TargetMode="External"/><Relationship Id="rId29" Type="http://schemas.openxmlformats.org/officeDocument/2006/relationships/hyperlink" Target="file:///\\file01\projects\Cegeka\Vermeiren%20Princeps\Estimates\" TargetMode="External"/><Relationship Id="rId24" Type="http://schemas.openxmlformats.org/officeDocument/2006/relationships/hyperlink" Target="file:///\\file01\projects\Cegeka\Lyfra\Estimates\" TargetMode="External"/><Relationship Id="rId40" Type="http://schemas.openxmlformats.org/officeDocument/2006/relationships/hyperlink" Target="file:///\\file01\projects\Innoware\Upgrade%202017%20UA%20to%202009%20R2\Estimates\Without%20Languages\" TargetMode="External"/><Relationship Id="rId45" Type="http://schemas.openxmlformats.org/officeDocument/2006/relationships/hyperlink" Target="file:///\\file01\projects\Lanteria\Bay%20Audiology\Estimates\" TargetMode="External"/><Relationship Id="rId66" Type="http://schemas.openxmlformats.org/officeDocument/2006/relationships/hyperlink" Target="file:///\\file01\projects\Nova%20Natie%202016\Upgrade%20to%20LQS5.0\Estimates\" TargetMode="External"/><Relationship Id="rId87" Type="http://schemas.openxmlformats.org/officeDocument/2006/relationships/hyperlink" Target="file:///\\file01\projects\Sphinx-IT\Gedimat%20&#8211;%20De%20Groote\Estimates\" TargetMode="External"/><Relationship Id="rId110" Type="http://schemas.openxmlformats.org/officeDocument/2006/relationships/hyperlink" Target="file:///\\file01\projects\Cegeka\Group%20A\Estimates\" TargetMode="External"/><Relationship Id="rId61" Type="http://schemas.openxmlformats.org/officeDocument/2006/relationships/hyperlink" Target="file:///\\file01\projects\MPL%202015%20BR\BR%20Localization\Estimates\" TargetMode="External"/><Relationship Id="rId82" Type="http://schemas.openxmlformats.org/officeDocument/2006/relationships/hyperlink" Target="file:///\\file01\projects\Sphinx-IT\Conversie%20Frome%20&amp;%20Style\Estimates\" TargetMode="External"/><Relationship Id="rId19" Type="http://schemas.openxmlformats.org/officeDocument/2006/relationships/hyperlink" Target="file:///\\file01\projects\Cegeka\Group%20A\Estimates\" TargetMode="External"/><Relationship Id="rId14" Type="http://schemas.openxmlformats.org/officeDocument/2006/relationships/hyperlink" Target="file:///\\file01\projects\Cegeka\Donaldson\" TargetMode="External"/><Relationship Id="rId30" Type="http://schemas.openxmlformats.org/officeDocument/2006/relationships/hyperlink" Target="file:///\\file01\projects\Cegeka\Vermeiren%20Princeps\Estimates\" TargetMode="External"/><Relationship Id="rId35" Type="http://schemas.openxmlformats.org/officeDocument/2006/relationships/hyperlink" Target="file:///\\file01\projects\iFacto\BUT\Upgrade\" TargetMode="External"/><Relationship Id="rId56" Type="http://schemas.openxmlformats.org/officeDocument/2006/relationships/hyperlink" Target="file:///\\file01\projects\Lanteria\Wakatu\Estimates\" TargetMode="External"/><Relationship Id="rId77" Type="http://schemas.openxmlformats.org/officeDocument/2006/relationships/hyperlink" Target="file:///\\file01\projects\XTRAS\RTM\Estimates\" TargetMode="External"/><Relationship Id="rId100" Type="http://schemas.openxmlformats.org/officeDocument/2006/relationships/hyperlink" Target="file:///\\file01\projects\Intervracht\Upgade%20Estimation\Automatic%20Estimator%20Option1\" TargetMode="External"/><Relationship Id="rId105" Type="http://schemas.openxmlformats.org/officeDocument/2006/relationships/hyperlink" Target="file:///\\file01\projects\Van%20Roey\VDAB\Estimates" TargetMode="External"/><Relationship Id="rId8" Type="http://schemas.openxmlformats.org/officeDocument/2006/relationships/hyperlink" Target="file:///\\file01\projects\Cegeka\Belgosuc\Estimates\" TargetMode="External"/><Relationship Id="rId51" Type="http://schemas.openxmlformats.org/officeDocument/2006/relationships/hyperlink" Target="file:///\\file01\projects\Lanteria\Intergen%20Internal\Estimates\" TargetMode="External"/><Relationship Id="rId72" Type="http://schemas.openxmlformats.org/officeDocument/2006/relationships/hyperlink" Target="file:///\\file01\projects\Thomas%20Forshaw\Alden%20Upgrade\Estimates\" TargetMode="External"/><Relationship Id="rId93" Type="http://schemas.openxmlformats.org/officeDocument/2006/relationships/hyperlink" Target="file:///\\file01\projects\Sphinx-IT\Schelfhaut\" TargetMode="External"/><Relationship Id="rId98" Type="http://schemas.openxmlformats.org/officeDocument/2006/relationships/hyperlink" Target="file:///\\file01\projects\MBN%20Upgrade\Estimates\" TargetMode="External"/><Relationship Id="rId3" Type="http://schemas.openxmlformats.org/officeDocument/2006/relationships/hyperlink" Target="file:///\\file01\projects\Cegeka\Building%20Plastics\Estimates\" TargetMode="External"/><Relationship Id="rId25" Type="http://schemas.openxmlformats.org/officeDocument/2006/relationships/hyperlink" Target="file:///\\file01\projects\Cegeka\Oystershell\Estimates\Estimation_2016\" TargetMode="External"/><Relationship Id="rId46" Type="http://schemas.openxmlformats.org/officeDocument/2006/relationships/hyperlink" Target="file:///\\file01\projects\Lanteria\Counties%20Power\Estimates\" TargetMode="External"/><Relationship Id="rId67" Type="http://schemas.openxmlformats.org/officeDocument/2006/relationships/hyperlink" Target="file:///\\file01\projects\Nova%20Natie%202016\Upgrade%20to%20LQS5.0%20CU2\Estimates\" TargetMode="External"/><Relationship Id="rId20" Type="http://schemas.openxmlformats.org/officeDocument/2006/relationships/hyperlink" Target="file:///\\file01\projects\Cegeka\KMDA\Estimates\" TargetMode="External"/><Relationship Id="rId41" Type="http://schemas.openxmlformats.org/officeDocument/2006/relationships/hyperlink" Target="file:///\\file01\projects\Interfracht\Upgrade2015-2017\Estimates\" TargetMode="External"/><Relationship Id="rId62" Type="http://schemas.openxmlformats.org/officeDocument/2006/relationships/hyperlink" Target="file:///\\file01\projects\MT%20ART\Upgrade%20to%20LQS4.0\Estimates\" TargetMode="External"/><Relationship Id="rId83" Type="http://schemas.openxmlformats.org/officeDocument/2006/relationships/hyperlink" Target="file:///\\file01\projects\Sphinx-IT\Estimates\" TargetMode="External"/><Relationship Id="rId88" Type="http://schemas.openxmlformats.org/officeDocument/2006/relationships/hyperlink" Target="file:///\\file01\projects\Sphinx-IT\Kuppersbusch\Automatic%20Estimator\" TargetMode="External"/><Relationship Id="rId111" Type="http://schemas.openxmlformats.org/officeDocument/2006/relationships/hyperlink" Target="file:///\\file01\projects\Cegeka\Limelco%20NV\Estimates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7"/>
  <sheetViews>
    <sheetView tabSelected="1" zoomScale="85" zoomScaleNormal="85" workbookViewId="0">
      <pane ySplit="3" topLeftCell="A4" activePane="bottomLeft" state="frozen"/>
      <selection pane="bottomLeft" sqref="A1:A3"/>
    </sheetView>
  </sheetViews>
  <sheetFormatPr defaultRowHeight="14.25" x14ac:dyDescent="0.25"/>
  <cols>
    <col min="1" max="1" width="18.42578125" style="2" customWidth="1"/>
    <col min="2" max="3" width="9.42578125" style="5" customWidth="1"/>
    <col min="4" max="4" width="9.42578125" style="14" customWidth="1"/>
    <col min="5" max="12" width="9.42578125" style="25" customWidth="1"/>
    <col min="13" max="13" width="37" style="2" customWidth="1"/>
    <col min="14" max="14" width="17.7109375" style="23" customWidth="1"/>
    <col min="15" max="16" width="11.140625" style="174" customWidth="1"/>
    <col min="17" max="17" width="39.85546875" style="2" customWidth="1"/>
    <col min="18" max="18" width="76.140625" style="2" customWidth="1"/>
    <col min="19" max="16384" width="9.140625" style="2"/>
  </cols>
  <sheetData>
    <row r="1" spans="1:18" ht="15" customHeight="1" x14ac:dyDescent="0.25">
      <c r="A1" s="155" t="s">
        <v>228</v>
      </c>
      <c r="B1" s="155" t="s">
        <v>305</v>
      </c>
      <c r="C1" s="155"/>
      <c r="D1" s="155"/>
      <c r="E1" s="161" t="s">
        <v>225</v>
      </c>
      <c r="F1" s="162"/>
      <c r="G1" s="162"/>
      <c r="H1" s="162"/>
      <c r="I1" s="162"/>
      <c r="J1" s="162"/>
      <c r="K1" s="163"/>
      <c r="L1" s="154"/>
      <c r="M1" s="155" t="s">
        <v>7</v>
      </c>
      <c r="N1" s="155" t="s">
        <v>226</v>
      </c>
      <c r="O1" s="169" t="s">
        <v>0</v>
      </c>
      <c r="P1" s="169" t="s">
        <v>1</v>
      </c>
      <c r="Q1" s="155" t="s">
        <v>2</v>
      </c>
      <c r="R1" s="157" t="s">
        <v>3</v>
      </c>
    </row>
    <row r="2" spans="1:18" ht="14.25" customHeight="1" x14ac:dyDescent="0.25">
      <c r="A2" s="156"/>
      <c r="B2" s="156"/>
      <c r="C2" s="156"/>
      <c r="D2" s="156"/>
      <c r="E2" s="164" t="s">
        <v>8</v>
      </c>
      <c r="F2" s="165"/>
      <c r="G2" s="166"/>
      <c r="H2" s="164" t="s">
        <v>229</v>
      </c>
      <c r="I2" s="165"/>
      <c r="J2" s="166"/>
      <c r="K2" s="159" t="s">
        <v>240</v>
      </c>
      <c r="L2" s="152"/>
      <c r="M2" s="156"/>
      <c r="N2" s="156"/>
      <c r="O2" s="170"/>
      <c r="P2" s="170"/>
      <c r="Q2" s="156"/>
      <c r="R2" s="158"/>
    </row>
    <row r="3" spans="1:18" ht="28.5" x14ac:dyDescent="0.25">
      <c r="A3" s="156"/>
      <c r="B3" s="63" t="s">
        <v>8</v>
      </c>
      <c r="C3" s="63" t="s">
        <v>14</v>
      </c>
      <c r="D3" s="63" t="s">
        <v>6</v>
      </c>
      <c r="E3" s="145" t="s">
        <v>4</v>
      </c>
      <c r="F3" s="145" t="s">
        <v>5</v>
      </c>
      <c r="G3" s="145" t="s">
        <v>240</v>
      </c>
      <c r="H3" s="145" t="s">
        <v>4</v>
      </c>
      <c r="I3" s="145" t="s">
        <v>5</v>
      </c>
      <c r="J3" s="145" t="s">
        <v>240</v>
      </c>
      <c r="K3" s="160"/>
      <c r="L3" s="153" t="s">
        <v>306</v>
      </c>
      <c r="M3" s="156"/>
      <c r="N3" s="156"/>
      <c r="O3" s="170"/>
      <c r="P3" s="170"/>
      <c r="Q3" s="156"/>
      <c r="R3" s="158"/>
    </row>
    <row r="4" spans="1:18" s="32" customFormat="1" ht="15" x14ac:dyDescent="0.25">
      <c r="A4" s="41" t="s">
        <v>230</v>
      </c>
      <c r="B4" s="12">
        <v>5</v>
      </c>
      <c r="C4" s="12">
        <v>32</v>
      </c>
      <c r="D4" s="15">
        <v>37</v>
      </c>
      <c r="E4" s="85">
        <v>0.16666666666666666</v>
      </c>
      <c r="F4" s="85">
        <v>9.2592592592592585E-4</v>
      </c>
      <c r="G4" s="28">
        <f>E4+F4</f>
        <v>0.16759259259259257</v>
      </c>
      <c r="H4" s="85">
        <v>1.6666666666666667</v>
      </c>
      <c r="I4" s="85">
        <v>0.55555555555555558</v>
      </c>
      <c r="J4" s="28">
        <f>H4+I4</f>
        <v>2.2222222222222223</v>
      </c>
      <c r="K4" s="28">
        <f>G4+J4</f>
        <v>2.3898148148148151</v>
      </c>
      <c r="L4" s="28" t="s">
        <v>302</v>
      </c>
      <c r="M4" s="41"/>
      <c r="N4" s="143" t="s">
        <v>227</v>
      </c>
      <c r="O4" s="171">
        <v>7</v>
      </c>
      <c r="P4" s="171">
        <v>11</v>
      </c>
      <c r="Q4" s="41" t="s">
        <v>15</v>
      </c>
      <c r="R4" s="144" t="s">
        <v>16</v>
      </c>
    </row>
    <row r="5" spans="1:18" s="32" customFormat="1" ht="15" x14ac:dyDescent="0.25">
      <c r="A5" s="26" t="s">
        <v>231</v>
      </c>
      <c r="B5" s="27">
        <v>12</v>
      </c>
      <c r="C5" s="27">
        <v>23</v>
      </c>
      <c r="D5" s="15">
        <v>35</v>
      </c>
      <c r="E5" s="85">
        <v>0.2</v>
      </c>
      <c r="F5" s="85">
        <v>1.1111111111111111E-3</v>
      </c>
      <c r="G5" s="28">
        <f t="shared" ref="G5:G68" si="0">E5+F5</f>
        <v>0.20111111111111113</v>
      </c>
      <c r="H5" s="85">
        <v>1.2166666666666666</v>
      </c>
      <c r="I5" s="85">
        <v>0.4055555555555555</v>
      </c>
      <c r="J5" s="28">
        <f t="shared" ref="J5:J68" si="1">H5+I5</f>
        <v>1.622222222222222</v>
      </c>
      <c r="K5" s="28">
        <f t="shared" ref="K5:K68" si="2">G5+J5</f>
        <v>1.8233333333333333</v>
      </c>
      <c r="L5" s="28" t="s">
        <v>302</v>
      </c>
      <c r="M5" s="26"/>
      <c r="N5" s="30" t="s">
        <v>227</v>
      </c>
      <c r="O5" s="172">
        <v>7</v>
      </c>
      <c r="P5" s="172">
        <v>11</v>
      </c>
      <c r="Q5" s="26" t="s">
        <v>15</v>
      </c>
      <c r="R5" s="31" t="s">
        <v>16</v>
      </c>
    </row>
    <row r="6" spans="1:18" s="32" customFormat="1" ht="15" x14ac:dyDescent="0.25">
      <c r="A6" s="26" t="s">
        <v>232</v>
      </c>
      <c r="B6" s="27">
        <v>0</v>
      </c>
      <c r="C6" s="27">
        <v>0</v>
      </c>
      <c r="D6" s="15">
        <v>0</v>
      </c>
      <c r="E6" s="85">
        <v>0</v>
      </c>
      <c r="F6" s="85">
        <v>0</v>
      </c>
      <c r="G6" s="28">
        <f t="shared" si="0"/>
        <v>0</v>
      </c>
      <c r="H6" s="85">
        <v>0</v>
      </c>
      <c r="I6" s="85">
        <v>0</v>
      </c>
      <c r="J6" s="28">
        <f t="shared" si="1"/>
        <v>0</v>
      </c>
      <c r="K6" s="28">
        <f t="shared" si="2"/>
        <v>0</v>
      </c>
      <c r="L6" s="28" t="s">
        <v>302</v>
      </c>
      <c r="M6" s="26"/>
      <c r="N6" s="30" t="s">
        <v>227</v>
      </c>
      <c r="O6" s="172">
        <v>7</v>
      </c>
      <c r="P6" s="172">
        <v>11</v>
      </c>
      <c r="Q6" s="26" t="s">
        <v>15</v>
      </c>
      <c r="R6" s="31" t="s">
        <v>16</v>
      </c>
    </row>
    <row r="7" spans="1:18" s="32" customFormat="1" ht="15" x14ac:dyDescent="0.25">
      <c r="A7" s="26" t="s">
        <v>233</v>
      </c>
      <c r="B7" s="27">
        <v>0</v>
      </c>
      <c r="C7" s="27">
        <v>0</v>
      </c>
      <c r="D7" s="15">
        <v>0</v>
      </c>
      <c r="E7" s="85">
        <v>0</v>
      </c>
      <c r="F7" s="85">
        <v>0</v>
      </c>
      <c r="G7" s="28">
        <f t="shared" si="0"/>
        <v>0</v>
      </c>
      <c r="H7" s="85">
        <v>0</v>
      </c>
      <c r="I7" s="85">
        <v>0</v>
      </c>
      <c r="J7" s="28">
        <f t="shared" si="1"/>
        <v>0</v>
      </c>
      <c r="K7" s="28">
        <f t="shared" si="2"/>
        <v>0</v>
      </c>
      <c r="L7" s="28" t="s">
        <v>302</v>
      </c>
      <c r="M7" s="26"/>
      <c r="N7" s="30" t="s">
        <v>227</v>
      </c>
      <c r="O7" s="172">
        <v>7</v>
      </c>
      <c r="P7" s="172">
        <v>11</v>
      </c>
      <c r="Q7" s="26" t="s">
        <v>15</v>
      </c>
      <c r="R7" s="31" t="s">
        <v>16</v>
      </c>
    </row>
    <row r="8" spans="1:18" s="32" customFormat="1" ht="15" x14ac:dyDescent="0.25">
      <c r="A8" s="26" t="s">
        <v>234</v>
      </c>
      <c r="B8" s="27">
        <v>8</v>
      </c>
      <c r="C8" s="27">
        <v>62</v>
      </c>
      <c r="D8" s="15">
        <v>70</v>
      </c>
      <c r="E8" s="85">
        <v>0.66666666666666663</v>
      </c>
      <c r="F8" s="85">
        <v>0.66666666666666663</v>
      </c>
      <c r="G8" s="28">
        <f t="shared" si="0"/>
        <v>1.3333333333333333</v>
      </c>
      <c r="H8" s="85">
        <v>3.2</v>
      </c>
      <c r="I8" s="85">
        <v>5.416666666666667</v>
      </c>
      <c r="J8" s="28">
        <f t="shared" si="1"/>
        <v>8.6166666666666671</v>
      </c>
      <c r="K8" s="28">
        <f t="shared" si="2"/>
        <v>9.9500000000000011</v>
      </c>
      <c r="L8" s="28" t="s">
        <v>302</v>
      </c>
      <c r="M8" s="26"/>
      <c r="N8" s="30" t="s">
        <v>227</v>
      </c>
      <c r="O8" s="172">
        <v>7</v>
      </c>
      <c r="P8" s="172">
        <v>11</v>
      </c>
      <c r="Q8" s="26" t="s">
        <v>15</v>
      </c>
      <c r="R8" s="31" t="s">
        <v>16</v>
      </c>
    </row>
    <row r="9" spans="1:18" s="32" customFormat="1" ht="15" x14ac:dyDescent="0.25">
      <c r="A9" s="26" t="s">
        <v>235</v>
      </c>
      <c r="B9" s="27">
        <v>2</v>
      </c>
      <c r="C9" s="27">
        <v>0</v>
      </c>
      <c r="D9" s="15">
        <v>2</v>
      </c>
      <c r="E9" s="85">
        <v>0.33333333333333331</v>
      </c>
      <c r="F9" s="85">
        <v>4</v>
      </c>
      <c r="G9" s="28">
        <f t="shared" si="0"/>
        <v>4.333333333333333</v>
      </c>
      <c r="H9" s="85">
        <v>0</v>
      </c>
      <c r="I9" s="85">
        <v>0</v>
      </c>
      <c r="J9" s="28">
        <f t="shared" si="1"/>
        <v>0</v>
      </c>
      <c r="K9" s="28">
        <f t="shared" si="2"/>
        <v>4.333333333333333</v>
      </c>
      <c r="L9" s="28" t="s">
        <v>302</v>
      </c>
      <c r="M9" s="26"/>
      <c r="N9" s="30" t="s">
        <v>227</v>
      </c>
      <c r="O9" s="172">
        <v>7</v>
      </c>
      <c r="P9" s="172">
        <v>11</v>
      </c>
      <c r="Q9" s="26" t="s">
        <v>15</v>
      </c>
      <c r="R9" s="31" t="s">
        <v>16</v>
      </c>
    </row>
    <row r="10" spans="1:18" s="32" customFormat="1" ht="15" x14ac:dyDescent="0.25">
      <c r="A10" s="26" t="s">
        <v>236</v>
      </c>
      <c r="B10" s="27">
        <v>44</v>
      </c>
      <c r="C10" s="27">
        <v>18</v>
      </c>
      <c r="D10" s="15">
        <v>62</v>
      </c>
      <c r="E10" s="85">
        <v>3.6666666666666665</v>
      </c>
      <c r="F10" s="85">
        <v>7.333333333333333</v>
      </c>
      <c r="G10" s="28">
        <f t="shared" si="0"/>
        <v>11</v>
      </c>
      <c r="H10" s="85">
        <v>9.6666666666666661</v>
      </c>
      <c r="I10" s="85">
        <v>9.6666666666666661</v>
      </c>
      <c r="J10" s="28">
        <f t="shared" si="1"/>
        <v>19.333333333333332</v>
      </c>
      <c r="K10" s="28">
        <f t="shared" si="2"/>
        <v>30.333333333333332</v>
      </c>
      <c r="L10" s="28" t="s">
        <v>302</v>
      </c>
      <c r="M10" s="26"/>
      <c r="N10" s="30" t="s">
        <v>227</v>
      </c>
      <c r="O10" s="172">
        <v>7</v>
      </c>
      <c r="P10" s="172">
        <v>11</v>
      </c>
      <c r="Q10" s="26" t="s">
        <v>15</v>
      </c>
      <c r="R10" s="31" t="s">
        <v>16</v>
      </c>
    </row>
    <row r="11" spans="1:18" s="32" customFormat="1" ht="15" x14ac:dyDescent="0.25">
      <c r="A11" s="26" t="s">
        <v>237</v>
      </c>
      <c r="B11" s="27">
        <v>3</v>
      </c>
      <c r="C11" s="27">
        <v>0</v>
      </c>
      <c r="D11" s="15">
        <v>3</v>
      </c>
      <c r="E11" s="85">
        <v>0.05</v>
      </c>
      <c r="F11" s="85">
        <v>1</v>
      </c>
      <c r="G11" s="28">
        <f t="shared" si="0"/>
        <v>1.05</v>
      </c>
      <c r="H11" s="85">
        <v>0</v>
      </c>
      <c r="I11" s="85">
        <v>0</v>
      </c>
      <c r="J11" s="28">
        <f t="shared" si="1"/>
        <v>0</v>
      </c>
      <c r="K11" s="28">
        <f t="shared" si="2"/>
        <v>1.05</v>
      </c>
      <c r="L11" s="28" t="s">
        <v>302</v>
      </c>
      <c r="M11" s="26"/>
      <c r="N11" s="30" t="s">
        <v>227</v>
      </c>
      <c r="O11" s="172">
        <v>7</v>
      </c>
      <c r="P11" s="172">
        <v>11</v>
      </c>
      <c r="Q11" s="26" t="s">
        <v>15</v>
      </c>
      <c r="R11" s="31" t="s">
        <v>16</v>
      </c>
    </row>
    <row r="12" spans="1:18" s="32" customFormat="1" ht="15" x14ac:dyDescent="0.25">
      <c r="A12" s="26" t="s">
        <v>238</v>
      </c>
      <c r="B12" s="27">
        <v>0</v>
      </c>
      <c r="C12" s="27">
        <v>0</v>
      </c>
      <c r="D12" s="15">
        <v>0</v>
      </c>
      <c r="E12" s="85">
        <v>0</v>
      </c>
      <c r="F12" s="85">
        <v>0</v>
      </c>
      <c r="G12" s="28">
        <f t="shared" si="0"/>
        <v>0</v>
      </c>
      <c r="H12" s="85">
        <v>0</v>
      </c>
      <c r="I12" s="85">
        <v>0</v>
      </c>
      <c r="J12" s="28">
        <f t="shared" si="1"/>
        <v>0</v>
      </c>
      <c r="K12" s="28">
        <f t="shared" si="2"/>
        <v>0</v>
      </c>
      <c r="L12" s="28" t="s">
        <v>302</v>
      </c>
      <c r="M12" s="26"/>
      <c r="N12" s="30" t="s">
        <v>227</v>
      </c>
      <c r="O12" s="172">
        <v>7</v>
      </c>
      <c r="P12" s="172">
        <v>11</v>
      </c>
      <c r="Q12" s="26" t="s">
        <v>15</v>
      </c>
      <c r="R12" s="31" t="s">
        <v>16</v>
      </c>
    </row>
    <row r="13" spans="1:18" s="40" customFormat="1" ht="15" x14ac:dyDescent="0.25">
      <c r="A13" s="33" t="s">
        <v>230</v>
      </c>
      <c r="B13" s="34">
        <v>5</v>
      </c>
      <c r="C13" s="34">
        <v>32</v>
      </c>
      <c r="D13" s="35">
        <v>150</v>
      </c>
      <c r="E13" s="56">
        <v>0.16666666666666666</v>
      </c>
      <c r="F13" s="56">
        <v>0</v>
      </c>
      <c r="G13" s="36">
        <f t="shared" si="0"/>
        <v>0.16666666666666666</v>
      </c>
      <c r="H13" s="56">
        <f>540/60</f>
        <v>9</v>
      </c>
      <c r="I13" s="56">
        <f>H13/2</f>
        <v>4.5</v>
      </c>
      <c r="J13" s="36">
        <f t="shared" si="1"/>
        <v>13.5</v>
      </c>
      <c r="K13" s="36">
        <f t="shared" si="2"/>
        <v>13.666666666666666</v>
      </c>
      <c r="L13" s="36" t="s">
        <v>307</v>
      </c>
      <c r="M13" s="39" t="s">
        <v>26</v>
      </c>
      <c r="N13" s="53" t="s">
        <v>227</v>
      </c>
      <c r="O13" s="173">
        <v>7</v>
      </c>
      <c r="P13" s="173">
        <v>11</v>
      </c>
      <c r="Q13" s="39" t="s">
        <v>15</v>
      </c>
      <c r="R13" s="54" t="s">
        <v>16</v>
      </c>
    </row>
    <row r="14" spans="1:18" s="40" customFormat="1" ht="15" x14ac:dyDescent="0.25">
      <c r="A14" s="33" t="s">
        <v>231</v>
      </c>
      <c r="B14" s="34">
        <v>12</v>
      </c>
      <c r="C14" s="34">
        <v>23</v>
      </c>
      <c r="D14" s="35">
        <v>76</v>
      </c>
      <c r="E14" s="56">
        <v>0.2</v>
      </c>
      <c r="F14" s="56">
        <v>1.1111111111111111E-3</v>
      </c>
      <c r="G14" s="36">
        <f t="shared" si="0"/>
        <v>0.20111111111111113</v>
      </c>
      <c r="H14" s="56">
        <f>355/60</f>
        <v>5.916666666666667</v>
      </c>
      <c r="I14" s="56">
        <f>H14/2</f>
        <v>2.9583333333333335</v>
      </c>
      <c r="J14" s="36">
        <f t="shared" si="1"/>
        <v>8.875</v>
      </c>
      <c r="K14" s="36">
        <f t="shared" si="2"/>
        <v>9.0761111111111106</v>
      </c>
      <c r="L14" s="36" t="s">
        <v>307</v>
      </c>
      <c r="M14" s="39" t="s">
        <v>26</v>
      </c>
      <c r="N14" s="53" t="s">
        <v>227</v>
      </c>
      <c r="O14" s="173">
        <v>7</v>
      </c>
      <c r="P14" s="173">
        <v>11</v>
      </c>
      <c r="Q14" s="39" t="s">
        <v>15</v>
      </c>
      <c r="R14" s="54" t="s">
        <v>16</v>
      </c>
    </row>
    <row r="15" spans="1:18" s="40" customFormat="1" ht="15" x14ac:dyDescent="0.25">
      <c r="A15" s="33" t="s">
        <v>232</v>
      </c>
      <c r="B15" s="34">
        <v>0</v>
      </c>
      <c r="C15" s="34">
        <v>0</v>
      </c>
      <c r="D15" s="35">
        <v>2</v>
      </c>
      <c r="E15" s="56">
        <v>0</v>
      </c>
      <c r="F15" s="56">
        <v>0</v>
      </c>
      <c r="G15" s="36">
        <f t="shared" si="0"/>
        <v>0</v>
      </c>
      <c r="H15" s="56">
        <v>0</v>
      </c>
      <c r="I15" s="56">
        <v>0</v>
      </c>
      <c r="J15" s="36">
        <f t="shared" si="1"/>
        <v>0</v>
      </c>
      <c r="K15" s="36">
        <f t="shared" si="2"/>
        <v>0</v>
      </c>
      <c r="L15" s="36" t="s">
        <v>307</v>
      </c>
      <c r="M15" s="39" t="s">
        <v>26</v>
      </c>
      <c r="N15" s="53" t="s">
        <v>227</v>
      </c>
      <c r="O15" s="173">
        <v>7</v>
      </c>
      <c r="P15" s="173">
        <v>11</v>
      </c>
      <c r="Q15" s="39" t="s">
        <v>15</v>
      </c>
      <c r="R15" s="54" t="s">
        <v>16</v>
      </c>
    </row>
    <row r="16" spans="1:18" s="40" customFormat="1" ht="15" x14ac:dyDescent="0.25">
      <c r="A16" s="33" t="s">
        <v>233</v>
      </c>
      <c r="B16" s="34">
        <v>0</v>
      </c>
      <c r="C16" s="34">
        <v>0</v>
      </c>
      <c r="D16" s="35">
        <v>0</v>
      </c>
      <c r="E16" s="56">
        <v>0</v>
      </c>
      <c r="F16" s="56">
        <v>0</v>
      </c>
      <c r="G16" s="36">
        <f t="shared" si="0"/>
        <v>0</v>
      </c>
      <c r="H16" s="56">
        <v>0</v>
      </c>
      <c r="I16" s="56">
        <v>0</v>
      </c>
      <c r="J16" s="36">
        <f t="shared" si="1"/>
        <v>0</v>
      </c>
      <c r="K16" s="36">
        <f t="shared" si="2"/>
        <v>0</v>
      </c>
      <c r="L16" s="36" t="s">
        <v>307</v>
      </c>
      <c r="M16" s="39" t="s">
        <v>26</v>
      </c>
      <c r="N16" s="53" t="s">
        <v>227</v>
      </c>
      <c r="O16" s="173">
        <v>7</v>
      </c>
      <c r="P16" s="173">
        <v>11</v>
      </c>
      <c r="Q16" s="39" t="s">
        <v>15</v>
      </c>
      <c r="R16" s="54" t="s">
        <v>16</v>
      </c>
    </row>
    <row r="17" spans="1:18" s="40" customFormat="1" ht="15" x14ac:dyDescent="0.25">
      <c r="A17" s="33" t="s">
        <v>234</v>
      </c>
      <c r="B17" s="34">
        <v>8</v>
      </c>
      <c r="C17" s="34">
        <v>62</v>
      </c>
      <c r="D17" s="35">
        <v>284</v>
      </c>
      <c r="E17" s="56">
        <v>0.66666666666666663</v>
      </c>
      <c r="F17" s="56">
        <v>0.66666666666666663</v>
      </c>
      <c r="G17" s="36">
        <f t="shared" si="0"/>
        <v>1.3333333333333333</v>
      </c>
      <c r="H17" s="56">
        <f>635/60</f>
        <v>10.583333333333334</v>
      </c>
      <c r="I17" s="56">
        <v>5.416666666666667</v>
      </c>
      <c r="J17" s="36">
        <f t="shared" si="1"/>
        <v>16</v>
      </c>
      <c r="K17" s="36">
        <f t="shared" si="2"/>
        <v>17.333333333333332</v>
      </c>
      <c r="L17" s="36" t="s">
        <v>307</v>
      </c>
      <c r="M17" s="39" t="s">
        <v>26</v>
      </c>
      <c r="N17" s="53" t="s">
        <v>227</v>
      </c>
      <c r="O17" s="173">
        <v>7</v>
      </c>
      <c r="P17" s="173">
        <v>11</v>
      </c>
      <c r="Q17" s="39" t="s">
        <v>15</v>
      </c>
      <c r="R17" s="54" t="s">
        <v>16</v>
      </c>
    </row>
    <row r="18" spans="1:18" s="40" customFormat="1" ht="15" x14ac:dyDescent="0.25">
      <c r="A18" s="33" t="s">
        <v>235</v>
      </c>
      <c r="B18" s="34">
        <v>2</v>
      </c>
      <c r="C18" s="34">
        <v>0</v>
      </c>
      <c r="D18" s="35">
        <v>4</v>
      </c>
      <c r="E18" s="56">
        <v>0.33333333333333331</v>
      </c>
      <c r="F18" s="56">
        <v>4</v>
      </c>
      <c r="G18" s="36">
        <f t="shared" si="0"/>
        <v>4.333333333333333</v>
      </c>
      <c r="H18" s="56">
        <v>0</v>
      </c>
      <c r="I18" s="56">
        <v>0</v>
      </c>
      <c r="J18" s="36">
        <f t="shared" si="1"/>
        <v>0</v>
      </c>
      <c r="K18" s="36">
        <f t="shared" si="2"/>
        <v>4.333333333333333</v>
      </c>
      <c r="L18" s="36" t="s">
        <v>307</v>
      </c>
      <c r="M18" s="39" t="s">
        <v>26</v>
      </c>
      <c r="N18" s="53" t="s">
        <v>227</v>
      </c>
      <c r="O18" s="173">
        <v>7</v>
      </c>
      <c r="P18" s="173">
        <v>11</v>
      </c>
      <c r="Q18" s="39" t="s">
        <v>15</v>
      </c>
      <c r="R18" s="54" t="s">
        <v>16</v>
      </c>
    </row>
    <row r="19" spans="1:18" s="40" customFormat="1" ht="15" x14ac:dyDescent="0.25">
      <c r="A19" s="33" t="s">
        <v>236</v>
      </c>
      <c r="B19" s="34">
        <v>44</v>
      </c>
      <c r="C19" s="34">
        <v>18</v>
      </c>
      <c r="D19" s="35">
        <v>96</v>
      </c>
      <c r="E19" s="56">
        <v>3.6666666666666665</v>
      </c>
      <c r="F19" s="56">
        <v>7.333333333333333</v>
      </c>
      <c r="G19" s="36">
        <f t="shared" si="0"/>
        <v>11</v>
      </c>
      <c r="H19" s="56">
        <f>670/60</f>
        <v>11.166666666666666</v>
      </c>
      <c r="I19" s="56">
        <v>9.6666666666666661</v>
      </c>
      <c r="J19" s="36">
        <f t="shared" si="1"/>
        <v>20.833333333333332</v>
      </c>
      <c r="K19" s="36">
        <f t="shared" si="2"/>
        <v>31.833333333333332</v>
      </c>
      <c r="L19" s="36" t="s">
        <v>307</v>
      </c>
      <c r="M19" s="39" t="s">
        <v>26</v>
      </c>
      <c r="N19" s="53" t="s">
        <v>227</v>
      </c>
      <c r="O19" s="173">
        <v>7</v>
      </c>
      <c r="P19" s="173">
        <v>11</v>
      </c>
      <c r="Q19" s="39" t="s">
        <v>15</v>
      </c>
      <c r="R19" s="54" t="s">
        <v>16</v>
      </c>
    </row>
    <row r="20" spans="1:18" s="40" customFormat="1" ht="15" x14ac:dyDescent="0.25">
      <c r="A20" s="33" t="s">
        <v>237</v>
      </c>
      <c r="B20" s="34">
        <v>3</v>
      </c>
      <c r="C20" s="34">
        <v>0</v>
      </c>
      <c r="D20" s="35">
        <v>2</v>
      </c>
      <c r="E20" s="56">
        <v>0.05</v>
      </c>
      <c r="F20" s="56">
        <v>1</v>
      </c>
      <c r="G20" s="36">
        <f t="shared" si="0"/>
        <v>1.05</v>
      </c>
      <c r="H20" s="56">
        <v>0</v>
      </c>
      <c r="I20" s="56">
        <v>0</v>
      </c>
      <c r="J20" s="36">
        <f t="shared" si="1"/>
        <v>0</v>
      </c>
      <c r="K20" s="36">
        <f t="shared" si="2"/>
        <v>1.05</v>
      </c>
      <c r="L20" s="36" t="s">
        <v>307</v>
      </c>
      <c r="M20" s="39" t="s">
        <v>26</v>
      </c>
      <c r="N20" s="53" t="s">
        <v>227</v>
      </c>
      <c r="O20" s="173">
        <v>7</v>
      </c>
      <c r="P20" s="173">
        <v>11</v>
      </c>
      <c r="Q20" s="39" t="s">
        <v>15</v>
      </c>
      <c r="R20" s="54" t="s">
        <v>16</v>
      </c>
    </row>
    <row r="21" spans="1:18" s="40" customFormat="1" ht="15" x14ac:dyDescent="0.25">
      <c r="A21" s="33" t="s">
        <v>238</v>
      </c>
      <c r="B21" s="34">
        <v>0</v>
      </c>
      <c r="C21" s="34">
        <v>0</v>
      </c>
      <c r="D21" s="35">
        <v>0</v>
      </c>
      <c r="E21" s="56">
        <v>0</v>
      </c>
      <c r="F21" s="56">
        <v>0</v>
      </c>
      <c r="G21" s="36">
        <f t="shared" si="0"/>
        <v>0</v>
      </c>
      <c r="H21" s="56">
        <v>0</v>
      </c>
      <c r="I21" s="56">
        <v>0</v>
      </c>
      <c r="J21" s="36">
        <f t="shared" si="1"/>
        <v>0</v>
      </c>
      <c r="K21" s="36">
        <f t="shared" si="2"/>
        <v>0</v>
      </c>
      <c r="L21" s="36" t="s">
        <v>307</v>
      </c>
      <c r="M21" s="39" t="s">
        <v>26</v>
      </c>
      <c r="N21" s="53" t="s">
        <v>227</v>
      </c>
      <c r="O21" s="173">
        <v>7</v>
      </c>
      <c r="P21" s="173">
        <v>11</v>
      </c>
      <c r="Q21" s="39" t="s">
        <v>15</v>
      </c>
      <c r="R21" s="54" t="s">
        <v>16</v>
      </c>
    </row>
    <row r="22" spans="1:18" s="32" customFormat="1" ht="15" x14ac:dyDescent="0.25">
      <c r="A22" s="26" t="s">
        <v>230</v>
      </c>
      <c r="B22" s="27">
        <v>10</v>
      </c>
      <c r="C22" s="27">
        <v>51</v>
      </c>
      <c r="D22" s="15">
        <v>61</v>
      </c>
      <c r="E22" s="85">
        <v>0.33333333333333331</v>
      </c>
      <c r="F22" s="85">
        <v>1.8518518518518517E-3</v>
      </c>
      <c r="G22" s="28">
        <f t="shared" si="0"/>
        <v>0.33518518518518514</v>
      </c>
      <c r="H22" s="85">
        <v>2.9</v>
      </c>
      <c r="I22" s="85">
        <v>0.96666666666666667</v>
      </c>
      <c r="J22" s="28">
        <f t="shared" si="1"/>
        <v>3.8666666666666667</v>
      </c>
      <c r="K22" s="28">
        <f t="shared" si="2"/>
        <v>4.2018518518518517</v>
      </c>
      <c r="L22" s="28" t="s">
        <v>302</v>
      </c>
      <c r="M22" s="26"/>
      <c r="N22" s="41" t="s">
        <v>302</v>
      </c>
      <c r="O22" s="172" t="s">
        <v>21</v>
      </c>
      <c r="P22" s="172" t="s">
        <v>311</v>
      </c>
      <c r="Q22" s="26" t="s">
        <v>20</v>
      </c>
      <c r="R22" s="31" t="s">
        <v>19</v>
      </c>
    </row>
    <row r="23" spans="1:18" s="32" customFormat="1" ht="15" x14ac:dyDescent="0.25">
      <c r="A23" s="26" t="s">
        <v>231</v>
      </c>
      <c r="B23" s="27">
        <v>6</v>
      </c>
      <c r="C23" s="27">
        <v>25</v>
      </c>
      <c r="D23" s="15">
        <v>31</v>
      </c>
      <c r="E23" s="85">
        <v>0.1</v>
      </c>
      <c r="F23" s="85">
        <v>5.5555555555555556E-4</v>
      </c>
      <c r="G23" s="28">
        <f t="shared" si="0"/>
        <v>0.10055555555555556</v>
      </c>
      <c r="H23" s="85">
        <v>1.5</v>
      </c>
      <c r="I23" s="85">
        <v>0.5</v>
      </c>
      <c r="J23" s="28">
        <f t="shared" si="1"/>
        <v>2</v>
      </c>
      <c r="K23" s="28">
        <f t="shared" si="2"/>
        <v>2.1005555555555557</v>
      </c>
      <c r="L23" s="28" t="s">
        <v>302</v>
      </c>
      <c r="M23" s="26"/>
      <c r="N23" s="41" t="s">
        <v>302</v>
      </c>
      <c r="O23" s="172" t="s">
        <v>21</v>
      </c>
      <c r="P23" s="172" t="s">
        <v>311</v>
      </c>
      <c r="Q23" s="26" t="s">
        <v>20</v>
      </c>
      <c r="R23" s="31" t="s">
        <v>19</v>
      </c>
    </row>
    <row r="24" spans="1:18" s="32" customFormat="1" ht="15" x14ac:dyDescent="0.25">
      <c r="A24" s="26" t="s">
        <v>232</v>
      </c>
      <c r="B24" s="27">
        <v>8</v>
      </c>
      <c r="C24" s="27">
        <v>0</v>
      </c>
      <c r="D24" s="15">
        <v>8</v>
      </c>
      <c r="E24" s="85">
        <v>4.916666666666667</v>
      </c>
      <c r="F24" s="85">
        <v>2.6666666666666665</v>
      </c>
      <c r="G24" s="28">
        <f t="shared" si="0"/>
        <v>7.5833333333333339</v>
      </c>
      <c r="H24" s="85">
        <v>0</v>
      </c>
      <c r="I24" s="85">
        <v>0</v>
      </c>
      <c r="J24" s="28">
        <f t="shared" si="1"/>
        <v>0</v>
      </c>
      <c r="K24" s="28">
        <f t="shared" si="2"/>
        <v>7.5833333333333339</v>
      </c>
      <c r="L24" s="28" t="s">
        <v>302</v>
      </c>
      <c r="M24" s="26"/>
      <c r="N24" s="41" t="s">
        <v>302</v>
      </c>
      <c r="O24" s="172" t="s">
        <v>21</v>
      </c>
      <c r="P24" s="172" t="s">
        <v>311</v>
      </c>
      <c r="Q24" s="26" t="s">
        <v>20</v>
      </c>
      <c r="R24" s="31" t="s">
        <v>19</v>
      </c>
    </row>
    <row r="25" spans="1:18" s="32" customFormat="1" ht="15" x14ac:dyDescent="0.25">
      <c r="A25" s="26" t="s">
        <v>233</v>
      </c>
      <c r="B25" s="27">
        <v>9</v>
      </c>
      <c r="C25" s="27">
        <v>64</v>
      </c>
      <c r="D25" s="15">
        <v>73</v>
      </c>
      <c r="E25" s="85">
        <v>0.33333333333333331</v>
      </c>
      <c r="F25" s="85">
        <v>0.5</v>
      </c>
      <c r="G25" s="28">
        <f t="shared" si="0"/>
        <v>0.83333333333333326</v>
      </c>
      <c r="H25" s="85">
        <v>9.8666666666666671</v>
      </c>
      <c r="I25" s="85">
        <v>14.333333333333334</v>
      </c>
      <c r="J25" s="28">
        <f t="shared" si="1"/>
        <v>24.200000000000003</v>
      </c>
      <c r="K25" s="28">
        <f t="shared" si="2"/>
        <v>25.033333333333335</v>
      </c>
      <c r="L25" s="28" t="s">
        <v>302</v>
      </c>
      <c r="M25" s="26"/>
      <c r="N25" s="41" t="s">
        <v>302</v>
      </c>
      <c r="O25" s="172" t="s">
        <v>21</v>
      </c>
      <c r="P25" s="172" t="s">
        <v>311</v>
      </c>
      <c r="Q25" s="26" t="s">
        <v>20</v>
      </c>
      <c r="R25" s="31" t="s">
        <v>19</v>
      </c>
    </row>
    <row r="26" spans="1:18" s="32" customFormat="1" ht="15" x14ac:dyDescent="0.25">
      <c r="A26" s="26" t="s">
        <v>234</v>
      </c>
      <c r="B26" s="27">
        <v>0</v>
      </c>
      <c r="C26" s="27">
        <v>0</v>
      </c>
      <c r="D26" s="15">
        <v>0</v>
      </c>
      <c r="E26" s="85">
        <v>0</v>
      </c>
      <c r="F26" s="85">
        <v>0</v>
      </c>
      <c r="G26" s="28">
        <f t="shared" si="0"/>
        <v>0</v>
      </c>
      <c r="H26" s="85">
        <v>0</v>
      </c>
      <c r="I26" s="85">
        <v>0</v>
      </c>
      <c r="J26" s="28">
        <f t="shared" si="1"/>
        <v>0</v>
      </c>
      <c r="K26" s="28">
        <f t="shared" si="2"/>
        <v>0</v>
      </c>
      <c r="L26" s="28" t="s">
        <v>302</v>
      </c>
      <c r="M26" s="26"/>
      <c r="N26" s="41" t="s">
        <v>302</v>
      </c>
      <c r="O26" s="172" t="s">
        <v>21</v>
      </c>
      <c r="P26" s="172" t="s">
        <v>311</v>
      </c>
      <c r="Q26" s="26" t="s">
        <v>20</v>
      </c>
      <c r="R26" s="31" t="s">
        <v>19</v>
      </c>
    </row>
    <row r="27" spans="1:18" s="32" customFormat="1" ht="15" x14ac:dyDescent="0.25">
      <c r="A27" s="26" t="s">
        <v>235</v>
      </c>
      <c r="B27" s="27">
        <v>1</v>
      </c>
      <c r="C27" s="27">
        <v>0</v>
      </c>
      <c r="D27" s="15">
        <v>1</v>
      </c>
      <c r="E27" s="85">
        <v>0</v>
      </c>
      <c r="F27" s="85">
        <v>2</v>
      </c>
      <c r="G27" s="28">
        <f t="shared" si="0"/>
        <v>2</v>
      </c>
      <c r="H27" s="85">
        <v>0</v>
      </c>
      <c r="I27" s="85">
        <v>0</v>
      </c>
      <c r="J27" s="28">
        <f t="shared" si="1"/>
        <v>0</v>
      </c>
      <c r="K27" s="28">
        <f t="shared" si="2"/>
        <v>2</v>
      </c>
      <c r="L27" s="28" t="s">
        <v>302</v>
      </c>
      <c r="M27" s="26"/>
      <c r="N27" s="41" t="s">
        <v>302</v>
      </c>
      <c r="O27" s="172" t="s">
        <v>21</v>
      </c>
      <c r="P27" s="172" t="s">
        <v>311</v>
      </c>
      <c r="Q27" s="26" t="s">
        <v>20</v>
      </c>
      <c r="R27" s="31" t="s">
        <v>19</v>
      </c>
    </row>
    <row r="28" spans="1:18" s="32" customFormat="1" ht="15" x14ac:dyDescent="0.25">
      <c r="A28" s="26" t="s">
        <v>236</v>
      </c>
      <c r="B28" s="27">
        <v>11</v>
      </c>
      <c r="C28" s="27">
        <v>3</v>
      </c>
      <c r="D28" s="15">
        <v>14</v>
      </c>
      <c r="E28" s="85">
        <v>10.833333333333334</v>
      </c>
      <c r="F28" s="85">
        <v>7.666666666666667</v>
      </c>
      <c r="G28" s="28">
        <f t="shared" si="0"/>
        <v>18.5</v>
      </c>
      <c r="H28" s="85">
        <v>0.66666666666666663</v>
      </c>
      <c r="I28" s="85">
        <v>0.66666666666666663</v>
      </c>
      <c r="J28" s="28">
        <f t="shared" si="1"/>
        <v>1.3333333333333333</v>
      </c>
      <c r="K28" s="28">
        <f t="shared" si="2"/>
        <v>19.833333333333332</v>
      </c>
      <c r="L28" s="28" t="s">
        <v>302</v>
      </c>
      <c r="M28" s="26"/>
      <c r="N28" s="41" t="s">
        <v>302</v>
      </c>
      <c r="O28" s="172" t="s">
        <v>21</v>
      </c>
      <c r="P28" s="172" t="s">
        <v>311</v>
      </c>
      <c r="Q28" s="26" t="s">
        <v>20</v>
      </c>
      <c r="R28" s="31" t="s">
        <v>19</v>
      </c>
    </row>
    <row r="29" spans="1:18" s="32" customFormat="1" ht="15" x14ac:dyDescent="0.25">
      <c r="A29" s="26" t="s">
        <v>237</v>
      </c>
      <c r="B29" s="27">
        <v>0</v>
      </c>
      <c r="C29" s="27">
        <v>0</v>
      </c>
      <c r="D29" s="15">
        <v>0</v>
      </c>
      <c r="E29" s="85">
        <v>0</v>
      </c>
      <c r="F29" s="85">
        <v>0</v>
      </c>
      <c r="G29" s="28">
        <f t="shared" si="0"/>
        <v>0</v>
      </c>
      <c r="H29" s="85">
        <v>0</v>
      </c>
      <c r="I29" s="85">
        <v>0</v>
      </c>
      <c r="J29" s="28">
        <f t="shared" si="1"/>
        <v>0</v>
      </c>
      <c r="K29" s="28">
        <f t="shared" si="2"/>
        <v>0</v>
      </c>
      <c r="L29" s="28" t="s">
        <v>302</v>
      </c>
      <c r="M29" s="26"/>
      <c r="N29" s="41" t="s">
        <v>302</v>
      </c>
      <c r="O29" s="172" t="s">
        <v>21</v>
      </c>
      <c r="P29" s="172" t="s">
        <v>311</v>
      </c>
      <c r="Q29" s="26" t="s">
        <v>20</v>
      </c>
      <c r="R29" s="31" t="s">
        <v>19</v>
      </c>
    </row>
    <row r="30" spans="1:18" s="32" customFormat="1" ht="15" x14ac:dyDescent="0.25">
      <c r="A30" s="26" t="s">
        <v>238</v>
      </c>
      <c r="B30" s="27">
        <v>0</v>
      </c>
      <c r="C30" s="27">
        <v>0</v>
      </c>
      <c r="D30" s="15">
        <v>0</v>
      </c>
      <c r="E30" s="85">
        <v>0</v>
      </c>
      <c r="F30" s="85">
        <v>0</v>
      </c>
      <c r="G30" s="28">
        <f t="shared" si="0"/>
        <v>0</v>
      </c>
      <c r="H30" s="85">
        <v>0</v>
      </c>
      <c r="I30" s="85">
        <v>0</v>
      </c>
      <c r="J30" s="28">
        <f t="shared" si="1"/>
        <v>0</v>
      </c>
      <c r="K30" s="28">
        <f t="shared" si="2"/>
        <v>0</v>
      </c>
      <c r="L30" s="28" t="s">
        <v>302</v>
      </c>
      <c r="M30" s="26"/>
      <c r="N30" s="41" t="s">
        <v>302</v>
      </c>
      <c r="O30" s="172" t="s">
        <v>21</v>
      </c>
      <c r="P30" s="172" t="s">
        <v>311</v>
      </c>
      <c r="Q30" s="26" t="s">
        <v>20</v>
      </c>
      <c r="R30" s="31" t="s">
        <v>19</v>
      </c>
    </row>
    <row r="31" spans="1:18" s="40" customFormat="1" ht="15" x14ac:dyDescent="0.25">
      <c r="A31" s="39" t="s">
        <v>230</v>
      </c>
      <c r="B31" s="38">
        <v>10</v>
      </c>
      <c r="C31" s="38">
        <v>51</v>
      </c>
      <c r="D31" s="35">
        <v>61</v>
      </c>
      <c r="E31" s="56">
        <v>0.33333333333333331</v>
      </c>
      <c r="F31" s="56">
        <v>1.8518518518518517E-3</v>
      </c>
      <c r="G31" s="36">
        <f t="shared" si="0"/>
        <v>0.33518518518518514</v>
      </c>
      <c r="H31" s="56">
        <f>2.9+625/60</f>
        <v>13.316666666666666</v>
      </c>
      <c r="I31" s="56">
        <f>0.966666666666667+0.5</f>
        <v>1.466666666666667</v>
      </c>
      <c r="J31" s="36">
        <f t="shared" si="1"/>
        <v>14.783333333333333</v>
      </c>
      <c r="K31" s="36">
        <f t="shared" si="2"/>
        <v>15.118518518518519</v>
      </c>
      <c r="L31" s="36" t="s">
        <v>307</v>
      </c>
      <c r="M31" s="39" t="s">
        <v>26</v>
      </c>
      <c r="N31" s="33" t="s">
        <v>302</v>
      </c>
      <c r="O31" s="173" t="s">
        <v>21</v>
      </c>
      <c r="P31" s="173" t="s">
        <v>311</v>
      </c>
      <c r="Q31" s="39" t="s">
        <v>20</v>
      </c>
      <c r="R31" s="54" t="s">
        <v>19</v>
      </c>
    </row>
    <row r="32" spans="1:18" s="40" customFormat="1" ht="15" x14ac:dyDescent="0.25">
      <c r="A32" s="39" t="s">
        <v>231</v>
      </c>
      <c r="B32" s="38">
        <v>6</v>
      </c>
      <c r="C32" s="38">
        <v>25</v>
      </c>
      <c r="D32" s="35">
        <v>31</v>
      </c>
      <c r="E32" s="56">
        <v>0.1</v>
      </c>
      <c r="F32" s="56">
        <v>5.5555555555555556E-4</v>
      </c>
      <c r="G32" s="36">
        <f t="shared" si="0"/>
        <v>0.10055555555555556</v>
      </c>
      <c r="H32" s="56">
        <f>1.5+1020/60</f>
        <v>18.5</v>
      </c>
      <c r="I32" s="56">
        <f>0.5+0.6</f>
        <v>1.1000000000000001</v>
      </c>
      <c r="J32" s="36">
        <f t="shared" si="1"/>
        <v>19.600000000000001</v>
      </c>
      <c r="K32" s="36">
        <f t="shared" si="2"/>
        <v>19.700555555555557</v>
      </c>
      <c r="L32" s="36" t="s">
        <v>307</v>
      </c>
      <c r="M32" s="39" t="s">
        <v>26</v>
      </c>
      <c r="N32" s="33" t="s">
        <v>302</v>
      </c>
      <c r="O32" s="173" t="s">
        <v>21</v>
      </c>
      <c r="P32" s="173" t="s">
        <v>311</v>
      </c>
      <c r="Q32" s="39" t="s">
        <v>20</v>
      </c>
      <c r="R32" s="54" t="s">
        <v>19</v>
      </c>
    </row>
    <row r="33" spans="1:18" s="40" customFormat="1" ht="15" x14ac:dyDescent="0.25">
      <c r="A33" s="39" t="s">
        <v>232</v>
      </c>
      <c r="B33" s="38">
        <v>8</v>
      </c>
      <c r="C33" s="38">
        <v>0</v>
      </c>
      <c r="D33" s="35">
        <v>8</v>
      </c>
      <c r="E33" s="56">
        <v>4.916666666666667</v>
      </c>
      <c r="F33" s="56">
        <v>2.6666666666666665</v>
      </c>
      <c r="G33" s="36">
        <f t="shared" si="0"/>
        <v>7.5833333333333339</v>
      </c>
      <c r="H33" s="56">
        <v>0</v>
      </c>
      <c r="I33" s="56">
        <v>0</v>
      </c>
      <c r="J33" s="36">
        <f t="shared" si="1"/>
        <v>0</v>
      </c>
      <c r="K33" s="36">
        <f t="shared" si="2"/>
        <v>7.5833333333333339</v>
      </c>
      <c r="L33" s="36" t="s">
        <v>307</v>
      </c>
      <c r="M33" s="39" t="s">
        <v>26</v>
      </c>
      <c r="N33" s="33" t="s">
        <v>302</v>
      </c>
      <c r="O33" s="173" t="s">
        <v>21</v>
      </c>
      <c r="P33" s="173" t="s">
        <v>311</v>
      </c>
      <c r="Q33" s="39" t="s">
        <v>20</v>
      </c>
      <c r="R33" s="54" t="s">
        <v>19</v>
      </c>
    </row>
    <row r="34" spans="1:18" s="40" customFormat="1" ht="15" x14ac:dyDescent="0.25">
      <c r="A34" s="39" t="s">
        <v>233</v>
      </c>
      <c r="B34" s="38">
        <v>9</v>
      </c>
      <c r="C34" s="38">
        <v>64</v>
      </c>
      <c r="D34" s="35">
        <v>73</v>
      </c>
      <c r="E34" s="56">
        <v>0.33333333333333331</v>
      </c>
      <c r="F34" s="56">
        <v>0.5</v>
      </c>
      <c r="G34" s="36">
        <f t="shared" si="0"/>
        <v>0.83333333333333326</v>
      </c>
      <c r="H34" s="56">
        <f>9.86666666666667+512/60</f>
        <v>18.400000000000006</v>
      </c>
      <c r="I34" s="56">
        <f>14.3333333333333+512/60*0.25</f>
        <v>16.466666666666633</v>
      </c>
      <c r="J34" s="36">
        <f t="shared" si="1"/>
        <v>34.866666666666639</v>
      </c>
      <c r="K34" s="36">
        <f t="shared" si="2"/>
        <v>35.699999999999974</v>
      </c>
      <c r="L34" s="36" t="s">
        <v>307</v>
      </c>
      <c r="M34" s="39" t="s">
        <v>26</v>
      </c>
      <c r="N34" s="33" t="s">
        <v>302</v>
      </c>
      <c r="O34" s="173" t="s">
        <v>21</v>
      </c>
      <c r="P34" s="173" t="s">
        <v>311</v>
      </c>
      <c r="Q34" s="39" t="s">
        <v>20</v>
      </c>
      <c r="R34" s="54" t="s">
        <v>19</v>
      </c>
    </row>
    <row r="35" spans="1:18" s="40" customFormat="1" ht="15" x14ac:dyDescent="0.25">
      <c r="A35" s="39" t="s">
        <v>234</v>
      </c>
      <c r="B35" s="38">
        <v>0</v>
      </c>
      <c r="C35" s="38">
        <v>0</v>
      </c>
      <c r="D35" s="35">
        <v>0</v>
      </c>
      <c r="E35" s="56">
        <v>0</v>
      </c>
      <c r="F35" s="56">
        <v>0</v>
      </c>
      <c r="G35" s="36">
        <f t="shared" si="0"/>
        <v>0</v>
      </c>
      <c r="H35" s="56">
        <v>0</v>
      </c>
      <c r="I35" s="56">
        <v>0</v>
      </c>
      <c r="J35" s="36">
        <f t="shared" si="1"/>
        <v>0</v>
      </c>
      <c r="K35" s="36">
        <f t="shared" si="2"/>
        <v>0</v>
      </c>
      <c r="L35" s="36" t="s">
        <v>307</v>
      </c>
      <c r="M35" s="39" t="s">
        <v>26</v>
      </c>
      <c r="N35" s="33" t="s">
        <v>302</v>
      </c>
      <c r="O35" s="173" t="s">
        <v>21</v>
      </c>
      <c r="P35" s="173" t="s">
        <v>311</v>
      </c>
      <c r="Q35" s="39" t="s">
        <v>20</v>
      </c>
      <c r="R35" s="54" t="s">
        <v>19</v>
      </c>
    </row>
    <row r="36" spans="1:18" s="40" customFormat="1" ht="15" x14ac:dyDescent="0.25">
      <c r="A36" s="39" t="s">
        <v>235</v>
      </c>
      <c r="B36" s="38">
        <v>1</v>
      </c>
      <c r="C36" s="38">
        <v>0</v>
      </c>
      <c r="D36" s="35">
        <v>1</v>
      </c>
      <c r="E36" s="56">
        <v>0</v>
      </c>
      <c r="F36" s="56">
        <v>2</v>
      </c>
      <c r="G36" s="36">
        <f t="shared" si="0"/>
        <v>2</v>
      </c>
      <c r="H36" s="56">
        <v>0</v>
      </c>
      <c r="I36" s="56">
        <v>0</v>
      </c>
      <c r="J36" s="36">
        <f t="shared" si="1"/>
        <v>0</v>
      </c>
      <c r="K36" s="36">
        <f t="shared" si="2"/>
        <v>2</v>
      </c>
      <c r="L36" s="36" t="s">
        <v>307</v>
      </c>
      <c r="M36" s="39" t="s">
        <v>26</v>
      </c>
      <c r="N36" s="33" t="s">
        <v>302</v>
      </c>
      <c r="O36" s="173" t="s">
        <v>21</v>
      </c>
      <c r="P36" s="173" t="s">
        <v>311</v>
      </c>
      <c r="Q36" s="39" t="s">
        <v>20</v>
      </c>
      <c r="R36" s="54" t="s">
        <v>19</v>
      </c>
    </row>
    <row r="37" spans="1:18" s="40" customFormat="1" ht="15" x14ac:dyDescent="0.25">
      <c r="A37" s="39" t="s">
        <v>236</v>
      </c>
      <c r="B37" s="38">
        <v>11</v>
      </c>
      <c r="C37" s="38">
        <v>3</v>
      </c>
      <c r="D37" s="35">
        <v>14</v>
      </c>
      <c r="E37" s="56">
        <v>10.833333333333334</v>
      </c>
      <c r="F37" s="56">
        <v>7.666666666666667</v>
      </c>
      <c r="G37" s="36">
        <f t="shared" si="0"/>
        <v>18.5</v>
      </c>
      <c r="H37" s="56">
        <f>0.666666666666667+9/60+1</f>
        <v>1.8166666666666669</v>
      </c>
      <c r="I37" s="56">
        <f>0.666666666666667+9/60*0.25</f>
        <v>0.70416666666666694</v>
      </c>
      <c r="J37" s="36">
        <f t="shared" si="1"/>
        <v>2.5208333333333339</v>
      </c>
      <c r="K37" s="36">
        <f t="shared" si="2"/>
        <v>21.020833333333336</v>
      </c>
      <c r="L37" s="36" t="s">
        <v>307</v>
      </c>
      <c r="M37" s="39" t="s">
        <v>26</v>
      </c>
      <c r="N37" s="33" t="s">
        <v>302</v>
      </c>
      <c r="O37" s="173" t="s">
        <v>21</v>
      </c>
      <c r="P37" s="173" t="s">
        <v>311</v>
      </c>
      <c r="Q37" s="39" t="s">
        <v>20</v>
      </c>
      <c r="R37" s="54" t="s">
        <v>19</v>
      </c>
    </row>
    <row r="38" spans="1:18" s="40" customFormat="1" ht="15" x14ac:dyDescent="0.25">
      <c r="A38" s="39" t="s">
        <v>237</v>
      </c>
      <c r="B38" s="38">
        <v>0</v>
      </c>
      <c r="C38" s="38">
        <v>0</v>
      </c>
      <c r="D38" s="35">
        <v>0</v>
      </c>
      <c r="E38" s="56">
        <v>0</v>
      </c>
      <c r="F38" s="56">
        <v>0</v>
      </c>
      <c r="G38" s="36">
        <f t="shared" si="0"/>
        <v>0</v>
      </c>
      <c r="H38" s="56">
        <v>0</v>
      </c>
      <c r="I38" s="56">
        <v>0</v>
      </c>
      <c r="J38" s="36">
        <f t="shared" si="1"/>
        <v>0</v>
      </c>
      <c r="K38" s="36">
        <f t="shared" si="2"/>
        <v>0</v>
      </c>
      <c r="L38" s="36" t="s">
        <v>307</v>
      </c>
      <c r="M38" s="39" t="s">
        <v>26</v>
      </c>
      <c r="N38" s="33" t="s">
        <v>302</v>
      </c>
      <c r="O38" s="173" t="s">
        <v>21</v>
      </c>
      <c r="P38" s="173" t="s">
        <v>311</v>
      </c>
      <c r="Q38" s="39" t="s">
        <v>20</v>
      </c>
      <c r="R38" s="54" t="s">
        <v>19</v>
      </c>
    </row>
    <row r="39" spans="1:18" s="40" customFormat="1" ht="15" x14ac:dyDescent="0.25">
      <c r="A39" s="39" t="s">
        <v>238</v>
      </c>
      <c r="B39" s="38">
        <v>0</v>
      </c>
      <c r="C39" s="38">
        <v>0</v>
      </c>
      <c r="D39" s="35">
        <v>0</v>
      </c>
      <c r="E39" s="56">
        <v>0</v>
      </c>
      <c r="F39" s="56">
        <v>0</v>
      </c>
      <c r="G39" s="36">
        <f t="shared" si="0"/>
        <v>0</v>
      </c>
      <c r="H39" s="56">
        <v>0</v>
      </c>
      <c r="I39" s="56">
        <v>0</v>
      </c>
      <c r="J39" s="36">
        <f t="shared" si="1"/>
        <v>0</v>
      </c>
      <c r="K39" s="36">
        <f t="shared" si="2"/>
        <v>0</v>
      </c>
      <c r="L39" s="36" t="s">
        <v>307</v>
      </c>
      <c r="M39" s="39" t="s">
        <v>26</v>
      </c>
      <c r="N39" s="33" t="s">
        <v>302</v>
      </c>
      <c r="O39" s="173" t="s">
        <v>21</v>
      </c>
      <c r="P39" s="173" t="s">
        <v>311</v>
      </c>
      <c r="Q39" s="39" t="s">
        <v>20</v>
      </c>
      <c r="R39" s="54" t="s">
        <v>19</v>
      </c>
    </row>
    <row r="40" spans="1:18" s="32" customFormat="1" ht="15" x14ac:dyDescent="0.25">
      <c r="A40" s="84" t="s">
        <v>230</v>
      </c>
      <c r="B40" s="27">
        <v>0</v>
      </c>
      <c r="C40" s="27">
        <v>11</v>
      </c>
      <c r="D40" s="15">
        <f>SUM(B40:C40)</f>
        <v>11</v>
      </c>
      <c r="E40" s="85">
        <v>0</v>
      </c>
      <c r="F40" s="85">
        <v>0</v>
      </c>
      <c r="G40" s="28">
        <f t="shared" si="0"/>
        <v>0</v>
      </c>
      <c r="H40" s="85">
        <v>0.55000000000000004</v>
      </c>
      <c r="I40" s="85">
        <v>0</v>
      </c>
      <c r="J40" s="28">
        <f t="shared" si="1"/>
        <v>0.55000000000000004</v>
      </c>
      <c r="K40" s="28">
        <f t="shared" si="2"/>
        <v>0.55000000000000004</v>
      </c>
      <c r="L40" s="28" t="s">
        <v>302</v>
      </c>
      <c r="M40" s="26"/>
      <c r="N40" s="26" t="s">
        <v>302</v>
      </c>
      <c r="O40" s="172" t="s">
        <v>308</v>
      </c>
      <c r="P40" s="172" t="s">
        <v>315</v>
      </c>
      <c r="Q40" s="26" t="s">
        <v>23</v>
      </c>
      <c r="R40" s="96" t="s">
        <v>22</v>
      </c>
    </row>
    <row r="41" spans="1:18" s="32" customFormat="1" ht="15" x14ac:dyDescent="0.25">
      <c r="A41" s="84" t="s">
        <v>231</v>
      </c>
      <c r="B41" s="27">
        <v>0</v>
      </c>
      <c r="C41" s="27">
        <v>3</v>
      </c>
      <c r="D41" s="15">
        <f t="shared" ref="D41:D48" si="3">SUM(B41:C41)</f>
        <v>3</v>
      </c>
      <c r="E41" s="85">
        <v>0</v>
      </c>
      <c r="F41" s="85">
        <v>0</v>
      </c>
      <c r="G41" s="28">
        <f t="shared" si="0"/>
        <v>0</v>
      </c>
      <c r="H41" s="85">
        <v>0.15</v>
      </c>
      <c r="I41" s="85">
        <v>0</v>
      </c>
      <c r="J41" s="28">
        <f t="shared" si="1"/>
        <v>0.15</v>
      </c>
      <c r="K41" s="28">
        <f t="shared" si="2"/>
        <v>0.15</v>
      </c>
      <c r="L41" s="28" t="s">
        <v>302</v>
      </c>
      <c r="M41" s="26"/>
      <c r="N41" s="26" t="s">
        <v>302</v>
      </c>
      <c r="O41" s="172" t="s">
        <v>308</v>
      </c>
      <c r="P41" s="172" t="s">
        <v>315</v>
      </c>
      <c r="Q41" s="26" t="s">
        <v>23</v>
      </c>
      <c r="R41" s="96" t="s">
        <v>22</v>
      </c>
    </row>
    <row r="42" spans="1:18" s="32" customFormat="1" ht="15" x14ac:dyDescent="0.25">
      <c r="A42" s="84" t="s">
        <v>232</v>
      </c>
      <c r="B42" s="27">
        <v>0</v>
      </c>
      <c r="C42" s="27">
        <v>0</v>
      </c>
      <c r="D42" s="15">
        <f t="shared" si="3"/>
        <v>0</v>
      </c>
      <c r="E42" s="85">
        <v>0</v>
      </c>
      <c r="F42" s="85">
        <v>0</v>
      </c>
      <c r="G42" s="28">
        <f t="shared" si="0"/>
        <v>0</v>
      </c>
      <c r="H42" s="85">
        <v>0</v>
      </c>
      <c r="I42" s="85">
        <v>0</v>
      </c>
      <c r="J42" s="28">
        <f t="shared" si="1"/>
        <v>0</v>
      </c>
      <c r="K42" s="28">
        <f t="shared" si="2"/>
        <v>0</v>
      </c>
      <c r="L42" s="28" t="s">
        <v>302</v>
      </c>
      <c r="M42" s="26"/>
      <c r="N42" s="26" t="s">
        <v>302</v>
      </c>
      <c r="O42" s="172" t="s">
        <v>308</v>
      </c>
      <c r="P42" s="172" t="s">
        <v>315</v>
      </c>
      <c r="Q42" s="26" t="s">
        <v>23</v>
      </c>
      <c r="R42" s="96" t="s">
        <v>22</v>
      </c>
    </row>
    <row r="43" spans="1:18" s="32" customFormat="1" ht="15" x14ac:dyDescent="0.25">
      <c r="A43" s="84" t="s">
        <v>233</v>
      </c>
      <c r="B43" s="27">
        <v>2</v>
      </c>
      <c r="C43" s="27">
        <v>34</v>
      </c>
      <c r="D43" s="15">
        <f t="shared" si="3"/>
        <v>36</v>
      </c>
      <c r="E43" s="85">
        <v>0.23333333333333334</v>
      </c>
      <c r="F43" s="85">
        <v>0.5</v>
      </c>
      <c r="G43" s="28">
        <f t="shared" si="0"/>
        <v>0.73333333333333339</v>
      </c>
      <c r="H43" s="85">
        <v>3.4666666666666668</v>
      </c>
      <c r="I43" s="85">
        <v>5.75</v>
      </c>
      <c r="J43" s="28">
        <f t="shared" si="1"/>
        <v>9.2166666666666668</v>
      </c>
      <c r="K43" s="28">
        <f t="shared" si="2"/>
        <v>9.9499999999999993</v>
      </c>
      <c r="L43" s="28" t="s">
        <v>302</v>
      </c>
      <c r="M43" s="26"/>
      <c r="N43" s="26" t="s">
        <v>302</v>
      </c>
      <c r="O43" s="172" t="s">
        <v>308</v>
      </c>
      <c r="P43" s="172" t="s">
        <v>315</v>
      </c>
      <c r="Q43" s="26" t="s">
        <v>23</v>
      </c>
      <c r="R43" s="96" t="s">
        <v>22</v>
      </c>
    </row>
    <row r="44" spans="1:18" s="32" customFormat="1" ht="15" x14ac:dyDescent="0.25">
      <c r="A44" s="84" t="s">
        <v>234</v>
      </c>
      <c r="B44" s="27">
        <v>0</v>
      </c>
      <c r="C44" s="27">
        <v>0</v>
      </c>
      <c r="D44" s="15">
        <f t="shared" si="3"/>
        <v>0</v>
      </c>
      <c r="E44" s="85">
        <v>0</v>
      </c>
      <c r="F44" s="85">
        <v>0</v>
      </c>
      <c r="G44" s="28">
        <f t="shared" si="0"/>
        <v>0</v>
      </c>
      <c r="H44" s="85">
        <v>0</v>
      </c>
      <c r="I44" s="85">
        <v>0</v>
      </c>
      <c r="J44" s="28">
        <f t="shared" si="1"/>
        <v>0</v>
      </c>
      <c r="K44" s="28">
        <f t="shared" si="2"/>
        <v>0</v>
      </c>
      <c r="L44" s="28" t="s">
        <v>302</v>
      </c>
      <c r="M44" s="26"/>
      <c r="N44" s="26" t="s">
        <v>302</v>
      </c>
      <c r="O44" s="172" t="s">
        <v>308</v>
      </c>
      <c r="P44" s="172" t="s">
        <v>315</v>
      </c>
      <c r="Q44" s="26" t="s">
        <v>23</v>
      </c>
      <c r="R44" s="96" t="s">
        <v>22</v>
      </c>
    </row>
    <row r="45" spans="1:18" s="32" customFormat="1" ht="15" x14ac:dyDescent="0.25">
      <c r="A45" s="84" t="s">
        <v>235</v>
      </c>
      <c r="B45" s="27">
        <v>1</v>
      </c>
      <c r="C45" s="27">
        <v>2</v>
      </c>
      <c r="D45" s="15">
        <f t="shared" si="3"/>
        <v>3</v>
      </c>
      <c r="E45" s="85">
        <v>0.16666666666666666</v>
      </c>
      <c r="F45" s="85">
        <v>2</v>
      </c>
      <c r="G45" s="28">
        <f t="shared" si="0"/>
        <v>2.1666666666666665</v>
      </c>
      <c r="H45" s="85">
        <v>0.33333333333333331</v>
      </c>
      <c r="I45" s="85">
        <v>0.16666666666666666</v>
      </c>
      <c r="J45" s="28">
        <f t="shared" si="1"/>
        <v>0.5</v>
      </c>
      <c r="K45" s="28">
        <f t="shared" si="2"/>
        <v>2.6666666666666665</v>
      </c>
      <c r="L45" s="28" t="s">
        <v>302</v>
      </c>
      <c r="M45" s="26"/>
      <c r="N45" s="26" t="s">
        <v>302</v>
      </c>
      <c r="O45" s="172" t="s">
        <v>308</v>
      </c>
      <c r="P45" s="172" t="s">
        <v>315</v>
      </c>
      <c r="Q45" s="26" t="s">
        <v>23</v>
      </c>
      <c r="R45" s="96" t="s">
        <v>22</v>
      </c>
    </row>
    <row r="46" spans="1:18" s="32" customFormat="1" ht="15" x14ac:dyDescent="0.25">
      <c r="A46" s="84" t="s">
        <v>236</v>
      </c>
      <c r="B46" s="27">
        <v>5</v>
      </c>
      <c r="C46" s="27">
        <v>11</v>
      </c>
      <c r="D46" s="15">
        <f t="shared" si="3"/>
        <v>16</v>
      </c>
      <c r="E46" s="85">
        <v>19.583333333333332</v>
      </c>
      <c r="F46" s="85">
        <v>10.166666666666666</v>
      </c>
      <c r="G46" s="28">
        <f t="shared" si="0"/>
        <v>29.75</v>
      </c>
      <c r="H46" s="85">
        <v>8.3333333333333339</v>
      </c>
      <c r="I46" s="85">
        <v>8.3333333333333339</v>
      </c>
      <c r="J46" s="28">
        <f t="shared" si="1"/>
        <v>16.666666666666668</v>
      </c>
      <c r="K46" s="28">
        <f t="shared" si="2"/>
        <v>46.416666666666671</v>
      </c>
      <c r="L46" s="28" t="s">
        <v>302</v>
      </c>
      <c r="M46" s="26"/>
      <c r="N46" s="26" t="s">
        <v>302</v>
      </c>
      <c r="O46" s="172" t="s">
        <v>308</v>
      </c>
      <c r="P46" s="172" t="s">
        <v>315</v>
      </c>
      <c r="Q46" s="26" t="s">
        <v>23</v>
      </c>
      <c r="R46" s="96" t="s">
        <v>22</v>
      </c>
    </row>
    <row r="47" spans="1:18" s="32" customFormat="1" ht="15" x14ac:dyDescent="0.25">
      <c r="A47" s="84" t="s">
        <v>237</v>
      </c>
      <c r="B47" s="27">
        <v>0</v>
      </c>
      <c r="C47" s="27">
        <v>0</v>
      </c>
      <c r="D47" s="15">
        <f t="shared" si="3"/>
        <v>0</v>
      </c>
      <c r="E47" s="85">
        <v>0</v>
      </c>
      <c r="F47" s="85">
        <v>0</v>
      </c>
      <c r="G47" s="28">
        <f t="shared" si="0"/>
        <v>0</v>
      </c>
      <c r="H47" s="85">
        <v>0</v>
      </c>
      <c r="I47" s="85">
        <v>0</v>
      </c>
      <c r="J47" s="28">
        <f t="shared" si="1"/>
        <v>0</v>
      </c>
      <c r="K47" s="28">
        <f t="shared" si="2"/>
        <v>0</v>
      </c>
      <c r="L47" s="28" t="s">
        <v>302</v>
      </c>
      <c r="M47" s="26"/>
      <c r="N47" s="26" t="s">
        <v>302</v>
      </c>
      <c r="O47" s="172" t="s">
        <v>308</v>
      </c>
      <c r="P47" s="172" t="s">
        <v>315</v>
      </c>
      <c r="Q47" s="26" t="s">
        <v>23</v>
      </c>
      <c r="R47" s="96" t="s">
        <v>22</v>
      </c>
    </row>
    <row r="48" spans="1:18" s="32" customFormat="1" ht="15" x14ac:dyDescent="0.25">
      <c r="A48" s="84" t="s">
        <v>238</v>
      </c>
      <c r="B48" s="27">
        <v>0</v>
      </c>
      <c r="C48" s="27">
        <v>0</v>
      </c>
      <c r="D48" s="15">
        <f t="shared" si="3"/>
        <v>0</v>
      </c>
      <c r="E48" s="85">
        <v>0</v>
      </c>
      <c r="F48" s="85">
        <v>0</v>
      </c>
      <c r="G48" s="28">
        <f t="shared" si="0"/>
        <v>0</v>
      </c>
      <c r="H48" s="85">
        <v>0</v>
      </c>
      <c r="I48" s="85">
        <v>0</v>
      </c>
      <c r="J48" s="28">
        <f t="shared" si="1"/>
        <v>0</v>
      </c>
      <c r="K48" s="28">
        <f t="shared" si="2"/>
        <v>0</v>
      </c>
      <c r="L48" s="28" t="s">
        <v>302</v>
      </c>
      <c r="M48" s="26"/>
      <c r="N48" s="26" t="s">
        <v>302</v>
      </c>
      <c r="O48" s="172" t="s">
        <v>308</v>
      </c>
      <c r="P48" s="172" t="s">
        <v>315</v>
      </c>
      <c r="Q48" s="26" t="s">
        <v>23</v>
      </c>
      <c r="R48" s="96" t="s">
        <v>22</v>
      </c>
    </row>
    <row r="49" spans="1:18" s="40" customFormat="1" ht="15" x14ac:dyDescent="0.25">
      <c r="A49" s="55" t="s">
        <v>230</v>
      </c>
      <c r="B49" s="56">
        <v>100</v>
      </c>
      <c r="C49" s="56">
        <v>126</v>
      </c>
      <c r="D49" s="35">
        <f>SUM(B49:C49)</f>
        <v>226</v>
      </c>
      <c r="E49" s="56">
        <v>3.3333333333333335</v>
      </c>
      <c r="F49" s="56">
        <v>2</v>
      </c>
      <c r="G49" s="36">
        <f t="shared" si="0"/>
        <v>5.3333333333333339</v>
      </c>
      <c r="H49" s="56">
        <f>6.83333333333333+63</f>
        <v>69.833333333333329</v>
      </c>
      <c r="I49" s="56">
        <v>3</v>
      </c>
      <c r="J49" s="36">
        <f t="shared" si="1"/>
        <v>72.833333333333329</v>
      </c>
      <c r="K49" s="36">
        <f t="shared" si="2"/>
        <v>78.166666666666657</v>
      </c>
      <c r="L49" s="36" t="s">
        <v>307</v>
      </c>
      <c r="M49" s="39" t="s">
        <v>26</v>
      </c>
      <c r="N49" s="53" t="s">
        <v>227</v>
      </c>
      <c r="O49" s="173" t="s">
        <v>312</v>
      </c>
      <c r="P49" s="173" t="s">
        <v>311</v>
      </c>
      <c r="Q49" s="39" t="s">
        <v>61</v>
      </c>
      <c r="R49" s="95" t="s">
        <v>60</v>
      </c>
    </row>
    <row r="50" spans="1:18" s="40" customFormat="1" ht="15" x14ac:dyDescent="0.25">
      <c r="A50" s="55" t="s">
        <v>231</v>
      </c>
      <c r="B50" s="56">
        <v>41</v>
      </c>
      <c r="C50" s="56">
        <v>45</v>
      </c>
      <c r="D50" s="35">
        <f t="shared" ref="D50:D57" si="4">SUM(B50:C50)</f>
        <v>86</v>
      </c>
      <c r="E50" s="56">
        <v>0.68333333333333335</v>
      </c>
      <c r="F50" s="56">
        <v>1</v>
      </c>
      <c r="G50" s="36">
        <f t="shared" si="0"/>
        <v>1.6833333333333333</v>
      </c>
      <c r="H50" s="56">
        <f>2.8+30</f>
        <v>32.799999999999997</v>
      </c>
      <c r="I50" s="56">
        <v>2</v>
      </c>
      <c r="J50" s="36">
        <f t="shared" si="1"/>
        <v>34.799999999999997</v>
      </c>
      <c r="K50" s="36">
        <f t="shared" si="2"/>
        <v>36.483333333333327</v>
      </c>
      <c r="L50" s="36" t="s">
        <v>307</v>
      </c>
      <c r="M50" s="39" t="s">
        <v>26</v>
      </c>
      <c r="N50" s="53" t="s">
        <v>227</v>
      </c>
      <c r="O50" s="173" t="s">
        <v>312</v>
      </c>
      <c r="P50" s="173" t="s">
        <v>311</v>
      </c>
      <c r="Q50" s="39" t="s">
        <v>61</v>
      </c>
      <c r="R50" s="95" t="s">
        <v>60</v>
      </c>
    </row>
    <row r="51" spans="1:18" s="40" customFormat="1" ht="15" x14ac:dyDescent="0.25">
      <c r="A51" s="55" t="s">
        <v>232</v>
      </c>
      <c r="B51" s="56">
        <v>0</v>
      </c>
      <c r="C51" s="56">
        <v>0</v>
      </c>
      <c r="D51" s="35">
        <f t="shared" si="4"/>
        <v>0</v>
      </c>
      <c r="E51" s="56">
        <v>0</v>
      </c>
      <c r="F51" s="56">
        <v>0</v>
      </c>
      <c r="G51" s="36">
        <f t="shared" si="0"/>
        <v>0</v>
      </c>
      <c r="H51" s="56">
        <v>0</v>
      </c>
      <c r="I51" s="56">
        <v>0</v>
      </c>
      <c r="J51" s="36">
        <f t="shared" si="1"/>
        <v>0</v>
      </c>
      <c r="K51" s="36">
        <f t="shared" si="2"/>
        <v>0</v>
      </c>
      <c r="L51" s="36" t="s">
        <v>307</v>
      </c>
      <c r="M51" s="39" t="s">
        <v>26</v>
      </c>
      <c r="N51" s="53" t="s">
        <v>227</v>
      </c>
      <c r="O51" s="173" t="s">
        <v>312</v>
      </c>
      <c r="P51" s="173" t="s">
        <v>311</v>
      </c>
      <c r="Q51" s="39" t="s">
        <v>61</v>
      </c>
      <c r="R51" s="95" t="s">
        <v>60</v>
      </c>
    </row>
    <row r="52" spans="1:18" s="40" customFormat="1" ht="15" x14ac:dyDescent="0.25">
      <c r="A52" s="55" t="s">
        <v>233</v>
      </c>
      <c r="B52" s="56">
        <v>0</v>
      </c>
      <c r="C52" s="56">
        <v>0</v>
      </c>
      <c r="D52" s="35">
        <f t="shared" si="4"/>
        <v>0</v>
      </c>
      <c r="E52" s="56">
        <v>0</v>
      </c>
      <c r="F52" s="56">
        <v>0</v>
      </c>
      <c r="G52" s="36">
        <f t="shared" si="0"/>
        <v>0</v>
      </c>
      <c r="H52" s="56">
        <v>0</v>
      </c>
      <c r="I52" s="56">
        <v>0</v>
      </c>
      <c r="J52" s="36">
        <f t="shared" si="1"/>
        <v>0</v>
      </c>
      <c r="K52" s="36">
        <f t="shared" si="2"/>
        <v>0</v>
      </c>
      <c r="L52" s="36" t="s">
        <v>307</v>
      </c>
      <c r="M52" s="39" t="s">
        <v>26</v>
      </c>
      <c r="N52" s="53" t="s">
        <v>227</v>
      </c>
      <c r="O52" s="173" t="s">
        <v>312</v>
      </c>
      <c r="P52" s="173" t="s">
        <v>311</v>
      </c>
      <c r="Q52" s="39" t="s">
        <v>61</v>
      </c>
      <c r="R52" s="95" t="s">
        <v>60</v>
      </c>
    </row>
    <row r="53" spans="1:18" s="40" customFormat="1" ht="15" x14ac:dyDescent="0.25">
      <c r="A53" s="55" t="s">
        <v>234</v>
      </c>
      <c r="B53" s="56">
        <v>125</v>
      </c>
      <c r="C53" s="56">
        <v>179</v>
      </c>
      <c r="D53" s="35">
        <f t="shared" si="4"/>
        <v>304</v>
      </c>
      <c r="E53" s="56">
        <v>7</v>
      </c>
      <c r="F53" s="56">
        <v>10.416666666666666</v>
      </c>
      <c r="G53" s="36">
        <f t="shared" si="0"/>
        <v>17.416666666666664</v>
      </c>
      <c r="H53" s="56">
        <f>8+44.75</f>
        <v>52.75</v>
      </c>
      <c r="I53" s="56">
        <v>17.583333333333332</v>
      </c>
      <c r="J53" s="36">
        <f t="shared" si="1"/>
        <v>70.333333333333329</v>
      </c>
      <c r="K53" s="36">
        <f t="shared" si="2"/>
        <v>87.75</v>
      </c>
      <c r="L53" s="36" t="s">
        <v>307</v>
      </c>
      <c r="M53" s="39" t="s">
        <v>26</v>
      </c>
      <c r="N53" s="53" t="s">
        <v>227</v>
      </c>
      <c r="O53" s="173" t="s">
        <v>312</v>
      </c>
      <c r="P53" s="173" t="s">
        <v>311</v>
      </c>
      <c r="Q53" s="39" t="s">
        <v>61</v>
      </c>
      <c r="R53" s="95" t="s">
        <v>60</v>
      </c>
    </row>
    <row r="54" spans="1:18" s="40" customFormat="1" ht="15" x14ac:dyDescent="0.25">
      <c r="A54" s="55" t="s">
        <v>235</v>
      </c>
      <c r="B54" s="56">
        <v>1</v>
      </c>
      <c r="C54" s="56">
        <v>0</v>
      </c>
      <c r="D54" s="35">
        <f t="shared" si="4"/>
        <v>1</v>
      </c>
      <c r="E54" s="56">
        <v>1.6666666666666666E-2</v>
      </c>
      <c r="F54" s="56">
        <v>2</v>
      </c>
      <c r="G54" s="36">
        <f t="shared" si="0"/>
        <v>2.0166666666666666</v>
      </c>
      <c r="H54" s="56">
        <v>0</v>
      </c>
      <c r="I54" s="56">
        <v>0</v>
      </c>
      <c r="J54" s="36">
        <f t="shared" si="1"/>
        <v>0</v>
      </c>
      <c r="K54" s="36">
        <f t="shared" si="2"/>
        <v>2.0166666666666666</v>
      </c>
      <c r="L54" s="36" t="s">
        <v>307</v>
      </c>
      <c r="M54" s="39" t="s">
        <v>26</v>
      </c>
      <c r="N54" s="53" t="s">
        <v>227</v>
      </c>
      <c r="O54" s="173" t="s">
        <v>312</v>
      </c>
      <c r="P54" s="173" t="s">
        <v>311</v>
      </c>
      <c r="Q54" s="39" t="s">
        <v>61</v>
      </c>
      <c r="R54" s="95" t="s">
        <v>60</v>
      </c>
    </row>
    <row r="55" spans="1:18" s="40" customFormat="1" ht="15" x14ac:dyDescent="0.25">
      <c r="A55" s="55" t="s">
        <v>236</v>
      </c>
      <c r="B55" s="56">
        <v>114</v>
      </c>
      <c r="C55" s="56">
        <v>17</v>
      </c>
      <c r="D55" s="35">
        <f t="shared" si="4"/>
        <v>131</v>
      </c>
      <c r="E55" s="56">
        <v>30</v>
      </c>
      <c r="F55" s="56">
        <v>82</v>
      </c>
      <c r="G55" s="36">
        <f t="shared" si="0"/>
        <v>112</v>
      </c>
      <c r="H55" s="56">
        <f>8+1.41</f>
        <v>9.41</v>
      </c>
      <c r="I55" s="56">
        <f>8+1</f>
        <v>9</v>
      </c>
      <c r="J55" s="36">
        <f t="shared" si="1"/>
        <v>18.41</v>
      </c>
      <c r="K55" s="36">
        <f t="shared" si="2"/>
        <v>130.41</v>
      </c>
      <c r="L55" s="36" t="s">
        <v>307</v>
      </c>
      <c r="M55" s="39" t="s">
        <v>26</v>
      </c>
      <c r="N55" s="53" t="s">
        <v>227</v>
      </c>
      <c r="O55" s="173" t="s">
        <v>312</v>
      </c>
      <c r="P55" s="173" t="s">
        <v>311</v>
      </c>
      <c r="Q55" s="39" t="s">
        <v>61</v>
      </c>
      <c r="R55" s="95" t="s">
        <v>60</v>
      </c>
    </row>
    <row r="56" spans="1:18" s="40" customFormat="1" ht="15" x14ac:dyDescent="0.25">
      <c r="A56" s="55" t="s">
        <v>237</v>
      </c>
      <c r="B56" s="56">
        <v>4</v>
      </c>
      <c r="C56" s="56">
        <v>0</v>
      </c>
      <c r="D56" s="35">
        <f t="shared" si="4"/>
        <v>4</v>
      </c>
      <c r="E56" s="56">
        <v>6.6666666666666666E-2</v>
      </c>
      <c r="F56" s="56">
        <v>1.3333333333333333</v>
      </c>
      <c r="G56" s="36">
        <f t="shared" si="0"/>
        <v>1.4</v>
      </c>
      <c r="H56" s="56">
        <v>0</v>
      </c>
      <c r="I56" s="56">
        <v>0</v>
      </c>
      <c r="J56" s="36">
        <f t="shared" si="1"/>
        <v>0</v>
      </c>
      <c r="K56" s="36">
        <f t="shared" si="2"/>
        <v>1.4</v>
      </c>
      <c r="L56" s="36" t="s">
        <v>307</v>
      </c>
      <c r="M56" s="39" t="s">
        <v>26</v>
      </c>
      <c r="N56" s="53" t="s">
        <v>227</v>
      </c>
      <c r="O56" s="173" t="s">
        <v>312</v>
      </c>
      <c r="P56" s="173" t="s">
        <v>311</v>
      </c>
      <c r="Q56" s="39" t="s">
        <v>61</v>
      </c>
      <c r="R56" s="95" t="s">
        <v>60</v>
      </c>
    </row>
    <row r="57" spans="1:18" s="40" customFormat="1" ht="15" x14ac:dyDescent="0.25">
      <c r="A57" s="55" t="s">
        <v>238</v>
      </c>
      <c r="B57" s="56">
        <v>0</v>
      </c>
      <c r="C57" s="56">
        <v>0</v>
      </c>
      <c r="D57" s="35">
        <f t="shared" si="4"/>
        <v>0</v>
      </c>
      <c r="E57" s="56">
        <v>0</v>
      </c>
      <c r="F57" s="56">
        <v>0</v>
      </c>
      <c r="G57" s="36">
        <f t="shared" si="0"/>
        <v>0</v>
      </c>
      <c r="H57" s="56">
        <v>0</v>
      </c>
      <c r="I57" s="56">
        <v>0</v>
      </c>
      <c r="J57" s="36">
        <f t="shared" si="1"/>
        <v>0</v>
      </c>
      <c r="K57" s="36">
        <f t="shared" si="2"/>
        <v>0</v>
      </c>
      <c r="L57" s="36" t="s">
        <v>307</v>
      </c>
      <c r="M57" s="39" t="s">
        <v>26</v>
      </c>
      <c r="N57" s="53" t="s">
        <v>227</v>
      </c>
      <c r="O57" s="173" t="s">
        <v>312</v>
      </c>
      <c r="P57" s="173" t="s">
        <v>311</v>
      </c>
      <c r="Q57" s="39" t="s">
        <v>61</v>
      </c>
      <c r="R57" s="95" t="s">
        <v>60</v>
      </c>
    </row>
    <row r="58" spans="1:18" s="32" customFormat="1" ht="15" x14ac:dyDescent="0.25">
      <c r="A58" s="84" t="s">
        <v>230</v>
      </c>
      <c r="B58" s="27">
        <v>42</v>
      </c>
      <c r="C58" s="27">
        <v>71</v>
      </c>
      <c r="D58" s="15">
        <f>SUM(B58:C58)</f>
        <v>113</v>
      </c>
      <c r="E58" s="85">
        <v>1.4</v>
      </c>
      <c r="F58" s="85">
        <v>0.46666666666666667</v>
      </c>
      <c r="G58" s="28">
        <f t="shared" si="0"/>
        <v>1.8666666666666667</v>
      </c>
      <c r="H58" s="85">
        <v>4.1833333333333336</v>
      </c>
      <c r="I58" s="85">
        <v>1.3944444444444446</v>
      </c>
      <c r="J58" s="28">
        <f t="shared" si="1"/>
        <v>5.5777777777777784</v>
      </c>
      <c r="K58" s="28">
        <f t="shared" si="2"/>
        <v>7.4444444444444446</v>
      </c>
      <c r="L58" s="28" t="s">
        <v>302</v>
      </c>
      <c r="M58" s="26"/>
      <c r="N58" s="26" t="s">
        <v>302</v>
      </c>
      <c r="O58" s="172" t="s">
        <v>21</v>
      </c>
      <c r="P58" s="172" t="s">
        <v>311</v>
      </c>
      <c r="Q58" s="26" t="s">
        <v>33</v>
      </c>
      <c r="R58" s="96" t="s">
        <v>32</v>
      </c>
    </row>
    <row r="59" spans="1:18" s="32" customFormat="1" ht="15" x14ac:dyDescent="0.25">
      <c r="A59" s="84" t="s">
        <v>231</v>
      </c>
      <c r="B59" s="27">
        <v>14</v>
      </c>
      <c r="C59" s="27">
        <v>38</v>
      </c>
      <c r="D59" s="15">
        <f t="shared" ref="D59:D66" si="5">SUM(B59:C59)</f>
        <v>52</v>
      </c>
      <c r="E59" s="85">
        <v>0.23333333333333334</v>
      </c>
      <c r="F59" s="85">
        <v>7.7777777777777779E-2</v>
      </c>
      <c r="G59" s="28">
        <f t="shared" si="0"/>
        <v>0.31111111111111112</v>
      </c>
      <c r="H59" s="85">
        <v>2.25</v>
      </c>
      <c r="I59" s="85">
        <v>0.75</v>
      </c>
      <c r="J59" s="28">
        <f t="shared" si="1"/>
        <v>3</v>
      </c>
      <c r="K59" s="28">
        <f t="shared" si="2"/>
        <v>3.3111111111111109</v>
      </c>
      <c r="L59" s="28" t="s">
        <v>302</v>
      </c>
      <c r="M59" s="26"/>
      <c r="N59" s="26" t="s">
        <v>302</v>
      </c>
      <c r="O59" s="172" t="s">
        <v>21</v>
      </c>
      <c r="P59" s="172" t="s">
        <v>311</v>
      </c>
      <c r="Q59" s="26" t="s">
        <v>33</v>
      </c>
      <c r="R59" s="96" t="s">
        <v>32</v>
      </c>
    </row>
    <row r="60" spans="1:18" s="32" customFormat="1" ht="15" x14ac:dyDescent="0.25">
      <c r="A60" s="84" t="s">
        <v>232</v>
      </c>
      <c r="B60" s="27">
        <v>5</v>
      </c>
      <c r="C60" s="27">
        <v>0</v>
      </c>
      <c r="D60" s="15">
        <f t="shared" si="5"/>
        <v>5</v>
      </c>
      <c r="E60" s="85">
        <v>1.25</v>
      </c>
      <c r="F60" s="85">
        <v>1.6666666666666667</v>
      </c>
      <c r="G60" s="28">
        <f t="shared" si="0"/>
        <v>2.916666666666667</v>
      </c>
      <c r="H60" s="85">
        <v>0</v>
      </c>
      <c r="I60" s="85">
        <v>0</v>
      </c>
      <c r="J60" s="28">
        <f t="shared" si="1"/>
        <v>0</v>
      </c>
      <c r="K60" s="28">
        <f t="shared" si="2"/>
        <v>2.916666666666667</v>
      </c>
      <c r="L60" s="28" t="s">
        <v>302</v>
      </c>
      <c r="M60" s="26"/>
      <c r="N60" s="26" t="s">
        <v>302</v>
      </c>
      <c r="O60" s="172" t="s">
        <v>21</v>
      </c>
      <c r="P60" s="172" t="s">
        <v>311</v>
      </c>
      <c r="Q60" s="26" t="s">
        <v>33</v>
      </c>
      <c r="R60" s="96" t="s">
        <v>32</v>
      </c>
    </row>
    <row r="61" spans="1:18" s="32" customFormat="1" ht="15" x14ac:dyDescent="0.25">
      <c r="A61" s="84" t="s">
        <v>233</v>
      </c>
      <c r="B61" s="27">
        <v>51</v>
      </c>
      <c r="C61" s="27">
        <v>114</v>
      </c>
      <c r="D61" s="15">
        <f t="shared" si="5"/>
        <v>165</v>
      </c>
      <c r="E61" s="85">
        <v>51.45</v>
      </c>
      <c r="F61" s="85">
        <v>23.916666666666668</v>
      </c>
      <c r="G61" s="28">
        <f t="shared" si="0"/>
        <v>75.366666666666674</v>
      </c>
      <c r="H61" s="85">
        <v>16.633333333333333</v>
      </c>
      <c r="I61" s="85">
        <v>23.5</v>
      </c>
      <c r="J61" s="28">
        <f t="shared" si="1"/>
        <v>40.133333333333333</v>
      </c>
      <c r="K61" s="28">
        <f t="shared" si="2"/>
        <v>115.5</v>
      </c>
      <c r="L61" s="28" t="s">
        <v>302</v>
      </c>
      <c r="M61" s="26"/>
      <c r="N61" s="26" t="s">
        <v>302</v>
      </c>
      <c r="O61" s="172" t="s">
        <v>21</v>
      </c>
      <c r="P61" s="172" t="s">
        <v>311</v>
      </c>
      <c r="Q61" s="26" t="s">
        <v>33</v>
      </c>
      <c r="R61" s="96" t="s">
        <v>32</v>
      </c>
    </row>
    <row r="62" spans="1:18" s="32" customFormat="1" ht="15" x14ac:dyDescent="0.25">
      <c r="A62" s="84" t="s">
        <v>234</v>
      </c>
      <c r="B62" s="27">
        <v>0</v>
      </c>
      <c r="C62" s="27">
        <v>0</v>
      </c>
      <c r="D62" s="15">
        <f t="shared" si="5"/>
        <v>0</v>
      </c>
      <c r="E62" s="85">
        <v>0</v>
      </c>
      <c r="F62" s="85">
        <v>0</v>
      </c>
      <c r="G62" s="28">
        <f t="shared" si="0"/>
        <v>0</v>
      </c>
      <c r="H62" s="85">
        <v>0</v>
      </c>
      <c r="I62" s="85">
        <v>0</v>
      </c>
      <c r="J62" s="28">
        <f t="shared" si="1"/>
        <v>0</v>
      </c>
      <c r="K62" s="28">
        <f t="shared" si="2"/>
        <v>0</v>
      </c>
      <c r="L62" s="28" t="s">
        <v>302</v>
      </c>
      <c r="M62" s="26"/>
      <c r="N62" s="26" t="s">
        <v>302</v>
      </c>
      <c r="O62" s="172" t="s">
        <v>21</v>
      </c>
      <c r="P62" s="172" t="s">
        <v>311</v>
      </c>
      <c r="Q62" s="26" t="s">
        <v>33</v>
      </c>
      <c r="R62" s="96" t="s">
        <v>32</v>
      </c>
    </row>
    <row r="63" spans="1:18" s="32" customFormat="1" ht="15" x14ac:dyDescent="0.25">
      <c r="A63" s="84" t="s">
        <v>235</v>
      </c>
      <c r="B63" s="27">
        <v>2</v>
      </c>
      <c r="C63" s="27">
        <v>0</v>
      </c>
      <c r="D63" s="15">
        <f t="shared" si="5"/>
        <v>2</v>
      </c>
      <c r="E63" s="85">
        <v>0</v>
      </c>
      <c r="F63" s="85">
        <v>4</v>
      </c>
      <c r="G63" s="28">
        <f t="shared" si="0"/>
        <v>4</v>
      </c>
      <c r="H63" s="85">
        <v>0</v>
      </c>
      <c r="I63" s="85">
        <v>0</v>
      </c>
      <c r="J63" s="28">
        <f t="shared" si="1"/>
        <v>0</v>
      </c>
      <c r="K63" s="28">
        <f t="shared" si="2"/>
        <v>4</v>
      </c>
      <c r="L63" s="28" t="s">
        <v>302</v>
      </c>
      <c r="M63" s="26"/>
      <c r="N63" s="26" t="s">
        <v>302</v>
      </c>
      <c r="O63" s="172" t="s">
        <v>21</v>
      </c>
      <c r="P63" s="172" t="s">
        <v>311</v>
      </c>
      <c r="Q63" s="26" t="s">
        <v>33</v>
      </c>
      <c r="R63" s="96" t="s">
        <v>32</v>
      </c>
    </row>
    <row r="64" spans="1:18" s="32" customFormat="1" ht="15" x14ac:dyDescent="0.25">
      <c r="A64" s="84" t="s">
        <v>236</v>
      </c>
      <c r="B64" s="27">
        <v>68</v>
      </c>
      <c r="C64" s="27">
        <v>21</v>
      </c>
      <c r="D64" s="15">
        <f t="shared" si="5"/>
        <v>89</v>
      </c>
      <c r="E64" s="85">
        <v>46.333333333333336</v>
      </c>
      <c r="F64" s="85">
        <v>44</v>
      </c>
      <c r="G64" s="28">
        <f t="shared" si="0"/>
        <v>90.333333333333343</v>
      </c>
      <c r="H64" s="85">
        <v>7.833333333333333</v>
      </c>
      <c r="I64" s="85">
        <v>7.833333333333333</v>
      </c>
      <c r="J64" s="28">
        <f t="shared" si="1"/>
        <v>15.666666666666666</v>
      </c>
      <c r="K64" s="28">
        <f t="shared" si="2"/>
        <v>106.00000000000001</v>
      </c>
      <c r="L64" s="28" t="s">
        <v>302</v>
      </c>
      <c r="M64" s="26"/>
      <c r="N64" s="26" t="s">
        <v>302</v>
      </c>
      <c r="O64" s="172" t="s">
        <v>21</v>
      </c>
      <c r="P64" s="172" t="s">
        <v>311</v>
      </c>
      <c r="Q64" s="26" t="s">
        <v>33</v>
      </c>
      <c r="R64" s="96" t="s">
        <v>32</v>
      </c>
    </row>
    <row r="65" spans="1:18" s="32" customFormat="1" ht="15" x14ac:dyDescent="0.25">
      <c r="A65" s="84" t="s">
        <v>237</v>
      </c>
      <c r="B65" s="27">
        <v>7</v>
      </c>
      <c r="C65" s="27">
        <v>0</v>
      </c>
      <c r="D65" s="15">
        <f t="shared" si="5"/>
        <v>7</v>
      </c>
      <c r="E65" s="85">
        <v>0.11666666666666667</v>
      </c>
      <c r="F65" s="85">
        <v>2.3333333333333335</v>
      </c>
      <c r="G65" s="28">
        <f t="shared" si="0"/>
        <v>2.4500000000000002</v>
      </c>
      <c r="H65" s="85">
        <v>0</v>
      </c>
      <c r="I65" s="85">
        <v>0</v>
      </c>
      <c r="J65" s="28">
        <f t="shared" si="1"/>
        <v>0</v>
      </c>
      <c r="K65" s="28">
        <f t="shared" si="2"/>
        <v>2.4500000000000002</v>
      </c>
      <c r="L65" s="28" t="s">
        <v>302</v>
      </c>
      <c r="M65" s="26"/>
      <c r="N65" s="26" t="s">
        <v>302</v>
      </c>
      <c r="O65" s="172" t="s">
        <v>21</v>
      </c>
      <c r="P65" s="172" t="s">
        <v>311</v>
      </c>
      <c r="Q65" s="26" t="s">
        <v>33</v>
      </c>
      <c r="R65" s="96" t="s">
        <v>32</v>
      </c>
    </row>
    <row r="66" spans="1:18" s="32" customFormat="1" ht="15" x14ac:dyDescent="0.25">
      <c r="A66" s="84" t="s">
        <v>238</v>
      </c>
      <c r="B66" s="27">
        <v>0</v>
      </c>
      <c r="C66" s="27">
        <v>0</v>
      </c>
      <c r="D66" s="15">
        <f t="shared" si="5"/>
        <v>0</v>
      </c>
      <c r="E66" s="85">
        <v>0</v>
      </c>
      <c r="F66" s="85">
        <v>0</v>
      </c>
      <c r="G66" s="28">
        <f t="shared" si="0"/>
        <v>0</v>
      </c>
      <c r="H66" s="85">
        <v>0</v>
      </c>
      <c r="I66" s="85">
        <v>0</v>
      </c>
      <c r="J66" s="28">
        <f t="shared" si="1"/>
        <v>0</v>
      </c>
      <c r="K66" s="28">
        <f t="shared" si="2"/>
        <v>0</v>
      </c>
      <c r="L66" s="28" t="s">
        <v>302</v>
      </c>
      <c r="M66" s="26"/>
      <c r="N66" s="26" t="s">
        <v>302</v>
      </c>
      <c r="O66" s="172" t="s">
        <v>21</v>
      </c>
      <c r="P66" s="172" t="s">
        <v>311</v>
      </c>
      <c r="Q66" s="26" t="s">
        <v>33</v>
      </c>
      <c r="R66" s="96" t="s">
        <v>32</v>
      </c>
    </row>
    <row r="67" spans="1:18" s="40" customFormat="1" ht="15" x14ac:dyDescent="0.25">
      <c r="A67" s="55" t="s">
        <v>230</v>
      </c>
      <c r="B67" s="38">
        <v>42</v>
      </c>
      <c r="C67" s="38">
        <v>71</v>
      </c>
      <c r="D67" s="35">
        <f>SUM(B67:C67)</f>
        <v>113</v>
      </c>
      <c r="E67" s="56">
        <v>1.4</v>
      </c>
      <c r="F67" s="56">
        <v>0.7</v>
      </c>
      <c r="G67" s="36">
        <f t="shared" si="0"/>
        <v>2.0999999999999996</v>
      </c>
      <c r="H67" s="56">
        <v>18.833333333333332</v>
      </c>
      <c r="I67" s="56">
        <v>9.4166666666666661</v>
      </c>
      <c r="J67" s="36">
        <f t="shared" si="1"/>
        <v>28.25</v>
      </c>
      <c r="K67" s="36">
        <f t="shared" si="2"/>
        <v>30.35</v>
      </c>
      <c r="L67" s="36" t="s">
        <v>307</v>
      </c>
      <c r="M67" s="39" t="s">
        <v>26</v>
      </c>
      <c r="N67" s="39" t="s">
        <v>302</v>
      </c>
      <c r="O67" s="173" t="s">
        <v>21</v>
      </c>
      <c r="P67" s="173" t="s">
        <v>311</v>
      </c>
      <c r="Q67" s="39" t="s">
        <v>33</v>
      </c>
      <c r="R67" s="95" t="s">
        <v>32</v>
      </c>
    </row>
    <row r="68" spans="1:18" s="40" customFormat="1" ht="15" x14ac:dyDescent="0.25">
      <c r="A68" s="55" t="s">
        <v>231</v>
      </c>
      <c r="B68" s="38">
        <v>14</v>
      </c>
      <c r="C68" s="38">
        <v>38</v>
      </c>
      <c r="D68" s="35">
        <f t="shared" ref="D68:D75" si="6">SUM(B68:C68)</f>
        <v>52</v>
      </c>
      <c r="E68" s="56">
        <v>0.23333333333333334</v>
      </c>
      <c r="F68" s="56">
        <v>0.11666666666666667</v>
      </c>
      <c r="G68" s="36">
        <f t="shared" si="0"/>
        <v>0.35</v>
      </c>
      <c r="H68" s="56">
        <v>10.25</v>
      </c>
      <c r="I68" s="56">
        <v>5.125</v>
      </c>
      <c r="J68" s="36">
        <f t="shared" si="1"/>
        <v>15.375</v>
      </c>
      <c r="K68" s="36">
        <f t="shared" si="2"/>
        <v>15.725</v>
      </c>
      <c r="L68" s="36" t="s">
        <v>307</v>
      </c>
      <c r="M68" s="39" t="s">
        <v>26</v>
      </c>
      <c r="N68" s="39" t="s">
        <v>302</v>
      </c>
      <c r="O68" s="173" t="s">
        <v>21</v>
      </c>
      <c r="P68" s="173" t="s">
        <v>311</v>
      </c>
      <c r="Q68" s="39" t="s">
        <v>33</v>
      </c>
      <c r="R68" s="95" t="s">
        <v>32</v>
      </c>
    </row>
    <row r="69" spans="1:18" s="40" customFormat="1" ht="15" x14ac:dyDescent="0.25">
      <c r="A69" s="55" t="s">
        <v>232</v>
      </c>
      <c r="B69" s="38">
        <v>5</v>
      </c>
      <c r="C69" s="38">
        <v>0</v>
      </c>
      <c r="D69" s="35">
        <f t="shared" si="6"/>
        <v>5</v>
      </c>
      <c r="E69" s="56">
        <v>1.25</v>
      </c>
      <c r="F69" s="56">
        <v>1.6666666666666667</v>
      </c>
      <c r="G69" s="36">
        <f t="shared" ref="G69:G132" si="7">E69+F69</f>
        <v>2.916666666666667</v>
      </c>
      <c r="H69" s="56">
        <v>0</v>
      </c>
      <c r="I69" s="56">
        <v>0</v>
      </c>
      <c r="J69" s="36">
        <f t="shared" ref="J69:J132" si="8">H69+I69</f>
        <v>0</v>
      </c>
      <c r="K69" s="36">
        <f t="shared" ref="K69:K132" si="9">G69+J69</f>
        <v>2.916666666666667</v>
      </c>
      <c r="L69" s="36" t="s">
        <v>307</v>
      </c>
      <c r="M69" s="39" t="s">
        <v>26</v>
      </c>
      <c r="N69" s="39" t="s">
        <v>302</v>
      </c>
      <c r="O69" s="173" t="s">
        <v>21</v>
      </c>
      <c r="P69" s="173" t="s">
        <v>311</v>
      </c>
      <c r="Q69" s="39" t="s">
        <v>33</v>
      </c>
      <c r="R69" s="95" t="s">
        <v>32</v>
      </c>
    </row>
    <row r="70" spans="1:18" s="40" customFormat="1" ht="15" x14ac:dyDescent="0.25">
      <c r="A70" s="55" t="s">
        <v>233</v>
      </c>
      <c r="B70" s="38">
        <v>51</v>
      </c>
      <c r="C70" s="38">
        <v>114</v>
      </c>
      <c r="D70" s="35">
        <f t="shared" si="6"/>
        <v>165</v>
      </c>
      <c r="E70" s="56">
        <v>51.45</v>
      </c>
      <c r="F70" s="56">
        <v>23.916666666666668</v>
      </c>
      <c r="G70" s="36">
        <f t="shared" si="7"/>
        <v>75.366666666666674</v>
      </c>
      <c r="H70" s="56">
        <v>16.633333333333333</v>
      </c>
      <c r="I70" s="56">
        <v>23.5</v>
      </c>
      <c r="J70" s="36">
        <f t="shared" si="8"/>
        <v>40.133333333333333</v>
      </c>
      <c r="K70" s="36">
        <f t="shared" si="9"/>
        <v>115.5</v>
      </c>
      <c r="L70" s="36" t="s">
        <v>307</v>
      </c>
      <c r="M70" s="39" t="s">
        <v>26</v>
      </c>
      <c r="N70" s="39" t="s">
        <v>302</v>
      </c>
      <c r="O70" s="173" t="s">
        <v>21</v>
      </c>
      <c r="P70" s="173" t="s">
        <v>311</v>
      </c>
      <c r="Q70" s="39" t="s">
        <v>33</v>
      </c>
      <c r="R70" s="95" t="s">
        <v>32</v>
      </c>
    </row>
    <row r="71" spans="1:18" s="40" customFormat="1" ht="15" x14ac:dyDescent="0.25">
      <c r="A71" s="55" t="s">
        <v>234</v>
      </c>
      <c r="B71" s="38">
        <v>0</v>
      </c>
      <c r="C71" s="38">
        <v>0</v>
      </c>
      <c r="D71" s="35">
        <f t="shared" si="6"/>
        <v>0</v>
      </c>
      <c r="E71" s="56">
        <v>0</v>
      </c>
      <c r="F71" s="56">
        <v>0</v>
      </c>
      <c r="G71" s="36">
        <f t="shared" si="7"/>
        <v>0</v>
      </c>
      <c r="H71" s="56">
        <v>0</v>
      </c>
      <c r="I71" s="56">
        <v>0</v>
      </c>
      <c r="J71" s="36">
        <f t="shared" si="8"/>
        <v>0</v>
      </c>
      <c r="K71" s="36">
        <f t="shared" si="9"/>
        <v>0</v>
      </c>
      <c r="L71" s="36" t="s">
        <v>307</v>
      </c>
      <c r="M71" s="39" t="s">
        <v>26</v>
      </c>
      <c r="N71" s="39" t="s">
        <v>302</v>
      </c>
      <c r="O71" s="173" t="s">
        <v>21</v>
      </c>
      <c r="P71" s="173" t="s">
        <v>311</v>
      </c>
      <c r="Q71" s="39" t="s">
        <v>33</v>
      </c>
      <c r="R71" s="95" t="s">
        <v>32</v>
      </c>
    </row>
    <row r="72" spans="1:18" s="40" customFormat="1" ht="15" x14ac:dyDescent="0.25">
      <c r="A72" s="55" t="s">
        <v>235</v>
      </c>
      <c r="B72" s="38">
        <v>2</v>
      </c>
      <c r="C72" s="38">
        <v>0</v>
      </c>
      <c r="D72" s="35">
        <f t="shared" si="6"/>
        <v>2</v>
      </c>
      <c r="E72" s="56">
        <v>0</v>
      </c>
      <c r="F72" s="56">
        <v>4</v>
      </c>
      <c r="G72" s="36">
        <f t="shared" si="7"/>
        <v>4</v>
      </c>
      <c r="H72" s="56">
        <v>0</v>
      </c>
      <c r="I72" s="56">
        <v>0</v>
      </c>
      <c r="J72" s="36">
        <f t="shared" si="8"/>
        <v>0</v>
      </c>
      <c r="K72" s="36">
        <f t="shared" si="9"/>
        <v>4</v>
      </c>
      <c r="L72" s="36" t="s">
        <v>307</v>
      </c>
      <c r="M72" s="39" t="s">
        <v>26</v>
      </c>
      <c r="N72" s="39" t="s">
        <v>302</v>
      </c>
      <c r="O72" s="173" t="s">
        <v>21</v>
      </c>
      <c r="P72" s="173" t="s">
        <v>311</v>
      </c>
      <c r="Q72" s="39" t="s">
        <v>33</v>
      </c>
      <c r="R72" s="95" t="s">
        <v>32</v>
      </c>
    </row>
    <row r="73" spans="1:18" s="40" customFormat="1" ht="15" x14ac:dyDescent="0.25">
      <c r="A73" s="55" t="s">
        <v>236</v>
      </c>
      <c r="B73" s="38">
        <v>68</v>
      </c>
      <c r="C73" s="38">
        <v>21</v>
      </c>
      <c r="D73" s="35">
        <f t="shared" si="6"/>
        <v>89</v>
      </c>
      <c r="E73" s="56">
        <v>46.333333333333336</v>
      </c>
      <c r="F73" s="56">
        <v>44</v>
      </c>
      <c r="G73" s="36">
        <f t="shared" si="7"/>
        <v>90.333333333333343</v>
      </c>
      <c r="H73" s="56">
        <v>7.833333333333333</v>
      </c>
      <c r="I73" s="56">
        <v>7.833333333333333</v>
      </c>
      <c r="J73" s="36">
        <f t="shared" si="8"/>
        <v>15.666666666666666</v>
      </c>
      <c r="K73" s="36">
        <f t="shared" si="9"/>
        <v>106.00000000000001</v>
      </c>
      <c r="L73" s="36" t="s">
        <v>307</v>
      </c>
      <c r="M73" s="39" t="s">
        <v>26</v>
      </c>
      <c r="N73" s="39" t="s">
        <v>302</v>
      </c>
      <c r="O73" s="173" t="s">
        <v>21</v>
      </c>
      <c r="P73" s="173" t="s">
        <v>311</v>
      </c>
      <c r="Q73" s="39" t="s">
        <v>33</v>
      </c>
      <c r="R73" s="95" t="s">
        <v>32</v>
      </c>
    </row>
    <row r="74" spans="1:18" s="40" customFormat="1" ht="15" x14ac:dyDescent="0.25">
      <c r="A74" s="55" t="s">
        <v>237</v>
      </c>
      <c r="B74" s="38">
        <v>7</v>
      </c>
      <c r="C74" s="38">
        <v>0</v>
      </c>
      <c r="D74" s="35">
        <f t="shared" si="6"/>
        <v>7</v>
      </c>
      <c r="E74" s="56">
        <v>0.11666666666666667</v>
      </c>
      <c r="F74" s="56">
        <v>2.3333333333333335</v>
      </c>
      <c r="G74" s="36">
        <f t="shared" si="7"/>
        <v>2.4500000000000002</v>
      </c>
      <c r="H74" s="56">
        <v>0</v>
      </c>
      <c r="I74" s="56">
        <v>0</v>
      </c>
      <c r="J74" s="36">
        <f t="shared" si="8"/>
        <v>0</v>
      </c>
      <c r="K74" s="36">
        <f t="shared" si="9"/>
        <v>2.4500000000000002</v>
      </c>
      <c r="L74" s="36" t="s">
        <v>307</v>
      </c>
      <c r="M74" s="39" t="s">
        <v>26</v>
      </c>
      <c r="N74" s="39" t="s">
        <v>302</v>
      </c>
      <c r="O74" s="173" t="s">
        <v>21</v>
      </c>
      <c r="P74" s="173" t="s">
        <v>311</v>
      </c>
      <c r="Q74" s="39" t="s">
        <v>33</v>
      </c>
      <c r="R74" s="95" t="s">
        <v>32</v>
      </c>
    </row>
    <row r="75" spans="1:18" s="40" customFormat="1" ht="15" x14ac:dyDescent="0.25">
      <c r="A75" s="55" t="s">
        <v>238</v>
      </c>
      <c r="B75" s="38">
        <v>0</v>
      </c>
      <c r="C75" s="38">
        <v>0</v>
      </c>
      <c r="D75" s="35">
        <f t="shared" si="6"/>
        <v>0</v>
      </c>
      <c r="E75" s="56">
        <v>0</v>
      </c>
      <c r="F75" s="56">
        <v>0</v>
      </c>
      <c r="G75" s="36">
        <f t="shared" si="7"/>
        <v>0</v>
      </c>
      <c r="H75" s="56">
        <v>0</v>
      </c>
      <c r="I75" s="56">
        <v>0</v>
      </c>
      <c r="J75" s="36">
        <f t="shared" si="8"/>
        <v>0</v>
      </c>
      <c r="K75" s="36">
        <f t="shared" si="9"/>
        <v>0</v>
      </c>
      <c r="L75" s="36" t="s">
        <v>307</v>
      </c>
      <c r="M75" s="39" t="s">
        <v>26</v>
      </c>
      <c r="N75" s="39" t="s">
        <v>302</v>
      </c>
      <c r="O75" s="173" t="s">
        <v>21</v>
      </c>
      <c r="P75" s="173" t="s">
        <v>311</v>
      </c>
      <c r="Q75" s="39" t="s">
        <v>33</v>
      </c>
      <c r="R75" s="95" t="s">
        <v>32</v>
      </c>
    </row>
    <row r="76" spans="1:18" s="32" customFormat="1" ht="15" x14ac:dyDescent="0.25">
      <c r="A76" s="84" t="s">
        <v>230</v>
      </c>
      <c r="B76" s="27">
        <v>13</v>
      </c>
      <c r="C76" s="27">
        <v>330</v>
      </c>
      <c r="D76" s="15">
        <f>SUM(B76:C76)</f>
        <v>343</v>
      </c>
      <c r="E76" s="85">
        <v>0.43333333333333335</v>
      </c>
      <c r="F76" s="85">
        <v>0.14444444444444443</v>
      </c>
      <c r="G76" s="28">
        <f t="shared" si="7"/>
        <v>0.57777777777777772</v>
      </c>
      <c r="H76" s="85">
        <v>17.433333333333334</v>
      </c>
      <c r="I76" s="85">
        <v>5.8111111111111118</v>
      </c>
      <c r="J76" s="28">
        <f t="shared" si="8"/>
        <v>23.244444444444447</v>
      </c>
      <c r="K76" s="28">
        <f t="shared" si="9"/>
        <v>23.822222222222226</v>
      </c>
      <c r="L76" s="28" t="s">
        <v>302</v>
      </c>
      <c r="M76" s="26"/>
      <c r="N76" s="26" t="s">
        <v>302</v>
      </c>
      <c r="O76" s="172" t="s">
        <v>21</v>
      </c>
      <c r="P76" s="172" t="s">
        <v>311</v>
      </c>
      <c r="Q76" s="26" t="s">
        <v>34</v>
      </c>
      <c r="R76" s="96" t="s">
        <v>35</v>
      </c>
    </row>
    <row r="77" spans="1:18" s="32" customFormat="1" ht="15" x14ac:dyDescent="0.25">
      <c r="A77" s="84" t="s">
        <v>231</v>
      </c>
      <c r="B77" s="27">
        <v>32</v>
      </c>
      <c r="C77" s="27">
        <v>104</v>
      </c>
      <c r="D77" s="15">
        <f t="shared" ref="D77:D84" si="10">SUM(B77:C77)</f>
        <v>136</v>
      </c>
      <c r="E77" s="85">
        <v>0.53333333333333333</v>
      </c>
      <c r="F77" s="85">
        <v>0.17777777777777776</v>
      </c>
      <c r="G77" s="28">
        <f t="shared" si="7"/>
        <v>0.71111111111111103</v>
      </c>
      <c r="H77" s="85">
        <v>6.55</v>
      </c>
      <c r="I77" s="85">
        <v>2.1833333333333331</v>
      </c>
      <c r="J77" s="28">
        <f t="shared" si="8"/>
        <v>8.7333333333333325</v>
      </c>
      <c r="K77" s="28">
        <f t="shared" si="9"/>
        <v>9.4444444444444429</v>
      </c>
      <c r="L77" s="28" t="s">
        <v>302</v>
      </c>
      <c r="M77" s="26"/>
      <c r="N77" s="26" t="s">
        <v>302</v>
      </c>
      <c r="O77" s="172" t="s">
        <v>21</v>
      </c>
      <c r="P77" s="172" t="s">
        <v>311</v>
      </c>
      <c r="Q77" s="26" t="s">
        <v>34</v>
      </c>
      <c r="R77" s="96" t="s">
        <v>35</v>
      </c>
    </row>
    <row r="78" spans="1:18" s="32" customFormat="1" ht="15" x14ac:dyDescent="0.25">
      <c r="A78" s="84" t="s">
        <v>232</v>
      </c>
      <c r="B78" s="27">
        <v>11</v>
      </c>
      <c r="C78" s="27">
        <v>0</v>
      </c>
      <c r="D78" s="15">
        <f t="shared" si="10"/>
        <v>11</v>
      </c>
      <c r="E78" s="85">
        <v>4.333333333333333</v>
      </c>
      <c r="F78" s="85">
        <v>3.6666666666666665</v>
      </c>
      <c r="G78" s="28">
        <f t="shared" si="7"/>
        <v>8</v>
      </c>
      <c r="H78" s="85">
        <v>0</v>
      </c>
      <c r="I78" s="85">
        <v>0</v>
      </c>
      <c r="J78" s="28">
        <f t="shared" si="8"/>
        <v>0</v>
      </c>
      <c r="K78" s="28">
        <f t="shared" si="9"/>
        <v>8</v>
      </c>
      <c r="L78" s="28" t="s">
        <v>302</v>
      </c>
      <c r="M78" s="26"/>
      <c r="N78" s="26" t="s">
        <v>302</v>
      </c>
      <c r="O78" s="172" t="s">
        <v>21</v>
      </c>
      <c r="P78" s="172" t="s">
        <v>311</v>
      </c>
      <c r="Q78" s="26" t="s">
        <v>34</v>
      </c>
      <c r="R78" s="96" t="s">
        <v>35</v>
      </c>
    </row>
    <row r="79" spans="1:18" s="32" customFormat="1" ht="15" x14ac:dyDescent="0.25">
      <c r="A79" s="84" t="s">
        <v>233</v>
      </c>
      <c r="B79" s="27">
        <v>13</v>
      </c>
      <c r="C79" s="27">
        <v>156</v>
      </c>
      <c r="D79" s="15">
        <f t="shared" si="10"/>
        <v>169</v>
      </c>
      <c r="E79" s="85">
        <v>2.8166666666666669</v>
      </c>
      <c r="F79" s="85">
        <v>4.75</v>
      </c>
      <c r="G79" s="28">
        <f t="shared" si="7"/>
        <v>7.5666666666666664</v>
      </c>
      <c r="H79" s="85">
        <v>18.433333333333334</v>
      </c>
      <c r="I79" s="85">
        <v>27.833333333333332</v>
      </c>
      <c r="J79" s="28">
        <f t="shared" si="8"/>
        <v>46.266666666666666</v>
      </c>
      <c r="K79" s="28">
        <f t="shared" si="9"/>
        <v>53.833333333333329</v>
      </c>
      <c r="L79" s="28" t="s">
        <v>302</v>
      </c>
      <c r="M79" s="26"/>
      <c r="N79" s="26" t="s">
        <v>302</v>
      </c>
      <c r="O79" s="172" t="s">
        <v>21</v>
      </c>
      <c r="P79" s="172" t="s">
        <v>311</v>
      </c>
      <c r="Q79" s="26" t="s">
        <v>34</v>
      </c>
      <c r="R79" s="96" t="s">
        <v>35</v>
      </c>
    </row>
    <row r="80" spans="1:18" s="32" customFormat="1" ht="15" x14ac:dyDescent="0.25">
      <c r="A80" s="84" t="s">
        <v>234</v>
      </c>
      <c r="B80" s="27">
        <v>2</v>
      </c>
      <c r="C80" s="27">
        <v>0</v>
      </c>
      <c r="D80" s="15">
        <f t="shared" si="10"/>
        <v>2</v>
      </c>
      <c r="E80" s="85">
        <v>0.16666666666666666</v>
      </c>
      <c r="F80" s="85">
        <v>0.16666666666666666</v>
      </c>
      <c r="G80" s="28">
        <f t="shared" si="7"/>
        <v>0.33333333333333331</v>
      </c>
      <c r="H80" s="85">
        <v>0</v>
      </c>
      <c r="I80" s="85">
        <v>0</v>
      </c>
      <c r="J80" s="28">
        <f t="shared" si="8"/>
        <v>0</v>
      </c>
      <c r="K80" s="28">
        <f t="shared" si="9"/>
        <v>0.33333333333333331</v>
      </c>
      <c r="L80" s="28" t="s">
        <v>302</v>
      </c>
      <c r="M80" s="26"/>
      <c r="N80" s="26" t="s">
        <v>302</v>
      </c>
      <c r="O80" s="172" t="s">
        <v>21</v>
      </c>
      <c r="P80" s="172" t="s">
        <v>311</v>
      </c>
      <c r="Q80" s="26" t="s">
        <v>34</v>
      </c>
      <c r="R80" s="96" t="s">
        <v>35</v>
      </c>
    </row>
    <row r="81" spans="1:18" s="32" customFormat="1" ht="15" x14ac:dyDescent="0.25">
      <c r="A81" s="84" t="s">
        <v>235</v>
      </c>
      <c r="B81" s="27">
        <v>2</v>
      </c>
      <c r="C81" s="27">
        <v>0</v>
      </c>
      <c r="D81" s="15">
        <f t="shared" si="10"/>
        <v>2</v>
      </c>
      <c r="E81" s="85">
        <v>0.33333333333333331</v>
      </c>
      <c r="F81" s="85">
        <v>4</v>
      </c>
      <c r="G81" s="28">
        <f t="shared" si="7"/>
        <v>4.333333333333333</v>
      </c>
      <c r="H81" s="85">
        <v>0</v>
      </c>
      <c r="I81" s="85">
        <v>0</v>
      </c>
      <c r="J81" s="28">
        <f t="shared" si="8"/>
        <v>0</v>
      </c>
      <c r="K81" s="28">
        <f t="shared" si="9"/>
        <v>4.333333333333333</v>
      </c>
      <c r="L81" s="28" t="s">
        <v>302</v>
      </c>
      <c r="M81" s="26"/>
      <c r="N81" s="26" t="s">
        <v>302</v>
      </c>
      <c r="O81" s="172" t="s">
        <v>21</v>
      </c>
      <c r="P81" s="172" t="s">
        <v>311</v>
      </c>
      <c r="Q81" s="26" t="s">
        <v>34</v>
      </c>
      <c r="R81" s="96" t="s">
        <v>35</v>
      </c>
    </row>
    <row r="82" spans="1:18" s="32" customFormat="1" ht="15" x14ac:dyDescent="0.25">
      <c r="A82" s="84" t="s">
        <v>236</v>
      </c>
      <c r="B82" s="27">
        <v>25</v>
      </c>
      <c r="C82" s="27">
        <v>148</v>
      </c>
      <c r="D82" s="15">
        <f t="shared" si="10"/>
        <v>173</v>
      </c>
      <c r="E82" s="85">
        <v>35.583333333333336</v>
      </c>
      <c r="F82" s="85">
        <v>29.333333333333332</v>
      </c>
      <c r="G82" s="28">
        <f t="shared" si="7"/>
        <v>64.916666666666671</v>
      </c>
      <c r="H82" s="85">
        <v>27.666666666666668</v>
      </c>
      <c r="I82" s="85">
        <v>27.666666666666668</v>
      </c>
      <c r="J82" s="28">
        <f t="shared" si="8"/>
        <v>55.333333333333336</v>
      </c>
      <c r="K82" s="28">
        <f t="shared" si="9"/>
        <v>120.25</v>
      </c>
      <c r="L82" s="28" t="s">
        <v>302</v>
      </c>
      <c r="M82" s="26"/>
      <c r="N82" s="26" t="s">
        <v>302</v>
      </c>
      <c r="O82" s="172" t="s">
        <v>21</v>
      </c>
      <c r="P82" s="172" t="s">
        <v>311</v>
      </c>
      <c r="Q82" s="26" t="s">
        <v>34</v>
      </c>
      <c r="R82" s="96" t="s">
        <v>35</v>
      </c>
    </row>
    <row r="83" spans="1:18" s="32" customFormat="1" ht="15" x14ac:dyDescent="0.25">
      <c r="A83" s="84" t="s">
        <v>237</v>
      </c>
      <c r="B83" s="27">
        <v>7</v>
      </c>
      <c r="C83" s="27">
        <v>5</v>
      </c>
      <c r="D83" s="15">
        <f t="shared" si="10"/>
        <v>12</v>
      </c>
      <c r="E83" s="85">
        <v>0.11666666666666667</v>
      </c>
      <c r="F83" s="85">
        <v>2.3333333333333335</v>
      </c>
      <c r="G83" s="28">
        <f t="shared" si="7"/>
        <v>2.4500000000000002</v>
      </c>
      <c r="H83" s="85">
        <v>0.25</v>
      </c>
      <c r="I83" s="85">
        <v>0.83333333333333337</v>
      </c>
      <c r="J83" s="28">
        <f t="shared" si="8"/>
        <v>1.0833333333333335</v>
      </c>
      <c r="K83" s="28">
        <f t="shared" si="9"/>
        <v>3.5333333333333337</v>
      </c>
      <c r="L83" s="28" t="s">
        <v>302</v>
      </c>
      <c r="M83" s="26"/>
      <c r="N83" s="26" t="s">
        <v>302</v>
      </c>
      <c r="O83" s="172" t="s">
        <v>21</v>
      </c>
      <c r="P83" s="172" t="s">
        <v>311</v>
      </c>
      <c r="Q83" s="26" t="s">
        <v>34</v>
      </c>
      <c r="R83" s="96" t="s">
        <v>35</v>
      </c>
    </row>
    <row r="84" spans="1:18" s="32" customFormat="1" ht="15" x14ac:dyDescent="0.25">
      <c r="A84" s="84" t="s">
        <v>238</v>
      </c>
      <c r="B84" s="27">
        <v>0</v>
      </c>
      <c r="C84" s="27">
        <v>0</v>
      </c>
      <c r="D84" s="15">
        <f t="shared" si="10"/>
        <v>0</v>
      </c>
      <c r="E84" s="85">
        <v>0</v>
      </c>
      <c r="F84" s="85">
        <v>0</v>
      </c>
      <c r="G84" s="28">
        <f t="shared" si="7"/>
        <v>0</v>
      </c>
      <c r="H84" s="85">
        <v>0</v>
      </c>
      <c r="I84" s="85">
        <v>0</v>
      </c>
      <c r="J84" s="28">
        <f t="shared" si="8"/>
        <v>0</v>
      </c>
      <c r="K84" s="28">
        <f t="shared" si="9"/>
        <v>0</v>
      </c>
      <c r="L84" s="28" t="s">
        <v>302</v>
      </c>
      <c r="M84" s="26"/>
      <c r="N84" s="26" t="s">
        <v>302</v>
      </c>
      <c r="O84" s="172" t="s">
        <v>21</v>
      </c>
      <c r="P84" s="172" t="s">
        <v>311</v>
      </c>
      <c r="Q84" s="26" t="s">
        <v>34</v>
      </c>
      <c r="R84" s="96" t="s">
        <v>35</v>
      </c>
    </row>
    <row r="85" spans="1:18" s="40" customFormat="1" ht="15" x14ac:dyDescent="0.25">
      <c r="A85" s="55" t="s">
        <v>230</v>
      </c>
      <c r="B85" s="38">
        <v>13</v>
      </c>
      <c r="C85" s="38">
        <v>330</v>
      </c>
      <c r="D85" s="35">
        <f>SUM(B85:C85)</f>
        <v>343</v>
      </c>
      <c r="E85" s="56">
        <v>0.43333333333333335</v>
      </c>
      <c r="F85" s="56">
        <v>0.21666666666666667</v>
      </c>
      <c r="G85" s="36">
        <f t="shared" si="7"/>
        <v>0.65</v>
      </c>
      <c r="H85" s="56">
        <v>84.583333333333329</v>
      </c>
      <c r="I85" s="56">
        <v>42.291666666666664</v>
      </c>
      <c r="J85" s="36">
        <f t="shared" si="8"/>
        <v>126.875</v>
      </c>
      <c r="K85" s="36">
        <f t="shared" si="9"/>
        <v>127.52500000000001</v>
      </c>
      <c r="L85" s="36" t="s">
        <v>307</v>
      </c>
      <c r="M85" s="39" t="s">
        <v>26</v>
      </c>
      <c r="N85" s="39" t="s">
        <v>302</v>
      </c>
      <c r="O85" s="173" t="s">
        <v>21</v>
      </c>
      <c r="P85" s="173" t="s">
        <v>311</v>
      </c>
      <c r="Q85" s="39" t="s">
        <v>34</v>
      </c>
      <c r="R85" s="54" t="s">
        <v>35</v>
      </c>
    </row>
    <row r="86" spans="1:18" s="40" customFormat="1" ht="15" x14ac:dyDescent="0.25">
      <c r="A86" s="55" t="s">
        <v>231</v>
      </c>
      <c r="B86" s="38">
        <v>32</v>
      </c>
      <c r="C86" s="38">
        <v>104</v>
      </c>
      <c r="D86" s="35">
        <f t="shared" ref="D86:D93" si="11">SUM(B86:C86)</f>
        <v>136</v>
      </c>
      <c r="E86" s="56">
        <v>0.53333333333333333</v>
      </c>
      <c r="F86" s="56">
        <v>0.26666666666666666</v>
      </c>
      <c r="G86" s="36">
        <f t="shared" si="7"/>
        <v>0.8</v>
      </c>
      <c r="H86" s="56">
        <v>29.25</v>
      </c>
      <c r="I86" s="56">
        <v>14.625</v>
      </c>
      <c r="J86" s="36">
        <f t="shared" si="8"/>
        <v>43.875</v>
      </c>
      <c r="K86" s="36">
        <f t="shared" si="9"/>
        <v>44.674999999999997</v>
      </c>
      <c r="L86" s="36" t="s">
        <v>307</v>
      </c>
      <c r="M86" s="39" t="s">
        <v>26</v>
      </c>
      <c r="N86" s="39" t="s">
        <v>302</v>
      </c>
      <c r="O86" s="173" t="s">
        <v>21</v>
      </c>
      <c r="P86" s="173" t="s">
        <v>311</v>
      </c>
      <c r="Q86" s="39" t="s">
        <v>34</v>
      </c>
      <c r="R86" s="54" t="s">
        <v>35</v>
      </c>
    </row>
    <row r="87" spans="1:18" s="40" customFormat="1" ht="15" x14ac:dyDescent="0.25">
      <c r="A87" s="55" t="s">
        <v>232</v>
      </c>
      <c r="B87" s="38">
        <v>11</v>
      </c>
      <c r="C87" s="38">
        <v>0</v>
      </c>
      <c r="D87" s="35">
        <f t="shared" si="11"/>
        <v>11</v>
      </c>
      <c r="E87" s="56">
        <v>4.333333333333333</v>
      </c>
      <c r="F87" s="56">
        <v>3.6666666666666665</v>
      </c>
      <c r="G87" s="36">
        <f t="shared" si="7"/>
        <v>8</v>
      </c>
      <c r="H87" s="56">
        <v>0</v>
      </c>
      <c r="I87" s="56">
        <v>0</v>
      </c>
      <c r="J87" s="36">
        <f t="shared" si="8"/>
        <v>0</v>
      </c>
      <c r="K87" s="36">
        <f t="shared" si="9"/>
        <v>8</v>
      </c>
      <c r="L87" s="36" t="s">
        <v>307</v>
      </c>
      <c r="M87" s="39" t="s">
        <v>26</v>
      </c>
      <c r="N87" s="39" t="s">
        <v>302</v>
      </c>
      <c r="O87" s="173" t="s">
        <v>21</v>
      </c>
      <c r="P87" s="173" t="s">
        <v>311</v>
      </c>
      <c r="Q87" s="39" t="s">
        <v>34</v>
      </c>
      <c r="R87" s="54" t="s">
        <v>35</v>
      </c>
    </row>
    <row r="88" spans="1:18" s="40" customFormat="1" ht="15" x14ac:dyDescent="0.25">
      <c r="A88" s="55" t="s">
        <v>233</v>
      </c>
      <c r="B88" s="38">
        <v>13</v>
      </c>
      <c r="C88" s="38">
        <v>156</v>
      </c>
      <c r="D88" s="35">
        <f t="shared" si="11"/>
        <v>169</v>
      </c>
      <c r="E88" s="56">
        <v>2.8166666666666669</v>
      </c>
      <c r="F88" s="56">
        <v>4.75</v>
      </c>
      <c r="G88" s="36">
        <f t="shared" si="7"/>
        <v>7.5666666666666664</v>
      </c>
      <c r="H88" s="56">
        <v>18.433333333333334</v>
      </c>
      <c r="I88" s="56">
        <v>27.833333333333332</v>
      </c>
      <c r="J88" s="36">
        <f t="shared" si="8"/>
        <v>46.266666666666666</v>
      </c>
      <c r="K88" s="36">
        <f t="shared" si="9"/>
        <v>53.833333333333329</v>
      </c>
      <c r="L88" s="36" t="s">
        <v>307</v>
      </c>
      <c r="M88" s="39" t="s">
        <v>26</v>
      </c>
      <c r="N88" s="39" t="s">
        <v>302</v>
      </c>
      <c r="O88" s="173" t="s">
        <v>21</v>
      </c>
      <c r="P88" s="173" t="s">
        <v>311</v>
      </c>
      <c r="Q88" s="39" t="s">
        <v>34</v>
      </c>
      <c r="R88" s="54" t="s">
        <v>35</v>
      </c>
    </row>
    <row r="89" spans="1:18" s="40" customFormat="1" ht="15" x14ac:dyDescent="0.25">
      <c r="A89" s="55" t="s">
        <v>234</v>
      </c>
      <c r="B89" s="38">
        <v>2</v>
      </c>
      <c r="C89" s="38">
        <v>0</v>
      </c>
      <c r="D89" s="35">
        <f t="shared" si="11"/>
        <v>2</v>
      </c>
      <c r="E89" s="56">
        <v>0.16666666666666666</v>
      </c>
      <c r="F89" s="56">
        <v>0.16666666666666666</v>
      </c>
      <c r="G89" s="36">
        <f t="shared" si="7"/>
        <v>0.33333333333333331</v>
      </c>
      <c r="H89" s="56">
        <v>0</v>
      </c>
      <c r="I89" s="56">
        <v>0</v>
      </c>
      <c r="J89" s="36">
        <f t="shared" si="8"/>
        <v>0</v>
      </c>
      <c r="K89" s="36">
        <f t="shared" si="9"/>
        <v>0.33333333333333331</v>
      </c>
      <c r="L89" s="36" t="s">
        <v>307</v>
      </c>
      <c r="M89" s="39" t="s">
        <v>26</v>
      </c>
      <c r="N89" s="39" t="s">
        <v>302</v>
      </c>
      <c r="O89" s="173" t="s">
        <v>21</v>
      </c>
      <c r="P89" s="173" t="s">
        <v>311</v>
      </c>
      <c r="Q89" s="39" t="s">
        <v>34</v>
      </c>
      <c r="R89" s="54" t="s">
        <v>35</v>
      </c>
    </row>
    <row r="90" spans="1:18" s="40" customFormat="1" ht="15" x14ac:dyDescent="0.25">
      <c r="A90" s="55" t="s">
        <v>235</v>
      </c>
      <c r="B90" s="38">
        <v>2</v>
      </c>
      <c r="C90" s="38">
        <v>0</v>
      </c>
      <c r="D90" s="35">
        <f t="shared" si="11"/>
        <v>2</v>
      </c>
      <c r="E90" s="56">
        <v>0.33333333333333331</v>
      </c>
      <c r="F90" s="56">
        <v>4</v>
      </c>
      <c r="G90" s="36">
        <f t="shared" si="7"/>
        <v>4.333333333333333</v>
      </c>
      <c r="H90" s="56">
        <v>0</v>
      </c>
      <c r="I90" s="56">
        <v>0</v>
      </c>
      <c r="J90" s="36">
        <f t="shared" si="8"/>
        <v>0</v>
      </c>
      <c r="K90" s="36">
        <f t="shared" si="9"/>
        <v>4.333333333333333</v>
      </c>
      <c r="L90" s="36" t="s">
        <v>307</v>
      </c>
      <c r="M90" s="39" t="s">
        <v>26</v>
      </c>
      <c r="N90" s="39" t="s">
        <v>302</v>
      </c>
      <c r="O90" s="173" t="s">
        <v>21</v>
      </c>
      <c r="P90" s="173" t="s">
        <v>311</v>
      </c>
      <c r="Q90" s="39" t="s">
        <v>34</v>
      </c>
      <c r="R90" s="54" t="s">
        <v>35</v>
      </c>
    </row>
    <row r="91" spans="1:18" s="40" customFormat="1" ht="15" x14ac:dyDescent="0.25">
      <c r="A91" s="55" t="s">
        <v>236</v>
      </c>
      <c r="B91" s="38">
        <v>25</v>
      </c>
      <c r="C91" s="38">
        <v>148</v>
      </c>
      <c r="D91" s="35">
        <f t="shared" si="11"/>
        <v>173</v>
      </c>
      <c r="E91" s="56">
        <v>35.583333333333336</v>
      </c>
      <c r="F91" s="56">
        <v>29.333333333333332</v>
      </c>
      <c r="G91" s="36">
        <f t="shared" si="7"/>
        <v>64.916666666666671</v>
      </c>
      <c r="H91" s="56">
        <v>38.833333333333336</v>
      </c>
      <c r="I91" s="56">
        <v>27.666666666666668</v>
      </c>
      <c r="J91" s="36">
        <f t="shared" si="8"/>
        <v>66.5</v>
      </c>
      <c r="K91" s="36">
        <f t="shared" si="9"/>
        <v>131.41666666666669</v>
      </c>
      <c r="L91" s="36" t="s">
        <v>307</v>
      </c>
      <c r="M91" s="39" t="s">
        <v>26</v>
      </c>
      <c r="N91" s="39" t="s">
        <v>302</v>
      </c>
      <c r="O91" s="173" t="s">
        <v>21</v>
      </c>
      <c r="P91" s="173" t="s">
        <v>311</v>
      </c>
      <c r="Q91" s="39" t="s">
        <v>34</v>
      </c>
      <c r="R91" s="54" t="s">
        <v>35</v>
      </c>
    </row>
    <row r="92" spans="1:18" s="40" customFormat="1" ht="15" x14ac:dyDescent="0.25">
      <c r="A92" s="55" t="s">
        <v>237</v>
      </c>
      <c r="B92" s="38">
        <v>7</v>
      </c>
      <c r="C92" s="38">
        <v>5</v>
      </c>
      <c r="D92" s="35">
        <f t="shared" si="11"/>
        <v>12</v>
      </c>
      <c r="E92" s="56">
        <v>0.11666666666666667</v>
      </c>
      <c r="F92" s="56">
        <v>2.3333333333333335</v>
      </c>
      <c r="G92" s="36">
        <f t="shared" si="7"/>
        <v>2.4500000000000002</v>
      </c>
      <c r="H92" s="56">
        <v>0.25</v>
      </c>
      <c r="I92" s="56">
        <v>0.83333333333333337</v>
      </c>
      <c r="J92" s="36">
        <f t="shared" si="8"/>
        <v>1.0833333333333335</v>
      </c>
      <c r="K92" s="36">
        <f t="shared" si="9"/>
        <v>3.5333333333333337</v>
      </c>
      <c r="L92" s="36" t="s">
        <v>307</v>
      </c>
      <c r="M92" s="39" t="s">
        <v>26</v>
      </c>
      <c r="N92" s="39" t="s">
        <v>302</v>
      </c>
      <c r="O92" s="173" t="s">
        <v>21</v>
      </c>
      <c r="P92" s="173" t="s">
        <v>311</v>
      </c>
      <c r="Q92" s="39" t="s">
        <v>34</v>
      </c>
      <c r="R92" s="54" t="s">
        <v>35</v>
      </c>
    </row>
    <row r="93" spans="1:18" s="40" customFormat="1" ht="15" x14ac:dyDescent="0.25">
      <c r="A93" s="55" t="s">
        <v>238</v>
      </c>
      <c r="B93" s="38">
        <v>0</v>
      </c>
      <c r="C93" s="38">
        <v>0</v>
      </c>
      <c r="D93" s="35">
        <f t="shared" si="11"/>
        <v>0</v>
      </c>
      <c r="E93" s="56">
        <v>0</v>
      </c>
      <c r="F93" s="56">
        <v>0</v>
      </c>
      <c r="G93" s="36">
        <f t="shared" si="7"/>
        <v>0</v>
      </c>
      <c r="H93" s="56">
        <v>0</v>
      </c>
      <c r="I93" s="56">
        <v>0</v>
      </c>
      <c r="J93" s="36">
        <f t="shared" si="8"/>
        <v>0</v>
      </c>
      <c r="K93" s="36">
        <f t="shared" si="9"/>
        <v>0</v>
      </c>
      <c r="L93" s="36" t="s">
        <v>307</v>
      </c>
      <c r="M93" s="39" t="s">
        <v>26</v>
      </c>
      <c r="N93" s="39" t="s">
        <v>302</v>
      </c>
      <c r="O93" s="173" t="s">
        <v>21</v>
      </c>
      <c r="P93" s="173" t="s">
        <v>311</v>
      </c>
      <c r="Q93" s="39" t="s">
        <v>34</v>
      </c>
      <c r="R93" s="54" t="s">
        <v>35</v>
      </c>
    </row>
    <row r="94" spans="1:18" s="32" customFormat="1" ht="15" x14ac:dyDescent="0.25">
      <c r="A94" s="84" t="s">
        <v>230</v>
      </c>
      <c r="B94" s="27">
        <v>20</v>
      </c>
      <c r="C94" s="27">
        <v>50</v>
      </c>
      <c r="D94" s="15">
        <f>SUM(B94:C94)</f>
        <v>70</v>
      </c>
      <c r="E94" s="85">
        <v>0.66666666666666663</v>
      </c>
      <c r="F94" s="85">
        <v>0.22222222222222224</v>
      </c>
      <c r="G94" s="28">
        <f t="shared" si="7"/>
        <v>0.88888888888888884</v>
      </c>
      <c r="H94" s="85">
        <v>2.5</v>
      </c>
      <c r="I94" s="85">
        <v>0.83333333333333337</v>
      </c>
      <c r="J94" s="28">
        <f t="shared" si="8"/>
        <v>3.3333333333333335</v>
      </c>
      <c r="K94" s="28">
        <f t="shared" si="9"/>
        <v>4.2222222222222223</v>
      </c>
      <c r="L94" s="28" t="s">
        <v>302</v>
      </c>
      <c r="M94" s="26"/>
      <c r="N94" s="30" t="s">
        <v>227</v>
      </c>
      <c r="O94" s="172" t="s">
        <v>312</v>
      </c>
      <c r="P94" s="172" t="s">
        <v>311</v>
      </c>
      <c r="Q94" s="26" t="s">
        <v>38</v>
      </c>
      <c r="R94" s="96" t="s">
        <v>36</v>
      </c>
    </row>
    <row r="95" spans="1:18" s="32" customFormat="1" ht="15" x14ac:dyDescent="0.25">
      <c r="A95" s="84" t="s">
        <v>231</v>
      </c>
      <c r="B95" s="27">
        <v>7</v>
      </c>
      <c r="C95" s="27">
        <v>29</v>
      </c>
      <c r="D95" s="15">
        <f t="shared" ref="D95:D102" si="12">SUM(B95:C95)</f>
        <v>36</v>
      </c>
      <c r="E95" s="85">
        <v>0.11666666666666667</v>
      </c>
      <c r="F95" s="85">
        <v>3.888888888888889E-2</v>
      </c>
      <c r="G95" s="28">
        <f t="shared" si="7"/>
        <v>0.15555555555555556</v>
      </c>
      <c r="H95" s="85">
        <v>1.6333333333333333</v>
      </c>
      <c r="I95" s="85">
        <v>0.5444444444444444</v>
      </c>
      <c r="J95" s="28">
        <f t="shared" si="8"/>
        <v>2.1777777777777776</v>
      </c>
      <c r="K95" s="28">
        <f t="shared" si="9"/>
        <v>2.333333333333333</v>
      </c>
      <c r="L95" s="28" t="s">
        <v>302</v>
      </c>
      <c r="M95" s="26"/>
      <c r="N95" s="30" t="s">
        <v>227</v>
      </c>
      <c r="O95" s="172" t="s">
        <v>312</v>
      </c>
      <c r="P95" s="172" t="s">
        <v>311</v>
      </c>
      <c r="Q95" s="26" t="s">
        <v>38</v>
      </c>
      <c r="R95" s="96" t="s">
        <v>36</v>
      </c>
    </row>
    <row r="96" spans="1:18" s="32" customFormat="1" ht="15" x14ac:dyDescent="0.25">
      <c r="A96" s="84" t="s">
        <v>232</v>
      </c>
      <c r="B96" s="27">
        <v>0</v>
      </c>
      <c r="C96" s="27">
        <v>0</v>
      </c>
      <c r="D96" s="15">
        <f t="shared" si="12"/>
        <v>0</v>
      </c>
      <c r="E96" s="85">
        <v>0</v>
      </c>
      <c r="F96" s="85">
        <v>0</v>
      </c>
      <c r="G96" s="28">
        <f t="shared" si="7"/>
        <v>0</v>
      </c>
      <c r="H96" s="85">
        <v>0</v>
      </c>
      <c r="I96" s="85">
        <v>0</v>
      </c>
      <c r="J96" s="28">
        <f t="shared" si="8"/>
        <v>0</v>
      </c>
      <c r="K96" s="28">
        <f t="shared" si="9"/>
        <v>0</v>
      </c>
      <c r="L96" s="28" t="s">
        <v>302</v>
      </c>
      <c r="M96" s="26"/>
      <c r="N96" s="30" t="s">
        <v>227</v>
      </c>
      <c r="O96" s="172" t="s">
        <v>312</v>
      </c>
      <c r="P96" s="172" t="s">
        <v>311</v>
      </c>
      <c r="Q96" s="26" t="s">
        <v>38</v>
      </c>
      <c r="R96" s="96" t="s">
        <v>36</v>
      </c>
    </row>
    <row r="97" spans="1:18" s="32" customFormat="1" ht="15" x14ac:dyDescent="0.25">
      <c r="A97" s="84" t="s">
        <v>233</v>
      </c>
      <c r="B97" s="27">
        <v>0</v>
      </c>
      <c r="C97" s="27">
        <v>0</v>
      </c>
      <c r="D97" s="15">
        <f t="shared" si="12"/>
        <v>0</v>
      </c>
      <c r="E97" s="85">
        <v>0</v>
      </c>
      <c r="F97" s="85">
        <v>0</v>
      </c>
      <c r="G97" s="28">
        <f t="shared" si="7"/>
        <v>0</v>
      </c>
      <c r="H97" s="85">
        <v>0</v>
      </c>
      <c r="I97" s="85">
        <v>0</v>
      </c>
      <c r="J97" s="28">
        <f t="shared" si="8"/>
        <v>0</v>
      </c>
      <c r="K97" s="28">
        <f t="shared" si="9"/>
        <v>0</v>
      </c>
      <c r="L97" s="28" t="s">
        <v>302</v>
      </c>
      <c r="M97" s="26"/>
      <c r="N97" s="30" t="s">
        <v>227</v>
      </c>
      <c r="O97" s="172" t="s">
        <v>312</v>
      </c>
      <c r="P97" s="172" t="s">
        <v>311</v>
      </c>
      <c r="Q97" s="26" t="s">
        <v>38</v>
      </c>
      <c r="R97" s="96" t="s">
        <v>36</v>
      </c>
    </row>
    <row r="98" spans="1:18" s="32" customFormat="1" ht="15" x14ac:dyDescent="0.25">
      <c r="A98" s="84" t="s">
        <v>234</v>
      </c>
      <c r="B98" s="27">
        <v>13</v>
      </c>
      <c r="C98" s="27">
        <v>77</v>
      </c>
      <c r="D98" s="15">
        <f t="shared" si="12"/>
        <v>90</v>
      </c>
      <c r="E98" s="85">
        <v>1.0833333333333333</v>
      </c>
      <c r="F98" s="85">
        <v>1.0833333333333333</v>
      </c>
      <c r="G98" s="28">
        <f t="shared" si="7"/>
        <v>2.1666666666666665</v>
      </c>
      <c r="H98" s="85">
        <v>4.083333333333333</v>
      </c>
      <c r="I98" s="85">
        <v>7</v>
      </c>
      <c r="J98" s="28">
        <f t="shared" si="8"/>
        <v>11.083333333333332</v>
      </c>
      <c r="K98" s="28">
        <f t="shared" si="9"/>
        <v>13.249999999999998</v>
      </c>
      <c r="L98" s="28" t="s">
        <v>302</v>
      </c>
      <c r="M98" s="26"/>
      <c r="N98" s="30" t="s">
        <v>227</v>
      </c>
      <c r="O98" s="172" t="s">
        <v>312</v>
      </c>
      <c r="P98" s="172" t="s">
        <v>311</v>
      </c>
      <c r="Q98" s="26" t="s">
        <v>38</v>
      </c>
      <c r="R98" s="96" t="s">
        <v>36</v>
      </c>
    </row>
    <row r="99" spans="1:18" s="32" customFormat="1" ht="15" x14ac:dyDescent="0.25">
      <c r="A99" s="84" t="s">
        <v>235</v>
      </c>
      <c r="B99" s="27">
        <v>1</v>
      </c>
      <c r="C99" s="27">
        <v>0</v>
      </c>
      <c r="D99" s="15">
        <f t="shared" si="12"/>
        <v>1</v>
      </c>
      <c r="E99" s="85">
        <v>0.16666666666666666</v>
      </c>
      <c r="F99" s="85">
        <v>2</v>
      </c>
      <c r="G99" s="28">
        <f t="shared" si="7"/>
        <v>2.1666666666666665</v>
      </c>
      <c r="H99" s="85">
        <v>0</v>
      </c>
      <c r="I99" s="85">
        <v>0</v>
      </c>
      <c r="J99" s="28">
        <f t="shared" si="8"/>
        <v>0</v>
      </c>
      <c r="K99" s="28">
        <f t="shared" si="9"/>
        <v>2.1666666666666665</v>
      </c>
      <c r="L99" s="28" t="s">
        <v>302</v>
      </c>
      <c r="M99" s="26"/>
      <c r="N99" s="30" t="s">
        <v>227</v>
      </c>
      <c r="O99" s="172" t="s">
        <v>312</v>
      </c>
      <c r="P99" s="172" t="s">
        <v>311</v>
      </c>
      <c r="Q99" s="26" t="s">
        <v>38</v>
      </c>
      <c r="R99" s="96" t="s">
        <v>36</v>
      </c>
    </row>
    <row r="100" spans="1:18" s="32" customFormat="1" ht="15" x14ac:dyDescent="0.25">
      <c r="A100" s="84" t="s">
        <v>236</v>
      </c>
      <c r="B100" s="27">
        <v>20</v>
      </c>
      <c r="C100" s="27">
        <v>8</v>
      </c>
      <c r="D100" s="15">
        <f t="shared" si="12"/>
        <v>28</v>
      </c>
      <c r="E100" s="85">
        <v>1.6666666666666667</v>
      </c>
      <c r="F100" s="85">
        <v>3.3333333333333335</v>
      </c>
      <c r="G100" s="28">
        <f t="shared" si="7"/>
        <v>5</v>
      </c>
      <c r="H100" s="85">
        <v>1.3333333333333333</v>
      </c>
      <c r="I100" s="85">
        <v>1.3333333333333333</v>
      </c>
      <c r="J100" s="28">
        <f t="shared" si="8"/>
        <v>2.6666666666666665</v>
      </c>
      <c r="K100" s="28">
        <f t="shared" si="9"/>
        <v>7.6666666666666661</v>
      </c>
      <c r="L100" s="28" t="s">
        <v>302</v>
      </c>
      <c r="M100" s="26"/>
      <c r="N100" s="30" t="s">
        <v>227</v>
      </c>
      <c r="O100" s="172" t="s">
        <v>312</v>
      </c>
      <c r="P100" s="172" t="s">
        <v>311</v>
      </c>
      <c r="Q100" s="26" t="s">
        <v>38</v>
      </c>
      <c r="R100" s="96" t="s">
        <v>36</v>
      </c>
    </row>
    <row r="101" spans="1:18" s="32" customFormat="1" ht="15" x14ac:dyDescent="0.25">
      <c r="A101" s="84" t="s">
        <v>237</v>
      </c>
      <c r="B101" s="27">
        <v>5</v>
      </c>
      <c r="C101" s="27">
        <v>0</v>
      </c>
      <c r="D101" s="15">
        <f t="shared" si="12"/>
        <v>5</v>
      </c>
      <c r="E101" s="85">
        <v>8.3333333333333329E-2</v>
      </c>
      <c r="F101" s="85">
        <v>1.6666666666666667</v>
      </c>
      <c r="G101" s="28">
        <f t="shared" si="7"/>
        <v>1.75</v>
      </c>
      <c r="H101" s="85">
        <v>0</v>
      </c>
      <c r="I101" s="85">
        <v>0</v>
      </c>
      <c r="J101" s="28">
        <f t="shared" si="8"/>
        <v>0</v>
      </c>
      <c r="K101" s="28">
        <f t="shared" si="9"/>
        <v>1.75</v>
      </c>
      <c r="L101" s="28" t="s">
        <v>302</v>
      </c>
      <c r="M101" s="26"/>
      <c r="N101" s="30" t="s">
        <v>227</v>
      </c>
      <c r="O101" s="172" t="s">
        <v>312</v>
      </c>
      <c r="P101" s="172" t="s">
        <v>311</v>
      </c>
      <c r="Q101" s="26" t="s">
        <v>38</v>
      </c>
      <c r="R101" s="96" t="s">
        <v>36</v>
      </c>
    </row>
    <row r="102" spans="1:18" s="32" customFormat="1" ht="15" x14ac:dyDescent="0.25">
      <c r="A102" s="84" t="s">
        <v>238</v>
      </c>
      <c r="B102" s="27">
        <v>0</v>
      </c>
      <c r="C102" s="27">
        <v>0</v>
      </c>
      <c r="D102" s="15">
        <f t="shared" si="12"/>
        <v>0</v>
      </c>
      <c r="E102" s="85">
        <v>0</v>
      </c>
      <c r="F102" s="85">
        <v>0</v>
      </c>
      <c r="G102" s="28">
        <f t="shared" si="7"/>
        <v>0</v>
      </c>
      <c r="H102" s="85">
        <v>0</v>
      </c>
      <c r="I102" s="85">
        <v>0</v>
      </c>
      <c r="J102" s="28">
        <f t="shared" si="8"/>
        <v>0</v>
      </c>
      <c r="K102" s="28">
        <f t="shared" si="9"/>
        <v>0</v>
      </c>
      <c r="L102" s="28" t="s">
        <v>302</v>
      </c>
      <c r="M102" s="26"/>
      <c r="N102" s="30" t="s">
        <v>227</v>
      </c>
      <c r="O102" s="172" t="s">
        <v>312</v>
      </c>
      <c r="P102" s="172" t="s">
        <v>311</v>
      </c>
      <c r="Q102" s="26" t="s">
        <v>38</v>
      </c>
      <c r="R102" s="96" t="s">
        <v>36</v>
      </c>
    </row>
    <row r="103" spans="1:18" s="40" customFormat="1" ht="15" x14ac:dyDescent="0.25">
      <c r="A103" s="55" t="s">
        <v>230</v>
      </c>
      <c r="B103" s="38">
        <v>72</v>
      </c>
      <c r="C103" s="38">
        <v>79</v>
      </c>
      <c r="D103" s="35">
        <f>SUM(B103:C103)</f>
        <v>151</v>
      </c>
      <c r="E103" s="56">
        <v>2.4</v>
      </c>
      <c r="F103" s="56">
        <v>0.8</v>
      </c>
      <c r="G103" s="36">
        <f t="shared" si="7"/>
        <v>3.2</v>
      </c>
      <c r="H103" s="56">
        <v>4.833333333333333</v>
      </c>
      <c r="I103" s="56">
        <v>1.6111111111111112</v>
      </c>
      <c r="J103" s="36">
        <f t="shared" si="8"/>
        <v>6.4444444444444446</v>
      </c>
      <c r="K103" s="36">
        <f t="shared" si="9"/>
        <v>9.6444444444444457</v>
      </c>
      <c r="L103" s="36" t="s">
        <v>302</v>
      </c>
      <c r="M103" s="39"/>
      <c r="N103" s="53" t="s">
        <v>302</v>
      </c>
      <c r="O103" s="173">
        <v>6</v>
      </c>
      <c r="P103" s="173">
        <v>10</v>
      </c>
      <c r="Q103" s="39" t="s">
        <v>40</v>
      </c>
      <c r="R103" s="95" t="s">
        <v>39</v>
      </c>
    </row>
    <row r="104" spans="1:18" s="40" customFormat="1" ht="15" x14ac:dyDescent="0.25">
      <c r="A104" s="55" t="s">
        <v>231</v>
      </c>
      <c r="B104" s="38">
        <v>13</v>
      </c>
      <c r="C104" s="38">
        <v>41</v>
      </c>
      <c r="D104" s="35">
        <f t="shared" ref="D104:D111" si="13">SUM(B104:C104)</f>
        <v>54</v>
      </c>
      <c r="E104" s="56">
        <v>0.21666666666666667</v>
      </c>
      <c r="F104" s="56">
        <v>7.2222222222222215E-2</v>
      </c>
      <c r="G104" s="36">
        <f t="shared" si="7"/>
        <v>0.28888888888888886</v>
      </c>
      <c r="H104" s="56">
        <v>2.4166666666666665</v>
      </c>
      <c r="I104" s="56">
        <v>0.80555555555555558</v>
      </c>
      <c r="J104" s="36">
        <f t="shared" si="8"/>
        <v>3.2222222222222223</v>
      </c>
      <c r="K104" s="36">
        <f t="shared" si="9"/>
        <v>3.5111111111111111</v>
      </c>
      <c r="L104" s="36" t="s">
        <v>302</v>
      </c>
      <c r="M104" s="39"/>
      <c r="N104" s="53" t="s">
        <v>302</v>
      </c>
      <c r="O104" s="173">
        <v>6</v>
      </c>
      <c r="P104" s="173">
        <v>10</v>
      </c>
      <c r="Q104" s="39" t="s">
        <v>40</v>
      </c>
      <c r="R104" s="95" t="s">
        <v>39</v>
      </c>
    </row>
    <row r="105" spans="1:18" s="40" customFormat="1" ht="15" x14ac:dyDescent="0.25">
      <c r="A105" s="55" t="s">
        <v>232</v>
      </c>
      <c r="B105" s="38">
        <v>50</v>
      </c>
      <c r="C105" s="38">
        <v>0</v>
      </c>
      <c r="D105" s="35">
        <f t="shared" si="13"/>
        <v>50</v>
      </c>
      <c r="E105" s="56">
        <v>19.416666666666668</v>
      </c>
      <c r="F105" s="56">
        <v>16.666666666666668</v>
      </c>
      <c r="G105" s="36">
        <f t="shared" si="7"/>
        <v>36.083333333333336</v>
      </c>
      <c r="H105" s="56">
        <v>0</v>
      </c>
      <c r="I105" s="56">
        <v>0</v>
      </c>
      <c r="J105" s="36">
        <f t="shared" si="8"/>
        <v>0</v>
      </c>
      <c r="K105" s="36">
        <f t="shared" si="9"/>
        <v>36.083333333333336</v>
      </c>
      <c r="L105" s="36" t="s">
        <v>302</v>
      </c>
      <c r="M105" s="39"/>
      <c r="N105" s="53" t="s">
        <v>302</v>
      </c>
      <c r="O105" s="173">
        <v>6</v>
      </c>
      <c r="P105" s="173">
        <v>10</v>
      </c>
      <c r="Q105" s="39" t="s">
        <v>40</v>
      </c>
      <c r="R105" s="95" t="s">
        <v>39</v>
      </c>
    </row>
    <row r="106" spans="1:18" s="40" customFormat="1" ht="15" x14ac:dyDescent="0.25">
      <c r="A106" s="55" t="s">
        <v>233</v>
      </c>
      <c r="B106" s="38">
        <v>117</v>
      </c>
      <c r="C106" s="38">
        <v>93</v>
      </c>
      <c r="D106" s="35">
        <f t="shared" si="13"/>
        <v>210</v>
      </c>
      <c r="E106" s="56">
        <v>92.4</v>
      </c>
      <c r="F106" s="56">
        <v>59</v>
      </c>
      <c r="G106" s="36">
        <f t="shared" si="7"/>
        <v>151.4</v>
      </c>
      <c r="H106" s="56">
        <v>13.15</v>
      </c>
      <c r="I106" s="56">
        <v>19.583333333333332</v>
      </c>
      <c r="J106" s="36">
        <f t="shared" si="8"/>
        <v>32.733333333333334</v>
      </c>
      <c r="K106" s="36">
        <f t="shared" si="9"/>
        <v>184.13333333333333</v>
      </c>
      <c r="L106" s="36" t="s">
        <v>302</v>
      </c>
      <c r="M106" s="39"/>
      <c r="N106" s="53" t="s">
        <v>302</v>
      </c>
      <c r="O106" s="173">
        <v>6</v>
      </c>
      <c r="P106" s="173">
        <v>10</v>
      </c>
      <c r="Q106" s="39" t="s">
        <v>40</v>
      </c>
      <c r="R106" s="95" t="s">
        <v>39</v>
      </c>
    </row>
    <row r="107" spans="1:18" s="40" customFormat="1" ht="15" x14ac:dyDescent="0.25">
      <c r="A107" s="55" t="s">
        <v>234</v>
      </c>
      <c r="B107" s="38">
        <v>9</v>
      </c>
      <c r="C107" s="38">
        <v>2</v>
      </c>
      <c r="D107" s="35">
        <f t="shared" si="13"/>
        <v>11</v>
      </c>
      <c r="E107" s="56">
        <v>0.75</v>
      </c>
      <c r="F107" s="56">
        <v>0.75</v>
      </c>
      <c r="G107" s="36">
        <f t="shared" si="7"/>
        <v>1.5</v>
      </c>
      <c r="H107" s="56">
        <v>0.1</v>
      </c>
      <c r="I107" s="56">
        <v>0.16666666666666666</v>
      </c>
      <c r="J107" s="36">
        <f t="shared" si="8"/>
        <v>0.26666666666666666</v>
      </c>
      <c r="K107" s="36">
        <f t="shared" si="9"/>
        <v>1.7666666666666666</v>
      </c>
      <c r="L107" s="36" t="s">
        <v>302</v>
      </c>
      <c r="M107" s="39"/>
      <c r="N107" s="53" t="s">
        <v>302</v>
      </c>
      <c r="O107" s="173">
        <v>6</v>
      </c>
      <c r="P107" s="173">
        <v>10</v>
      </c>
      <c r="Q107" s="39" t="s">
        <v>40</v>
      </c>
      <c r="R107" s="95" t="s">
        <v>39</v>
      </c>
    </row>
    <row r="108" spans="1:18" s="40" customFormat="1" ht="15" x14ac:dyDescent="0.25">
      <c r="A108" s="55" t="s">
        <v>235</v>
      </c>
      <c r="B108" s="38">
        <v>1</v>
      </c>
      <c r="C108" s="38">
        <v>0</v>
      </c>
      <c r="D108" s="35">
        <f t="shared" si="13"/>
        <v>1</v>
      </c>
      <c r="E108" s="56">
        <v>0.16666666666666666</v>
      </c>
      <c r="F108" s="56">
        <v>2</v>
      </c>
      <c r="G108" s="36">
        <f t="shared" si="7"/>
        <v>2.1666666666666665</v>
      </c>
      <c r="H108" s="56">
        <v>0</v>
      </c>
      <c r="I108" s="56">
        <v>0</v>
      </c>
      <c r="J108" s="36">
        <f t="shared" si="8"/>
        <v>0</v>
      </c>
      <c r="K108" s="36">
        <f t="shared" si="9"/>
        <v>2.1666666666666665</v>
      </c>
      <c r="L108" s="36" t="s">
        <v>302</v>
      </c>
      <c r="M108" s="39"/>
      <c r="N108" s="53" t="s">
        <v>302</v>
      </c>
      <c r="O108" s="173">
        <v>6</v>
      </c>
      <c r="P108" s="173">
        <v>10</v>
      </c>
      <c r="Q108" s="39" t="s">
        <v>40</v>
      </c>
      <c r="R108" s="95" t="s">
        <v>39</v>
      </c>
    </row>
    <row r="109" spans="1:18" s="40" customFormat="1" ht="15" x14ac:dyDescent="0.25">
      <c r="A109" s="55" t="s">
        <v>236</v>
      </c>
      <c r="B109" s="38">
        <v>141</v>
      </c>
      <c r="C109" s="38">
        <v>45</v>
      </c>
      <c r="D109" s="35">
        <f t="shared" si="13"/>
        <v>186</v>
      </c>
      <c r="E109" s="56">
        <v>207.08333333333334</v>
      </c>
      <c r="F109" s="56">
        <v>257.33333333333331</v>
      </c>
      <c r="G109" s="36">
        <f t="shared" si="7"/>
        <v>464.41666666666663</v>
      </c>
      <c r="H109" s="56">
        <v>14.5</v>
      </c>
      <c r="I109" s="56">
        <v>14.5</v>
      </c>
      <c r="J109" s="36">
        <f t="shared" si="8"/>
        <v>29</v>
      </c>
      <c r="K109" s="36">
        <f t="shared" si="9"/>
        <v>493.41666666666663</v>
      </c>
      <c r="L109" s="36" t="s">
        <v>302</v>
      </c>
      <c r="M109" s="39"/>
      <c r="N109" s="53" t="s">
        <v>302</v>
      </c>
      <c r="O109" s="173">
        <v>6</v>
      </c>
      <c r="P109" s="173">
        <v>10</v>
      </c>
      <c r="Q109" s="39" t="s">
        <v>40</v>
      </c>
      <c r="R109" s="95" t="s">
        <v>39</v>
      </c>
    </row>
    <row r="110" spans="1:18" s="40" customFormat="1" ht="15" x14ac:dyDescent="0.25">
      <c r="A110" s="55" t="s">
        <v>237</v>
      </c>
      <c r="B110" s="38">
        <v>0</v>
      </c>
      <c r="C110" s="38">
        <v>0</v>
      </c>
      <c r="D110" s="35">
        <f t="shared" si="13"/>
        <v>0</v>
      </c>
      <c r="E110" s="56">
        <v>0</v>
      </c>
      <c r="F110" s="56">
        <v>0</v>
      </c>
      <c r="G110" s="36">
        <f t="shared" si="7"/>
        <v>0</v>
      </c>
      <c r="H110" s="56">
        <v>0</v>
      </c>
      <c r="I110" s="56">
        <v>0</v>
      </c>
      <c r="J110" s="36">
        <f t="shared" si="8"/>
        <v>0</v>
      </c>
      <c r="K110" s="36">
        <f t="shared" si="9"/>
        <v>0</v>
      </c>
      <c r="L110" s="36" t="s">
        <v>302</v>
      </c>
      <c r="M110" s="39"/>
      <c r="N110" s="53" t="s">
        <v>302</v>
      </c>
      <c r="O110" s="173">
        <v>6</v>
      </c>
      <c r="P110" s="173">
        <v>10</v>
      </c>
      <c r="Q110" s="39" t="s">
        <v>40</v>
      </c>
      <c r="R110" s="95" t="s">
        <v>39</v>
      </c>
    </row>
    <row r="111" spans="1:18" s="40" customFormat="1" ht="15" x14ac:dyDescent="0.25">
      <c r="A111" s="55" t="s">
        <v>238</v>
      </c>
      <c r="B111" s="38">
        <v>0</v>
      </c>
      <c r="C111" s="38">
        <v>0</v>
      </c>
      <c r="D111" s="35">
        <f t="shared" si="13"/>
        <v>0</v>
      </c>
      <c r="E111" s="56">
        <v>0</v>
      </c>
      <c r="F111" s="56">
        <v>0</v>
      </c>
      <c r="G111" s="36">
        <f t="shared" si="7"/>
        <v>0</v>
      </c>
      <c r="H111" s="56">
        <v>0</v>
      </c>
      <c r="I111" s="56">
        <v>0</v>
      </c>
      <c r="J111" s="36">
        <f t="shared" si="8"/>
        <v>0</v>
      </c>
      <c r="K111" s="36">
        <f t="shared" si="9"/>
        <v>0</v>
      </c>
      <c r="L111" s="36" t="s">
        <v>302</v>
      </c>
      <c r="M111" s="39"/>
      <c r="N111" s="53" t="s">
        <v>302</v>
      </c>
      <c r="O111" s="173">
        <v>6</v>
      </c>
      <c r="P111" s="173">
        <v>10</v>
      </c>
      <c r="Q111" s="39" t="s">
        <v>40</v>
      </c>
      <c r="R111" s="95" t="s">
        <v>39</v>
      </c>
    </row>
    <row r="112" spans="1:18" s="32" customFormat="1" ht="15" x14ac:dyDescent="0.25">
      <c r="A112" s="84" t="s">
        <v>230</v>
      </c>
      <c r="B112" s="27">
        <v>72</v>
      </c>
      <c r="C112" s="27">
        <v>79</v>
      </c>
      <c r="D112" s="15">
        <f>SUM(B112:C112)</f>
        <v>151</v>
      </c>
      <c r="E112" s="85">
        <v>2.4</v>
      </c>
      <c r="F112" s="85">
        <v>1.2</v>
      </c>
      <c r="G112" s="28">
        <f t="shared" si="7"/>
        <v>3.5999999999999996</v>
      </c>
      <c r="H112" s="85">
        <v>21.083333333333332</v>
      </c>
      <c r="I112" s="85">
        <v>10.541666666666666</v>
      </c>
      <c r="J112" s="28">
        <f t="shared" si="8"/>
        <v>31.625</v>
      </c>
      <c r="K112" s="28">
        <f t="shared" si="9"/>
        <v>35.225000000000001</v>
      </c>
      <c r="L112" s="28" t="s">
        <v>307</v>
      </c>
      <c r="M112" s="26" t="s">
        <v>26</v>
      </c>
      <c r="N112" s="30" t="s">
        <v>302</v>
      </c>
      <c r="O112" s="172">
        <v>6</v>
      </c>
      <c r="P112" s="172">
        <v>10</v>
      </c>
      <c r="Q112" s="26" t="s">
        <v>40</v>
      </c>
      <c r="R112" s="96" t="s">
        <v>39</v>
      </c>
    </row>
    <row r="113" spans="1:18" s="32" customFormat="1" ht="15" x14ac:dyDescent="0.25">
      <c r="A113" s="84" t="s">
        <v>231</v>
      </c>
      <c r="B113" s="27">
        <v>13</v>
      </c>
      <c r="C113" s="27">
        <v>41</v>
      </c>
      <c r="D113" s="15">
        <f t="shared" ref="D113:D120" si="14">SUM(B113:C113)</f>
        <v>54</v>
      </c>
      <c r="E113" s="85">
        <v>0.21666666666666667</v>
      </c>
      <c r="F113" s="85">
        <v>0.10833333333333334</v>
      </c>
      <c r="G113" s="28">
        <f t="shared" si="7"/>
        <v>0.32500000000000001</v>
      </c>
      <c r="H113" s="85">
        <v>10.916666666666666</v>
      </c>
      <c r="I113" s="85">
        <v>5.458333333333333</v>
      </c>
      <c r="J113" s="28">
        <f t="shared" si="8"/>
        <v>16.375</v>
      </c>
      <c r="K113" s="28">
        <f t="shared" si="9"/>
        <v>16.7</v>
      </c>
      <c r="L113" s="28" t="s">
        <v>307</v>
      </c>
      <c r="M113" s="26" t="s">
        <v>26</v>
      </c>
      <c r="N113" s="30" t="s">
        <v>302</v>
      </c>
      <c r="O113" s="172">
        <v>6</v>
      </c>
      <c r="P113" s="172">
        <v>10</v>
      </c>
      <c r="Q113" s="26" t="s">
        <v>40</v>
      </c>
      <c r="R113" s="96" t="s">
        <v>39</v>
      </c>
    </row>
    <row r="114" spans="1:18" s="32" customFormat="1" ht="15" x14ac:dyDescent="0.25">
      <c r="A114" s="84" t="s">
        <v>232</v>
      </c>
      <c r="B114" s="27">
        <v>50</v>
      </c>
      <c r="C114" s="27">
        <v>0</v>
      </c>
      <c r="D114" s="15">
        <f t="shared" si="14"/>
        <v>50</v>
      </c>
      <c r="E114" s="85">
        <v>19.416666666666668</v>
      </c>
      <c r="F114" s="85">
        <v>16.666666666666668</v>
      </c>
      <c r="G114" s="28">
        <f t="shared" si="7"/>
        <v>36.083333333333336</v>
      </c>
      <c r="H114" s="85">
        <v>0</v>
      </c>
      <c r="I114" s="85">
        <v>0</v>
      </c>
      <c r="J114" s="28">
        <f t="shared" si="8"/>
        <v>0</v>
      </c>
      <c r="K114" s="28">
        <f t="shared" si="9"/>
        <v>36.083333333333336</v>
      </c>
      <c r="L114" s="28" t="s">
        <v>307</v>
      </c>
      <c r="M114" s="26" t="s">
        <v>26</v>
      </c>
      <c r="N114" s="30" t="s">
        <v>302</v>
      </c>
      <c r="O114" s="172">
        <v>6</v>
      </c>
      <c r="P114" s="172">
        <v>10</v>
      </c>
      <c r="Q114" s="26" t="s">
        <v>40</v>
      </c>
      <c r="R114" s="96" t="s">
        <v>39</v>
      </c>
    </row>
    <row r="115" spans="1:18" s="32" customFormat="1" ht="15" x14ac:dyDescent="0.25">
      <c r="A115" s="84" t="s">
        <v>233</v>
      </c>
      <c r="B115" s="27">
        <v>117</v>
      </c>
      <c r="C115" s="27">
        <v>93</v>
      </c>
      <c r="D115" s="15">
        <f t="shared" si="14"/>
        <v>210</v>
      </c>
      <c r="E115" s="85">
        <v>92.4</v>
      </c>
      <c r="F115" s="85">
        <v>59</v>
      </c>
      <c r="G115" s="28">
        <f t="shared" si="7"/>
        <v>151.4</v>
      </c>
      <c r="H115" s="85">
        <v>13.15</v>
      </c>
      <c r="I115" s="85">
        <v>19.583333333333332</v>
      </c>
      <c r="J115" s="28">
        <f t="shared" si="8"/>
        <v>32.733333333333334</v>
      </c>
      <c r="K115" s="28">
        <f t="shared" si="9"/>
        <v>184.13333333333333</v>
      </c>
      <c r="L115" s="28" t="s">
        <v>307</v>
      </c>
      <c r="M115" s="26" t="s">
        <v>26</v>
      </c>
      <c r="N115" s="30" t="s">
        <v>302</v>
      </c>
      <c r="O115" s="172">
        <v>6</v>
      </c>
      <c r="P115" s="172">
        <v>10</v>
      </c>
      <c r="Q115" s="26" t="s">
        <v>40</v>
      </c>
      <c r="R115" s="96" t="s">
        <v>39</v>
      </c>
    </row>
    <row r="116" spans="1:18" s="32" customFormat="1" ht="15" x14ac:dyDescent="0.25">
      <c r="A116" s="84" t="s">
        <v>234</v>
      </c>
      <c r="B116" s="27">
        <v>9</v>
      </c>
      <c r="C116" s="27">
        <v>2</v>
      </c>
      <c r="D116" s="15">
        <f t="shared" si="14"/>
        <v>11</v>
      </c>
      <c r="E116" s="85">
        <v>0.75</v>
      </c>
      <c r="F116" s="85">
        <v>0.75</v>
      </c>
      <c r="G116" s="28">
        <f t="shared" si="7"/>
        <v>1.5</v>
      </c>
      <c r="H116" s="85">
        <v>0.1</v>
      </c>
      <c r="I116" s="85">
        <v>0.16666666666666666</v>
      </c>
      <c r="J116" s="28">
        <f t="shared" si="8"/>
        <v>0.26666666666666666</v>
      </c>
      <c r="K116" s="28">
        <f t="shared" si="9"/>
        <v>1.7666666666666666</v>
      </c>
      <c r="L116" s="28" t="s">
        <v>307</v>
      </c>
      <c r="M116" s="26" t="s">
        <v>26</v>
      </c>
      <c r="N116" s="30" t="s">
        <v>302</v>
      </c>
      <c r="O116" s="172">
        <v>6</v>
      </c>
      <c r="P116" s="172">
        <v>10</v>
      </c>
      <c r="Q116" s="26" t="s">
        <v>40</v>
      </c>
      <c r="R116" s="96" t="s">
        <v>39</v>
      </c>
    </row>
    <row r="117" spans="1:18" s="32" customFormat="1" ht="15" x14ac:dyDescent="0.25">
      <c r="A117" s="84" t="s">
        <v>235</v>
      </c>
      <c r="B117" s="27">
        <v>1</v>
      </c>
      <c r="C117" s="27">
        <v>0</v>
      </c>
      <c r="D117" s="15">
        <f t="shared" si="14"/>
        <v>1</v>
      </c>
      <c r="E117" s="85">
        <v>0.16666666666666666</v>
      </c>
      <c r="F117" s="85">
        <v>2</v>
      </c>
      <c r="G117" s="28">
        <f t="shared" si="7"/>
        <v>2.1666666666666665</v>
      </c>
      <c r="H117" s="85">
        <v>0</v>
      </c>
      <c r="I117" s="85">
        <v>0</v>
      </c>
      <c r="J117" s="28">
        <f t="shared" si="8"/>
        <v>0</v>
      </c>
      <c r="K117" s="28">
        <f t="shared" si="9"/>
        <v>2.1666666666666665</v>
      </c>
      <c r="L117" s="28" t="s">
        <v>307</v>
      </c>
      <c r="M117" s="26" t="s">
        <v>26</v>
      </c>
      <c r="N117" s="30" t="s">
        <v>302</v>
      </c>
      <c r="O117" s="172">
        <v>6</v>
      </c>
      <c r="P117" s="172">
        <v>10</v>
      </c>
      <c r="Q117" s="26" t="s">
        <v>40</v>
      </c>
      <c r="R117" s="96" t="s">
        <v>39</v>
      </c>
    </row>
    <row r="118" spans="1:18" s="32" customFormat="1" ht="15" x14ac:dyDescent="0.25">
      <c r="A118" s="84" t="s">
        <v>236</v>
      </c>
      <c r="B118" s="27">
        <v>141</v>
      </c>
      <c r="C118" s="27">
        <v>45</v>
      </c>
      <c r="D118" s="15">
        <f t="shared" si="14"/>
        <v>186</v>
      </c>
      <c r="E118" s="85">
        <v>207.08333333333334</v>
      </c>
      <c r="F118" s="85">
        <v>257.33333333333331</v>
      </c>
      <c r="G118" s="28">
        <f t="shared" si="7"/>
        <v>464.41666666666663</v>
      </c>
      <c r="H118" s="85">
        <v>16.75</v>
      </c>
      <c r="I118" s="85">
        <v>14.5</v>
      </c>
      <c r="J118" s="28">
        <f t="shared" si="8"/>
        <v>31.25</v>
      </c>
      <c r="K118" s="28">
        <f t="shared" si="9"/>
        <v>495.66666666666663</v>
      </c>
      <c r="L118" s="28" t="s">
        <v>307</v>
      </c>
      <c r="M118" s="26" t="s">
        <v>26</v>
      </c>
      <c r="N118" s="30" t="s">
        <v>302</v>
      </c>
      <c r="O118" s="172">
        <v>6</v>
      </c>
      <c r="P118" s="172">
        <v>10</v>
      </c>
      <c r="Q118" s="26" t="s">
        <v>40</v>
      </c>
      <c r="R118" s="96" t="s">
        <v>39</v>
      </c>
    </row>
    <row r="119" spans="1:18" s="32" customFormat="1" ht="15" x14ac:dyDescent="0.25">
      <c r="A119" s="84" t="s">
        <v>237</v>
      </c>
      <c r="B119" s="27">
        <v>0</v>
      </c>
      <c r="C119" s="27">
        <v>0</v>
      </c>
      <c r="D119" s="15">
        <f t="shared" si="14"/>
        <v>0</v>
      </c>
      <c r="E119" s="85">
        <v>0</v>
      </c>
      <c r="F119" s="85">
        <v>0</v>
      </c>
      <c r="G119" s="28">
        <f t="shared" si="7"/>
        <v>0</v>
      </c>
      <c r="H119" s="85">
        <v>0</v>
      </c>
      <c r="I119" s="85">
        <v>0</v>
      </c>
      <c r="J119" s="28">
        <f t="shared" si="8"/>
        <v>0</v>
      </c>
      <c r="K119" s="28">
        <f t="shared" si="9"/>
        <v>0</v>
      </c>
      <c r="L119" s="28" t="s">
        <v>307</v>
      </c>
      <c r="M119" s="26" t="s">
        <v>26</v>
      </c>
      <c r="N119" s="30" t="s">
        <v>302</v>
      </c>
      <c r="O119" s="172">
        <v>6</v>
      </c>
      <c r="P119" s="172">
        <v>10</v>
      </c>
      <c r="Q119" s="26" t="s">
        <v>40</v>
      </c>
      <c r="R119" s="96" t="s">
        <v>39</v>
      </c>
    </row>
    <row r="120" spans="1:18" s="32" customFormat="1" ht="15" x14ac:dyDescent="0.25">
      <c r="A120" s="84" t="s">
        <v>238</v>
      </c>
      <c r="B120" s="27">
        <v>0</v>
      </c>
      <c r="C120" s="27">
        <v>0</v>
      </c>
      <c r="D120" s="15">
        <f t="shared" si="14"/>
        <v>0</v>
      </c>
      <c r="E120" s="85">
        <v>0</v>
      </c>
      <c r="F120" s="85">
        <v>0</v>
      </c>
      <c r="G120" s="28">
        <f t="shared" si="7"/>
        <v>0</v>
      </c>
      <c r="H120" s="85">
        <v>0</v>
      </c>
      <c r="I120" s="85">
        <v>0</v>
      </c>
      <c r="J120" s="28">
        <f t="shared" si="8"/>
        <v>0</v>
      </c>
      <c r="K120" s="28">
        <f t="shared" si="9"/>
        <v>0</v>
      </c>
      <c r="L120" s="28" t="s">
        <v>307</v>
      </c>
      <c r="M120" s="26" t="s">
        <v>26</v>
      </c>
      <c r="N120" s="30" t="s">
        <v>302</v>
      </c>
      <c r="O120" s="172">
        <v>6</v>
      </c>
      <c r="P120" s="172">
        <v>10</v>
      </c>
      <c r="Q120" s="26" t="s">
        <v>40</v>
      </c>
      <c r="R120" s="96" t="s">
        <v>39</v>
      </c>
    </row>
    <row r="121" spans="1:18" s="40" customFormat="1" ht="15" x14ac:dyDescent="0.25">
      <c r="A121" s="55" t="s">
        <v>230</v>
      </c>
      <c r="B121" s="38">
        <v>45</v>
      </c>
      <c r="C121" s="38">
        <v>78</v>
      </c>
      <c r="D121" s="35">
        <f>SUM(B121:C121)</f>
        <v>123</v>
      </c>
      <c r="E121" s="56">
        <v>1.5</v>
      </c>
      <c r="F121" s="56">
        <v>2.0930232558139537</v>
      </c>
      <c r="G121" s="36">
        <f t="shared" si="7"/>
        <v>3.5930232558139537</v>
      </c>
      <c r="H121" s="56">
        <v>4.4666666666666668</v>
      </c>
      <c r="I121" s="56">
        <v>3.6279069767441858</v>
      </c>
      <c r="J121" s="36">
        <f t="shared" si="8"/>
        <v>8.0945736434108522</v>
      </c>
      <c r="K121" s="36">
        <f t="shared" si="9"/>
        <v>11.687596899224806</v>
      </c>
      <c r="L121" s="36" t="s">
        <v>302</v>
      </c>
      <c r="M121" s="39"/>
      <c r="N121" s="53" t="s">
        <v>302</v>
      </c>
      <c r="O121" s="173" t="s">
        <v>308</v>
      </c>
      <c r="P121" s="173" t="s">
        <v>311</v>
      </c>
      <c r="Q121" s="39" t="s">
        <v>43</v>
      </c>
      <c r="R121" s="95" t="s">
        <v>41</v>
      </c>
    </row>
    <row r="122" spans="1:18" s="40" customFormat="1" ht="15" x14ac:dyDescent="0.25">
      <c r="A122" s="55" t="s">
        <v>231</v>
      </c>
      <c r="B122" s="38">
        <v>10</v>
      </c>
      <c r="C122" s="38">
        <v>39</v>
      </c>
      <c r="D122" s="35">
        <f t="shared" ref="D122:D129" si="15">SUM(B122:C122)</f>
        <v>49</v>
      </c>
      <c r="E122" s="56">
        <v>0.16666666666666666</v>
      </c>
      <c r="F122" s="56">
        <v>0.46511627906976744</v>
      </c>
      <c r="G122" s="36">
        <f t="shared" si="7"/>
        <v>0.63178294573643412</v>
      </c>
      <c r="H122" s="56">
        <v>2.5166666666666666</v>
      </c>
      <c r="I122" s="56">
        <v>1.8139534883720929</v>
      </c>
      <c r="J122" s="36">
        <f t="shared" si="8"/>
        <v>4.3306201550387593</v>
      </c>
      <c r="K122" s="36">
        <f t="shared" si="9"/>
        <v>4.9624031007751936</v>
      </c>
      <c r="L122" s="36" t="s">
        <v>302</v>
      </c>
      <c r="M122" s="39"/>
      <c r="N122" s="53" t="s">
        <v>302</v>
      </c>
      <c r="O122" s="173" t="s">
        <v>308</v>
      </c>
      <c r="P122" s="173" t="s">
        <v>311</v>
      </c>
      <c r="Q122" s="39" t="s">
        <v>43</v>
      </c>
      <c r="R122" s="95" t="s">
        <v>41</v>
      </c>
    </row>
    <row r="123" spans="1:18" s="40" customFormat="1" ht="15" x14ac:dyDescent="0.25">
      <c r="A123" s="55" t="s">
        <v>232</v>
      </c>
      <c r="B123" s="38">
        <v>0</v>
      </c>
      <c r="C123" s="38">
        <v>0</v>
      </c>
      <c r="D123" s="35">
        <f t="shared" si="15"/>
        <v>0</v>
      </c>
      <c r="E123" s="56">
        <v>0</v>
      </c>
      <c r="F123" s="56">
        <v>0</v>
      </c>
      <c r="G123" s="36">
        <f t="shared" si="7"/>
        <v>0</v>
      </c>
      <c r="H123" s="56">
        <v>0</v>
      </c>
      <c r="I123" s="56">
        <v>0</v>
      </c>
      <c r="J123" s="36">
        <f t="shared" si="8"/>
        <v>0</v>
      </c>
      <c r="K123" s="36">
        <f t="shared" si="9"/>
        <v>0</v>
      </c>
      <c r="L123" s="36" t="s">
        <v>302</v>
      </c>
      <c r="M123" s="39"/>
      <c r="N123" s="53" t="s">
        <v>302</v>
      </c>
      <c r="O123" s="173" t="s">
        <v>308</v>
      </c>
      <c r="P123" s="173" t="s">
        <v>311</v>
      </c>
      <c r="Q123" s="39" t="s">
        <v>43</v>
      </c>
      <c r="R123" s="95" t="s">
        <v>41</v>
      </c>
    </row>
    <row r="124" spans="1:18" s="40" customFormat="1" ht="15" x14ac:dyDescent="0.25">
      <c r="A124" s="55" t="s">
        <v>233</v>
      </c>
      <c r="B124" s="38">
        <v>24</v>
      </c>
      <c r="C124" s="38">
        <v>95</v>
      </c>
      <c r="D124" s="35">
        <f t="shared" si="15"/>
        <v>119</v>
      </c>
      <c r="E124" s="56">
        <v>6.9</v>
      </c>
      <c r="F124" s="56">
        <v>8.25</v>
      </c>
      <c r="G124" s="36">
        <f t="shared" si="7"/>
        <v>15.15</v>
      </c>
      <c r="H124" s="56">
        <v>11.166666666666666</v>
      </c>
      <c r="I124" s="56">
        <v>17.666666666666668</v>
      </c>
      <c r="J124" s="36">
        <f t="shared" si="8"/>
        <v>28.833333333333336</v>
      </c>
      <c r="K124" s="36">
        <f t="shared" si="9"/>
        <v>43.983333333333334</v>
      </c>
      <c r="L124" s="36" t="s">
        <v>302</v>
      </c>
      <c r="M124" s="39"/>
      <c r="N124" s="53" t="s">
        <v>302</v>
      </c>
      <c r="O124" s="173" t="s">
        <v>308</v>
      </c>
      <c r="P124" s="173" t="s">
        <v>311</v>
      </c>
      <c r="Q124" s="39" t="s">
        <v>43</v>
      </c>
      <c r="R124" s="95" t="s">
        <v>41</v>
      </c>
    </row>
    <row r="125" spans="1:18" s="40" customFormat="1" ht="15" x14ac:dyDescent="0.25">
      <c r="A125" s="55" t="s">
        <v>234</v>
      </c>
      <c r="B125" s="38">
        <v>0</v>
      </c>
      <c r="C125" s="38">
        <v>15</v>
      </c>
      <c r="D125" s="35">
        <f t="shared" si="15"/>
        <v>15</v>
      </c>
      <c r="E125" s="56">
        <v>0</v>
      </c>
      <c r="F125" s="56">
        <v>0</v>
      </c>
      <c r="G125" s="36">
        <f t="shared" si="7"/>
        <v>0</v>
      </c>
      <c r="H125" s="56">
        <v>0.98333333333333328</v>
      </c>
      <c r="I125" s="56">
        <v>1.5833333333333333</v>
      </c>
      <c r="J125" s="36">
        <f t="shared" si="8"/>
        <v>2.5666666666666664</v>
      </c>
      <c r="K125" s="36">
        <f t="shared" si="9"/>
        <v>2.5666666666666664</v>
      </c>
      <c r="L125" s="36" t="s">
        <v>302</v>
      </c>
      <c r="M125" s="39"/>
      <c r="N125" s="53" t="s">
        <v>302</v>
      </c>
      <c r="O125" s="173" t="s">
        <v>308</v>
      </c>
      <c r="P125" s="173" t="s">
        <v>311</v>
      </c>
      <c r="Q125" s="39" t="s">
        <v>43</v>
      </c>
      <c r="R125" s="95" t="s">
        <v>41</v>
      </c>
    </row>
    <row r="126" spans="1:18" s="40" customFormat="1" ht="15" x14ac:dyDescent="0.25">
      <c r="A126" s="55" t="s">
        <v>235</v>
      </c>
      <c r="B126" s="38">
        <v>1</v>
      </c>
      <c r="C126" s="38">
        <v>2</v>
      </c>
      <c r="D126" s="35">
        <f t="shared" si="15"/>
        <v>3</v>
      </c>
      <c r="E126" s="56">
        <v>0</v>
      </c>
      <c r="F126" s="56">
        <v>2</v>
      </c>
      <c r="G126" s="36">
        <f t="shared" si="7"/>
        <v>2</v>
      </c>
      <c r="H126" s="56">
        <v>0.33333333333333331</v>
      </c>
      <c r="I126" s="56">
        <v>0.16666666666666666</v>
      </c>
      <c r="J126" s="36">
        <f t="shared" si="8"/>
        <v>0.5</v>
      </c>
      <c r="K126" s="36">
        <f t="shared" si="9"/>
        <v>2.5</v>
      </c>
      <c r="L126" s="36" t="s">
        <v>302</v>
      </c>
      <c r="M126" s="39"/>
      <c r="N126" s="53" t="s">
        <v>302</v>
      </c>
      <c r="O126" s="173" t="s">
        <v>308</v>
      </c>
      <c r="P126" s="173" t="s">
        <v>311</v>
      </c>
      <c r="Q126" s="39" t="s">
        <v>43</v>
      </c>
      <c r="R126" s="95" t="s">
        <v>41</v>
      </c>
    </row>
    <row r="127" spans="1:18" s="40" customFormat="1" ht="15" x14ac:dyDescent="0.25">
      <c r="A127" s="55" t="s">
        <v>236</v>
      </c>
      <c r="B127" s="38">
        <v>25</v>
      </c>
      <c r="C127" s="38">
        <v>23</v>
      </c>
      <c r="D127" s="35">
        <f t="shared" si="15"/>
        <v>48</v>
      </c>
      <c r="E127" s="56">
        <v>69.833333333333329</v>
      </c>
      <c r="F127" s="56">
        <v>28.166666666666668</v>
      </c>
      <c r="G127" s="36">
        <f t="shared" si="7"/>
        <v>98</v>
      </c>
      <c r="H127" s="56">
        <v>16.666666666666668</v>
      </c>
      <c r="I127" s="56">
        <v>16.666666666666668</v>
      </c>
      <c r="J127" s="36">
        <f t="shared" si="8"/>
        <v>33.333333333333336</v>
      </c>
      <c r="K127" s="36">
        <f t="shared" si="9"/>
        <v>131.33333333333334</v>
      </c>
      <c r="L127" s="36" t="s">
        <v>302</v>
      </c>
      <c r="M127" s="39"/>
      <c r="N127" s="53" t="s">
        <v>302</v>
      </c>
      <c r="O127" s="173" t="s">
        <v>308</v>
      </c>
      <c r="P127" s="173" t="s">
        <v>311</v>
      </c>
      <c r="Q127" s="39" t="s">
        <v>43</v>
      </c>
      <c r="R127" s="95" t="s">
        <v>41</v>
      </c>
    </row>
    <row r="128" spans="1:18" s="40" customFormat="1" ht="15" x14ac:dyDescent="0.25">
      <c r="A128" s="55" t="s">
        <v>237</v>
      </c>
      <c r="B128" s="38">
        <v>0</v>
      </c>
      <c r="C128" s="38">
        <v>0</v>
      </c>
      <c r="D128" s="35">
        <f t="shared" si="15"/>
        <v>0</v>
      </c>
      <c r="E128" s="56">
        <v>0</v>
      </c>
      <c r="F128" s="56">
        <v>0</v>
      </c>
      <c r="G128" s="36">
        <f t="shared" si="7"/>
        <v>0</v>
      </c>
      <c r="H128" s="56">
        <v>0</v>
      </c>
      <c r="I128" s="56">
        <v>0</v>
      </c>
      <c r="J128" s="36">
        <f t="shared" si="8"/>
        <v>0</v>
      </c>
      <c r="K128" s="36">
        <f t="shared" si="9"/>
        <v>0</v>
      </c>
      <c r="L128" s="36" t="s">
        <v>302</v>
      </c>
      <c r="M128" s="39"/>
      <c r="N128" s="53" t="s">
        <v>302</v>
      </c>
      <c r="O128" s="173" t="s">
        <v>308</v>
      </c>
      <c r="P128" s="173" t="s">
        <v>311</v>
      </c>
      <c r="Q128" s="39" t="s">
        <v>43</v>
      </c>
      <c r="R128" s="95" t="s">
        <v>41</v>
      </c>
    </row>
    <row r="129" spans="1:18" s="40" customFormat="1" ht="15" x14ac:dyDescent="0.25">
      <c r="A129" s="55" t="s">
        <v>238</v>
      </c>
      <c r="B129" s="38">
        <v>0</v>
      </c>
      <c r="C129" s="38">
        <v>0</v>
      </c>
      <c r="D129" s="35">
        <f t="shared" si="15"/>
        <v>0</v>
      </c>
      <c r="E129" s="56">
        <v>0</v>
      </c>
      <c r="F129" s="56">
        <v>0</v>
      </c>
      <c r="G129" s="36">
        <f t="shared" si="7"/>
        <v>0</v>
      </c>
      <c r="H129" s="56">
        <v>0</v>
      </c>
      <c r="I129" s="56">
        <v>0</v>
      </c>
      <c r="J129" s="36">
        <f t="shared" si="8"/>
        <v>0</v>
      </c>
      <c r="K129" s="36">
        <f t="shared" si="9"/>
        <v>0</v>
      </c>
      <c r="L129" s="36" t="s">
        <v>302</v>
      </c>
      <c r="M129" s="39"/>
      <c r="N129" s="53" t="s">
        <v>302</v>
      </c>
      <c r="O129" s="173" t="s">
        <v>308</v>
      </c>
      <c r="P129" s="173" t="s">
        <v>311</v>
      </c>
      <c r="Q129" s="39" t="s">
        <v>43</v>
      </c>
      <c r="R129" s="95" t="s">
        <v>41</v>
      </c>
    </row>
    <row r="130" spans="1:18" s="32" customFormat="1" ht="15" x14ac:dyDescent="0.25">
      <c r="A130" s="84" t="s">
        <v>230</v>
      </c>
      <c r="B130" s="27">
        <v>79</v>
      </c>
      <c r="C130" s="27">
        <v>445</v>
      </c>
      <c r="D130" s="15">
        <f>SUM(B130:C130)</f>
        <v>524</v>
      </c>
      <c r="E130" s="85">
        <v>2.6333333333333333</v>
      </c>
      <c r="F130" s="85">
        <f>E130/3</f>
        <v>0.87777777777777777</v>
      </c>
      <c r="G130" s="28">
        <f t="shared" si="7"/>
        <v>3.5111111111111111</v>
      </c>
      <c r="H130" s="85">
        <v>26.8</v>
      </c>
      <c r="I130" s="85">
        <f>H130/3</f>
        <v>8.9333333333333336</v>
      </c>
      <c r="J130" s="28">
        <f t="shared" si="8"/>
        <v>35.733333333333334</v>
      </c>
      <c r="K130" s="28">
        <f t="shared" si="9"/>
        <v>39.244444444444447</v>
      </c>
      <c r="L130" s="28" t="s">
        <v>302</v>
      </c>
      <c r="M130" s="26"/>
      <c r="N130" s="30" t="s">
        <v>227</v>
      </c>
      <c r="O130" s="172">
        <v>6</v>
      </c>
      <c r="P130" s="172">
        <v>10</v>
      </c>
      <c r="Q130" s="26" t="s">
        <v>44</v>
      </c>
      <c r="R130" s="96" t="s">
        <v>42</v>
      </c>
    </row>
    <row r="131" spans="1:18" s="32" customFormat="1" ht="15" x14ac:dyDescent="0.25">
      <c r="A131" s="84" t="s">
        <v>231</v>
      </c>
      <c r="B131" s="27">
        <v>17</v>
      </c>
      <c r="C131" s="27">
        <v>208</v>
      </c>
      <c r="D131" s="15">
        <f t="shared" ref="D131:D138" si="16">SUM(B131:C131)</f>
        <v>225</v>
      </c>
      <c r="E131" s="85">
        <v>0.28333333333333333</v>
      </c>
      <c r="F131" s="85">
        <f>E131/3</f>
        <v>9.4444444444444442E-2</v>
      </c>
      <c r="G131" s="28">
        <f t="shared" si="7"/>
        <v>0.37777777777777777</v>
      </c>
      <c r="H131" s="85">
        <v>15.933333333333334</v>
      </c>
      <c r="I131" s="85">
        <f>H131/3</f>
        <v>5.3111111111111109</v>
      </c>
      <c r="J131" s="28">
        <f t="shared" si="8"/>
        <v>21.244444444444444</v>
      </c>
      <c r="K131" s="28">
        <f t="shared" si="9"/>
        <v>21.62222222222222</v>
      </c>
      <c r="L131" s="28" t="s">
        <v>302</v>
      </c>
      <c r="M131" s="26"/>
      <c r="N131" s="30" t="s">
        <v>227</v>
      </c>
      <c r="O131" s="172">
        <v>6</v>
      </c>
      <c r="P131" s="172">
        <v>10</v>
      </c>
      <c r="Q131" s="26" t="s">
        <v>44</v>
      </c>
      <c r="R131" s="96" t="s">
        <v>42</v>
      </c>
    </row>
    <row r="132" spans="1:18" s="32" customFormat="1" ht="15" x14ac:dyDescent="0.25">
      <c r="A132" s="84" t="s">
        <v>232</v>
      </c>
      <c r="B132" s="27">
        <v>0</v>
      </c>
      <c r="C132" s="27">
        <v>0</v>
      </c>
      <c r="D132" s="15">
        <f t="shared" si="16"/>
        <v>0</v>
      </c>
      <c r="E132" s="85">
        <v>0</v>
      </c>
      <c r="F132" s="85">
        <v>0</v>
      </c>
      <c r="G132" s="28">
        <f t="shared" si="7"/>
        <v>0</v>
      </c>
      <c r="H132" s="85">
        <v>0</v>
      </c>
      <c r="I132" s="85">
        <v>0</v>
      </c>
      <c r="J132" s="28">
        <f t="shared" si="8"/>
        <v>0</v>
      </c>
      <c r="K132" s="28">
        <f t="shared" si="9"/>
        <v>0</v>
      </c>
      <c r="L132" s="28" t="s">
        <v>302</v>
      </c>
      <c r="M132" s="26"/>
      <c r="N132" s="30" t="s">
        <v>227</v>
      </c>
      <c r="O132" s="172">
        <v>6</v>
      </c>
      <c r="P132" s="172">
        <v>10</v>
      </c>
      <c r="Q132" s="26" t="s">
        <v>44</v>
      </c>
      <c r="R132" s="96" t="s">
        <v>42</v>
      </c>
    </row>
    <row r="133" spans="1:18" s="32" customFormat="1" ht="15" x14ac:dyDescent="0.25">
      <c r="A133" s="84" t="s">
        <v>233</v>
      </c>
      <c r="B133" s="27">
        <v>0</v>
      </c>
      <c r="C133" s="27">
        <v>0</v>
      </c>
      <c r="D133" s="15">
        <f t="shared" si="16"/>
        <v>0</v>
      </c>
      <c r="E133" s="85">
        <v>0</v>
      </c>
      <c r="F133" s="85">
        <v>0</v>
      </c>
      <c r="G133" s="28">
        <f t="shared" ref="G133:G196" si="17">E133+F133</f>
        <v>0</v>
      </c>
      <c r="H133" s="85">
        <v>0</v>
      </c>
      <c r="I133" s="85">
        <v>0</v>
      </c>
      <c r="J133" s="28">
        <f t="shared" ref="J133:J196" si="18">H133+I133</f>
        <v>0</v>
      </c>
      <c r="K133" s="28">
        <f t="shared" ref="K133:K196" si="19">G133+J133</f>
        <v>0</v>
      </c>
      <c r="L133" s="28" t="s">
        <v>302</v>
      </c>
      <c r="M133" s="26"/>
      <c r="N133" s="30" t="s">
        <v>227</v>
      </c>
      <c r="O133" s="172">
        <v>6</v>
      </c>
      <c r="P133" s="172">
        <v>10</v>
      </c>
      <c r="Q133" s="26" t="s">
        <v>44</v>
      </c>
      <c r="R133" s="96" t="s">
        <v>42</v>
      </c>
    </row>
    <row r="134" spans="1:18" s="32" customFormat="1" ht="15" x14ac:dyDescent="0.25">
      <c r="A134" s="84" t="s">
        <v>234</v>
      </c>
      <c r="B134" s="27">
        <v>5</v>
      </c>
      <c r="C134" s="27">
        <v>317</v>
      </c>
      <c r="D134" s="15">
        <f t="shared" si="16"/>
        <v>322</v>
      </c>
      <c r="E134" s="85">
        <v>0.41666666666666669</v>
      </c>
      <c r="F134" s="85">
        <v>0.41666666666666669</v>
      </c>
      <c r="G134" s="28">
        <f t="shared" si="17"/>
        <v>0.83333333333333337</v>
      </c>
      <c r="H134" s="85">
        <v>22.883333333333333</v>
      </c>
      <c r="I134" s="85">
        <v>35.666666666666664</v>
      </c>
      <c r="J134" s="28">
        <f t="shared" si="18"/>
        <v>58.55</v>
      </c>
      <c r="K134" s="28">
        <f t="shared" si="19"/>
        <v>59.383333333333333</v>
      </c>
      <c r="L134" s="28" t="s">
        <v>302</v>
      </c>
      <c r="M134" s="26"/>
      <c r="N134" s="30" t="s">
        <v>227</v>
      </c>
      <c r="O134" s="172">
        <v>6</v>
      </c>
      <c r="P134" s="172">
        <v>10</v>
      </c>
      <c r="Q134" s="26" t="s">
        <v>44</v>
      </c>
      <c r="R134" s="96" t="s">
        <v>42</v>
      </c>
    </row>
    <row r="135" spans="1:18" s="32" customFormat="1" ht="15" x14ac:dyDescent="0.25">
      <c r="A135" s="84" t="s">
        <v>235</v>
      </c>
      <c r="B135" s="27">
        <v>1</v>
      </c>
      <c r="C135" s="27">
        <v>3</v>
      </c>
      <c r="D135" s="15">
        <f t="shared" si="16"/>
        <v>4</v>
      </c>
      <c r="E135" s="85">
        <v>0.16666666666666666</v>
      </c>
      <c r="F135" s="85">
        <v>2</v>
      </c>
      <c r="G135" s="28">
        <f t="shared" si="17"/>
        <v>2.1666666666666665</v>
      </c>
      <c r="H135" s="85">
        <v>0.66666666666666663</v>
      </c>
      <c r="I135" s="85">
        <v>0.33333333333333331</v>
      </c>
      <c r="J135" s="28">
        <f t="shared" si="18"/>
        <v>1</v>
      </c>
      <c r="K135" s="28">
        <f t="shared" si="19"/>
        <v>3.1666666666666665</v>
      </c>
      <c r="L135" s="28" t="s">
        <v>302</v>
      </c>
      <c r="M135" s="26"/>
      <c r="N135" s="30" t="s">
        <v>227</v>
      </c>
      <c r="O135" s="172">
        <v>6</v>
      </c>
      <c r="P135" s="172">
        <v>10</v>
      </c>
      <c r="Q135" s="26" t="s">
        <v>44</v>
      </c>
      <c r="R135" s="96" t="s">
        <v>42</v>
      </c>
    </row>
    <row r="136" spans="1:18" s="32" customFormat="1" ht="15" x14ac:dyDescent="0.25">
      <c r="A136" s="84" t="s">
        <v>236</v>
      </c>
      <c r="B136" s="27">
        <v>30</v>
      </c>
      <c r="C136" s="27">
        <v>142</v>
      </c>
      <c r="D136" s="15">
        <f t="shared" si="16"/>
        <v>172</v>
      </c>
      <c r="E136" s="85">
        <v>50</v>
      </c>
      <c r="F136" s="85">
        <v>28</v>
      </c>
      <c r="G136" s="28">
        <f t="shared" si="17"/>
        <v>78</v>
      </c>
      <c r="H136" s="85">
        <v>57.333333333333336</v>
      </c>
      <c r="I136" s="85">
        <v>57.333333333333336</v>
      </c>
      <c r="J136" s="28">
        <f t="shared" si="18"/>
        <v>114.66666666666667</v>
      </c>
      <c r="K136" s="28">
        <f t="shared" si="19"/>
        <v>192.66666666666669</v>
      </c>
      <c r="L136" s="28" t="s">
        <v>302</v>
      </c>
      <c r="M136" s="26"/>
      <c r="N136" s="30" t="s">
        <v>227</v>
      </c>
      <c r="O136" s="172">
        <v>6</v>
      </c>
      <c r="P136" s="172">
        <v>10</v>
      </c>
      <c r="Q136" s="26" t="s">
        <v>44</v>
      </c>
      <c r="R136" s="96" t="s">
        <v>42</v>
      </c>
    </row>
    <row r="137" spans="1:18" s="32" customFormat="1" ht="15" x14ac:dyDescent="0.25">
      <c r="A137" s="84" t="s">
        <v>237</v>
      </c>
      <c r="B137" s="27">
        <v>6</v>
      </c>
      <c r="C137" s="27">
        <v>4</v>
      </c>
      <c r="D137" s="15">
        <f t="shared" si="16"/>
        <v>10</v>
      </c>
      <c r="E137" s="85">
        <v>0.1</v>
      </c>
      <c r="F137" s="85">
        <v>2</v>
      </c>
      <c r="G137" s="28">
        <f t="shared" si="17"/>
        <v>2.1</v>
      </c>
      <c r="H137" s="85">
        <v>0.2</v>
      </c>
      <c r="I137" s="85">
        <v>0.66666666666666663</v>
      </c>
      <c r="J137" s="28">
        <f t="shared" si="18"/>
        <v>0.8666666666666667</v>
      </c>
      <c r="K137" s="28">
        <f t="shared" si="19"/>
        <v>2.9666666666666668</v>
      </c>
      <c r="L137" s="28" t="s">
        <v>302</v>
      </c>
      <c r="M137" s="26"/>
      <c r="N137" s="30" t="s">
        <v>227</v>
      </c>
      <c r="O137" s="172">
        <v>6</v>
      </c>
      <c r="P137" s="172">
        <v>10</v>
      </c>
      <c r="Q137" s="26" t="s">
        <v>44</v>
      </c>
      <c r="R137" s="96" t="s">
        <v>42</v>
      </c>
    </row>
    <row r="138" spans="1:18" s="32" customFormat="1" ht="15" x14ac:dyDescent="0.25">
      <c r="A138" s="84" t="s">
        <v>238</v>
      </c>
      <c r="B138" s="27">
        <v>0</v>
      </c>
      <c r="C138" s="27">
        <v>0</v>
      </c>
      <c r="D138" s="15">
        <f t="shared" si="16"/>
        <v>0</v>
      </c>
      <c r="E138" s="85">
        <v>0</v>
      </c>
      <c r="F138" s="85">
        <v>0</v>
      </c>
      <c r="G138" s="28">
        <f t="shared" si="17"/>
        <v>0</v>
      </c>
      <c r="H138" s="85">
        <v>0</v>
      </c>
      <c r="I138" s="85">
        <v>0</v>
      </c>
      <c r="J138" s="28">
        <f t="shared" si="18"/>
        <v>0</v>
      </c>
      <c r="K138" s="28">
        <f t="shared" si="19"/>
        <v>0</v>
      </c>
      <c r="L138" s="28" t="s">
        <v>302</v>
      </c>
      <c r="M138" s="26"/>
      <c r="N138" s="30" t="s">
        <v>227</v>
      </c>
      <c r="O138" s="172">
        <v>6</v>
      </c>
      <c r="P138" s="172">
        <v>10</v>
      </c>
      <c r="Q138" s="26" t="s">
        <v>44</v>
      </c>
      <c r="R138" s="96" t="s">
        <v>42</v>
      </c>
    </row>
    <row r="139" spans="1:18" s="40" customFormat="1" ht="15" x14ac:dyDescent="0.25">
      <c r="A139" s="55" t="s">
        <v>230</v>
      </c>
      <c r="B139" s="56">
        <v>31</v>
      </c>
      <c r="C139" s="56">
        <v>169</v>
      </c>
      <c r="D139" s="35">
        <f>SUM(B139:C139)</f>
        <v>200</v>
      </c>
      <c r="E139" s="56">
        <v>1.0333333333333334</v>
      </c>
      <c r="F139" s="56">
        <f>E139/3</f>
        <v>0.3444444444444445</v>
      </c>
      <c r="G139" s="36">
        <f t="shared" si="17"/>
        <v>1.377777777777778</v>
      </c>
      <c r="H139" s="56">
        <v>8.9499999999999993</v>
      </c>
      <c r="I139" s="56">
        <f>H139/3</f>
        <v>2.9833333333333329</v>
      </c>
      <c r="J139" s="36">
        <f t="shared" si="18"/>
        <v>11.933333333333332</v>
      </c>
      <c r="K139" s="36">
        <f t="shared" si="19"/>
        <v>13.31111111111111</v>
      </c>
      <c r="L139" s="36" t="s">
        <v>302</v>
      </c>
      <c r="M139" s="39"/>
      <c r="N139" s="39" t="s">
        <v>227</v>
      </c>
      <c r="O139" s="173" t="s">
        <v>308</v>
      </c>
      <c r="P139" s="173" t="s">
        <v>311</v>
      </c>
      <c r="Q139" s="39" t="s">
        <v>47</v>
      </c>
      <c r="R139" s="95" t="s">
        <v>46</v>
      </c>
    </row>
    <row r="140" spans="1:18" s="40" customFormat="1" ht="15" x14ac:dyDescent="0.25">
      <c r="A140" s="55" t="s">
        <v>231</v>
      </c>
      <c r="B140" s="56">
        <v>11</v>
      </c>
      <c r="C140" s="56">
        <v>41</v>
      </c>
      <c r="D140" s="35">
        <f t="shared" ref="D140:D147" si="20">SUM(B140:C140)</f>
        <v>52</v>
      </c>
      <c r="E140" s="56">
        <v>0.18333333333333332</v>
      </c>
      <c r="F140" s="56">
        <f>E140/3</f>
        <v>6.1111111111111109E-2</v>
      </c>
      <c r="G140" s="36">
        <f t="shared" si="17"/>
        <v>0.24444444444444444</v>
      </c>
      <c r="H140" s="56">
        <v>2.2333333333333334</v>
      </c>
      <c r="I140" s="56">
        <f>H140/3</f>
        <v>0.74444444444444446</v>
      </c>
      <c r="J140" s="36">
        <f t="shared" si="18"/>
        <v>2.9777777777777779</v>
      </c>
      <c r="K140" s="36">
        <f t="shared" si="19"/>
        <v>3.2222222222222223</v>
      </c>
      <c r="L140" s="36" t="s">
        <v>302</v>
      </c>
      <c r="M140" s="39"/>
      <c r="N140" s="39" t="s">
        <v>227</v>
      </c>
      <c r="O140" s="173" t="s">
        <v>308</v>
      </c>
      <c r="P140" s="173" t="s">
        <v>311</v>
      </c>
      <c r="Q140" s="39" t="s">
        <v>47</v>
      </c>
      <c r="R140" s="95" t="s">
        <v>46</v>
      </c>
    </row>
    <row r="141" spans="1:18" s="40" customFormat="1" ht="15" x14ac:dyDescent="0.25">
      <c r="A141" s="55" t="s">
        <v>232</v>
      </c>
      <c r="B141" s="56">
        <v>0</v>
      </c>
      <c r="C141" s="56">
        <v>0</v>
      </c>
      <c r="D141" s="35">
        <f t="shared" si="20"/>
        <v>0</v>
      </c>
      <c r="E141" s="56">
        <v>0</v>
      </c>
      <c r="F141" s="56">
        <v>0</v>
      </c>
      <c r="G141" s="36">
        <f t="shared" si="17"/>
        <v>0</v>
      </c>
      <c r="H141" s="56">
        <v>0</v>
      </c>
      <c r="I141" s="56">
        <v>0</v>
      </c>
      <c r="J141" s="36">
        <f t="shared" si="18"/>
        <v>0</v>
      </c>
      <c r="K141" s="36">
        <f t="shared" si="19"/>
        <v>0</v>
      </c>
      <c r="L141" s="36" t="s">
        <v>302</v>
      </c>
      <c r="M141" s="39"/>
      <c r="N141" s="39" t="s">
        <v>227</v>
      </c>
      <c r="O141" s="173" t="s">
        <v>308</v>
      </c>
      <c r="P141" s="173" t="s">
        <v>311</v>
      </c>
      <c r="Q141" s="39" t="s">
        <v>47</v>
      </c>
      <c r="R141" s="95" t="s">
        <v>46</v>
      </c>
    </row>
    <row r="142" spans="1:18" s="40" customFormat="1" ht="15" x14ac:dyDescent="0.25">
      <c r="A142" s="55" t="s">
        <v>233</v>
      </c>
      <c r="B142" s="56">
        <v>0</v>
      </c>
      <c r="C142" s="56">
        <v>0</v>
      </c>
      <c r="D142" s="35">
        <f t="shared" si="20"/>
        <v>0</v>
      </c>
      <c r="E142" s="56">
        <v>0</v>
      </c>
      <c r="F142" s="56">
        <v>0</v>
      </c>
      <c r="G142" s="36">
        <f t="shared" si="17"/>
        <v>0</v>
      </c>
      <c r="H142" s="56">
        <v>0</v>
      </c>
      <c r="I142" s="56">
        <v>0</v>
      </c>
      <c r="J142" s="36">
        <f t="shared" si="18"/>
        <v>0</v>
      </c>
      <c r="K142" s="36">
        <f t="shared" si="19"/>
        <v>0</v>
      </c>
      <c r="L142" s="36" t="s">
        <v>302</v>
      </c>
      <c r="M142" s="39"/>
      <c r="N142" s="39" t="s">
        <v>227</v>
      </c>
      <c r="O142" s="173" t="s">
        <v>308</v>
      </c>
      <c r="P142" s="173" t="s">
        <v>311</v>
      </c>
      <c r="Q142" s="39" t="s">
        <v>47</v>
      </c>
      <c r="R142" s="95" t="s">
        <v>46</v>
      </c>
    </row>
    <row r="143" spans="1:18" s="40" customFormat="1" ht="15" x14ac:dyDescent="0.25">
      <c r="A143" s="55" t="s">
        <v>234</v>
      </c>
      <c r="B143" s="56">
        <v>38</v>
      </c>
      <c r="C143" s="56">
        <v>164</v>
      </c>
      <c r="D143" s="35">
        <f t="shared" si="20"/>
        <v>202</v>
      </c>
      <c r="E143" s="56">
        <v>3.1666666666666665</v>
      </c>
      <c r="F143" s="56">
        <v>3.1666666666666665</v>
      </c>
      <c r="G143" s="36">
        <f t="shared" si="17"/>
        <v>6.333333333333333</v>
      </c>
      <c r="H143" s="56">
        <v>10.716666666666667</v>
      </c>
      <c r="I143" s="56">
        <v>18.083333333333332</v>
      </c>
      <c r="J143" s="36">
        <f t="shared" si="18"/>
        <v>28.799999999999997</v>
      </c>
      <c r="K143" s="36">
        <f t="shared" si="19"/>
        <v>35.133333333333333</v>
      </c>
      <c r="L143" s="36" t="s">
        <v>302</v>
      </c>
      <c r="M143" s="39"/>
      <c r="N143" s="39" t="s">
        <v>227</v>
      </c>
      <c r="O143" s="173" t="s">
        <v>308</v>
      </c>
      <c r="P143" s="173" t="s">
        <v>311</v>
      </c>
      <c r="Q143" s="39" t="s">
        <v>47</v>
      </c>
      <c r="R143" s="95" t="s">
        <v>46</v>
      </c>
    </row>
    <row r="144" spans="1:18" s="40" customFormat="1" ht="15" x14ac:dyDescent="0.25">
      <c r="A144" s="55" t="s">
        <v>235</v>
      </c>
      <c r="B144" s="56">
        <v>2</v>
      </c>
      <c r="C144" s="56">
        <v>0</v>
      </c>
      <c r="D144" s="35">
        <f t="shared" si="20"/>
        <v>2</v>
      </c>
      <c r="E144" s="56">
        <v>0.33333333333333331</v>
      </c>
      <c r="F144" s="56">
        <v>4</v>
      </c>
      <c r="G144" s="36">
        <f t="shared" si="17"/>
        <v>4.333333333333333</v>
      </c>
      <c r="H144" s="56">
        <v>0</v>
      </c>
      <c r="I144" s="56">
        <v>0</v>
      </c>
      <c r="J144" s="36">
        <f t="shared" si="18"/>
        <v>0</v>
      </c>
      <c r="K144" s="36">
        <f t="shared" si="19"/>
        <v>4.333333333333333</v>
      </c>
      <c r="L144" s="36" t="s">
        <v>302</v>
      </c>
      <c r="M144" s="39"/>
      <c r="N144" s="39" t="s">
        <v>227</v>
      </c>
      <c r="O144" s="173" t="s">
        <v>308</v>
      </c>
      <c r="P144" s="173" t="s">
        <v>311</v>
      </c>
      <c r="Q144" s="39" t="s">
        <v>47</v>
      </c>
      <c r="R144" s="95" t="s">
        <v>46</v>
      </c>
    </row>
    <row r="145" spans="1:18" s="40" customFormat="1" ht="15" x14ac:dyDescent="0.25">
      <c r="A145" s="55" t="s">
        <v>236</v>
      </c>
      <c r="B145" s="56">
        <v>13</v>
      </c>
      <c r="C145" s="56">
        <v>36</v>
      </c>
      <c r="D145" s="35">
        <f t="shared" si="20"/>
        <v>49</v>
      </c>
      <c r="E145" s="56">
        <v>18.75</v>
      </c>
      <c r="F145" s="56">
        <v>11</v>
      </c>
      <c r="G145" s="36">
        <f t="shared" si="17"/>
        <v>29.75</v>
      </c>
      <c r="H145" s="56">
        <v>26.333333333333332</v>
      </c>
      <c r="I145" s="56">
        <v>26.333333333333332</v>
      </c>
      <c r="J145" s="36">
        <f t="shared" si="18"/>
        <v>52.666666666666664</v>
      </c>
      <c r="K145" s="36">
        <f t="shared" si="19"/>
        <v>82.416666666666657</v>
      </c>
      <c r="L145" s="36" t="s">
        <v>302</v>
      </c>
      <c r="M145" s="39"/>
      <c r="N145" s="39" t="s">
        <v>227</v>
      </c>
      <c r="O145" s="173" t="s">
        <v>308</v>
      </c>
      <c r="P145" s="173" t="s">
        <v>311</v>
      </c>
      <c r="Q145" s="39" t="s">
        <v>47</v>
      </c>
      <c r="R145" s="95" t="s">
        <v>46</v>
      </c>
    </row>
    <row r="146" spans="1:18" s="40" customFormat="1" ht="15" x14ac:dyDescent="0.25">
      <c r="A146" s="55" t="s">
        <v>237</v>
      </c>
      <c r="B146" s="56">
        <v>2</v>
      </c>
      <c r="C146" s="56">
        <v>0</v>
      </c>
      <c r="D146" s="35">
        <f t="shared" si="20"/>
        <v>2</v>
      </c>
      <c r="E146" s="56">
        <v>3.3333333333333333E-2</v>
      </c>
      <c r="F146" s="56">
        <v>0.66666666666666663</v>
      </c>
      <c r="G146" s="36">
        <f t="shared" si="17"/>
        <v>0.7</v>
      </c>
      <c r="H146" s="56">
        <v>0</v>
      </c>
      <c r="I146" s="56">
        <v>0</v>
      </c>
      <c r="J146" s="36">
        <f t="shared" si="18"/>
        <v>0</v>
      </c>
      <c r="K146" s="36">
        <f t="shared" si="19"/>
        <v>0.7</v>
      </c>
      <c r="L146" s="36" t="s">
        <v>302</v>
      </c>
      <c r="M146" s="39"/>
      <c r="N146" s="39" t="s">
        <v>227</v>
      </c>
      <c r="O146" s="173" t="s">
        <v>308</v>
      </c>
      <c r="P146" s="173" t="s">
        <v>311</v>
      </c>
      <c r="Q146" s="39" t="s">
        <v>47</v>
      </c>
      <c r="R146" s="95" t="s">
        <v>46</v>
      </c>
    </row>
    <row r="147" spans="1:18" s="40" customFormat="1" ht="15" x14ac:dyDescent="0.25">
      <c r="A147" s="55" t="s">
        <v>238</v>
      </c>
      <c r="B147" s="56">
        <v>0</v>
      </c>
      <c r="C147" s="56">
        <v>0</v>
      </c>
      <c r="D147" s="35">
        <f t="shared" si="20"/>
        <v>0</v>
      </c>
      <c r="E147" s="56">
        <v>0</v>
      </c>
      <c r="F147" s="56">
        <v>0</v>
      </c>
      <c r="G147" s="36">
        <f t="shared" si="17"/>
        <v>0</v>
      </c>
      <c r="H147" s="56">
        <v>0</v>
      </c>
      <c r="I147" s="56">
        <v>0</v>
      </c>
      <c r="J147" s="36">
        <f t="shared" si="18"/>
        <v>0</v>
      </c>
      <c r="K147" s="36">
        <f t="shared" si="19"/>
        <v>0</v>
      </c>
      <c r="L147" s="36" t="s">
        <v>302</v>
      </c>
      <c r="M147" s="39"/>
      <c r="N147" s="39" t="s">
        <v>227</v>
      </c>
      <c r="O147" s="173" t="s">
        <v>308</v>
      </c>
      <c r="P147" s="173" t="s">
        <v>311</v>
      </c>
      <c r="Q147" s="39" t="s">
        <v>47</v>
      </c>
      <c r="R147" s="95" t="s">
        <v>46</v>
      </c>
    </row>
    <row r="148" spans="1:18" s="32" customFormat="1" ht="15" x14ac:dyDescent="0.25">
      <c r="A148" s="84" t="s">
        <v>230</v>
      </c>
      <c r="B148" s="85">
        <v>31</v>
      </c>
      <c r="C148" s="85">
        <v>169</v>
      </c>
      <c r="D148" s="15">
        <f>SUM(B148:C148)</f>
        <v>200</v>
      </c>
      <c r="E148" s="85">
        <v>1.0333333333333334</v>
      </c>
      <c r="F148" s="85">
        <f>E148/2</f>
        <v>0.51666666666666672</v>
      </c>
      <c r="G148" s="28">
        <f t="shared" si="17"/>
        <v>1.5500000000000003</v>
      </c>
      <c r="H148" s="85">
        <f>2595/60</f>
        <v>43.25</v>
      </c>
      <c r="I148" s="85">
        <f>H148/2</f>
        <v>21.625</v>
      </c>
      <c r="J148" s="28">
        <f t="shared" si="18"/>
        <v>64.875</v>
      </c>
      <c r="K148" s="28">
        <f t="shared" si="19"/>
        <v>66.424999999999997</v>
      </c>
      <c r="L148" s="28" t="s">
        <v>307</v>
      </c>
      <c r="M148" s="26" t="s">
        <v>26</v>
      </c>
      <c r="N148" s="26" t="s">
        <v>227</v>
      </c>
      <c r="O148" s="172" t="s">
        <v>308</v>
      </c>
      <c r="P148" s="172" t="s">
        <v>311</v>
      </c>
      <c r="Q148" s="26" t="s">
        <v>47</v>
      </c>
      <c r="R148" s="96" t="s">
        <v>46</v>
      </c>
    </row>
    <row r="149" spans="1:18" s="32" customFormat="1" ht="15" x14ac:dyDescent="0.25">
      <c r="A149" s="84" t="s">
        <v>231</v>
      </c>
      <c r="B149" s="85">
        <v>11</v>
      </c>
      <c r="C149" s="85">
        <v>41</v>
      </c>
      <c r="D149" s="15">
        <f t="shared" ref="D149:D156" si="21">SUM(B149:C149)</f>
        <v>52</v>
      </c>
      <c r="E149" s="85">
        <v>0.18333333333333332</v>
      </c>
      <c r="F149" s="85">
        <f>E149/2</f>
        <v>9.166666666666666E-2</v>
      </c>
      <c r="G149" s="28">
        <f t="shared" si="17"/>
        <v>0.27499999999999997</v>
      </c>
      <c r="H149" s="85">
        <f>635/60</f>
        <v>10.583333333333334</v>
      </c>
      <c r="I149" s="85">
        <f>H149/2</f>
        <v>5.291666666666667</v>
      </c>
      <c r="J149" s="28">
        <f t="shared" si="18"/>
        <v>15.875</v>
      </c>
      <c r="K149" s="28">
        <f t="shared" si="19"/>
        <v>16.149999999999999</v>
      </c>
      <c r="L149" s="28" t="s">
        <v>307</v>
      </c>
      <c r="M149" s="26" t="s">
        <v>26</v>
      </c>
      <c r="N149" s="26" t="s">
        <v>227</v>
      </c>
      <c r="O149" s="172" t="s">
        <v>308</v>
      </c>
      <c r="P149" s="172" t="s">
        <v>311</v>
      </c>
      <c r="Q149" s="26" t="s">
        <v>47</v>
      </c>
      <c r="R149" s="96" t="s">
        <v>46</v>
      </c>
    </row>
    <row r="150" spans="1:18" s="32" customFormat="1" ht="15" x14ac:dyDescent="0.25">
      <c r="A150" s="84" t="s">
        <v>232</v>
      </c>
      <c r="B150" s="85">
        <v>0</v>
      </c>
      <c r="C150" s="85">
        <v>0</v>
      </c>
      <c r="D150" s="15">
        <f t="shared" si="21"/>
        <v>0</v>
      </c>
      <c r="E150" s="85">
        <v>0</v>
      </c>
      <c r="F150" s="85">
        <v>0</v>
      </c>
      <c r="G150" s="28">
        <f t="shared" si="17"/>
        <v>0</v>
      </c>
      <c r="H150" s="85">
        <v>0</v>
      </c>
      <c r="I150" s="85">
        <v>0</v>
      </c>
      <c r="J150" s="28">
        <f t="shared" si="18"/>
        <v>0</v>
      </c>
      <c r="K150" s="28">
        <f t="shared" si="19"/>
        <v>0</v>
      </c>
      <c r="L150" s="28" t="s">
        <v>307</v>
      </c>
      <c r="M150" s="26" t="s">
        <v>26</v>
      </c>
      <c r="N150" s="26" t="s">
        <v>227</v>
      </c>
      <c r="O150" s="172" t="s">
        <v>308</v>
      </c>
      <c r="P150" s="172" t="s">
        <v>311</v>
      </c>
      <c r="Q150" s="26" t="s">
        <v>47</v>
      </c>
      <c r="R150" s="96" t="s">
        <v>46</v>
      </c>
    </row>
    <row r="151" spans="1:18" s="32" customFormat="1" ht="15" x14ac:dyDescent="0.25">
      <c r="A151" s="84" t="s">
        <v>233</v>
      </c>
      <c r="B151" s="85">
        <v>0</v>
      </c>
      <c r="C151" s="85">
        <v>0</v>
      </c>
      <c r="D151" s="15">
        <f t="shared" si="21"/>
        <v>0</v>
      </c>
      <c r="E151" s="85">
        <v>0</v>
      </c>
      <c r="F151" s="85">
        <v>0</v>
      </c>
      <c r="G151" s="28">
        <f t="shared" si="17"/>
        <v>0</v>
      </c>
      <c r="H151" s="85">
        <v>0</v>
      </c>
      <c r="I151" s="85">
        <v>0</v>
      </c>
      <c r="J151" s="28">
        <f t="shared" si="18"/>
        <v>0</v>
      </c>
      <c r="K151" s="28">
        <f t="shared" si="19"/>
        <v>0</v>
      </c>
      <c r="L151" s="28" t="s">
        <v>307</v>
      </c>
      <c r="M151" s="26" t="s">
        <v>26</v>
      </c>
      <c r="N151" s="26" t="s">
        <v>227</v>
      </c>
      <c r="O151" s="172" t="s">
        <v>308</v>
      </c>
      <c r="P151" s="172" t="s">
        <v>311</v>
      </c>
      <c r="Q151" s="26" t="s">
        <v>47</v>
      </c>
      <c r="R151" s="96" t="s">
        <v>46</v>
      </c>
    </row>
    <row r="152" spans="1:18" s="32" customFormat="1" ht="15" x14ac:dyDescent="0.25">
      <c r="A152" s="84" t="s">
        <v>234</v>
      </c>
      <c r="B152" s="85">
        <v>38</v>
      </c>
      <c r="C152" s="85">
        <v>164</v>
      </c>
      <c r="D152" s="15">
        <f t="shared" si="21"/>
        <v>202</v>
      </c>
      <c r="E152" s="85">
        <v>3.1666666666666665</v>
      </c>
      <c r="F152" s="85">
        <v>3.1666666666666665</v>
      </c>
      <c r="G152" s="28">
        <f t="shared" si="17"/>
        <v>6.333333333333333</v>
      </c>
      <c r="H152" s="85">
        <v>31.75</v>
      </c>
      <c r="I152" s="85">
        <v>18.083333333333332</v>
      </c>
      <c r="J152" s="28">
        <f t="shared" si="18"/>
        <v>49.833333333333329</v>
      </c>
      <c r="K152" s="28">
        <f t="shared" si="19"/>
        <v>56.166666666666664</v>
      </c>
      <c r="L152" s="28" t="s">
        <v>307</v>
      </c>
      <c r="M152" s="26" t="s">
        <v>26</v>
      </c>
      <c r="N152" s="26" t="s">
        <v>227</v>
      </c>
      <c r="O152" s="172" t="s">
        <v>308</v>
      </c>
      <c r="P152" s="172" t="s">
        <v>311</v>
      </c>
      <c r="Q152" s="26" t="s">
        <v>47</v>
      </c>
      <c r="R152" s="96" t="s">
        <v>46</v>
      </c>
    </row>
    <row r="153" spans="1:18" s="32" customFormat="1" ht="15" x14ac:dyDescent="0.25">
      <c r="A153" s="84" t="s">
        <v>235</v>
      </c>
      <c r="B153" s="85">
        <v>2</v>
      </c>
      <c r="C153" s="85">
        <v>0</v>
      </c>
      <c r="D153" s="15">
        <f t="shared" si="21"/>
        <v>2</v>
      </c>
      <c r="E153" s="85">
        <v>0.33333333333333331</v>
      </c>
      <c r="F153" s="85">
        <v>4</v>
      </c>
      <c r="G153" s="28">
        <f t="shared" si="17"/>
        <v>4.333333333333333</v>
      </c>
      <c r="H153" s="85">
        <v>0</v>
      </c>
      <c r="I153" s="85">
        <v>0</v>
      </c>
      <c r="J153" s="28">
        <f t="shared" si="18"/>
        <v>0</v>
      </c>
      <c r="K153" s="28">
        <f t="shared" si="19"/>
        <v>4.333333333333333</v>
      </c>
      <c r="L153" s="28" t="s">
        <v>307</v>
      </c>
      <c r="M153" s="26" t="s">
        <v>26</v>
      </c>
      <c r="N153" s="26" t="s">
        <v>227</v>
      </c>
      <c r="O153" s="172" t="s">
        <v>308</v>
      </c>
      <c r="P153" s="172" t="s">
        <v>311</v>
      </c>
      <c r="Q153" s="26" t="s">
        <v>47</v>
      </c>
      <c r="R153" s="96" t="s">
        <v>46</v>
      </c>
    </row>
    <row r="154" spans="1:18" s="32" customFormat="1" ht="15" x14ac:dyDescent="0.25">
      <c r="A154" s="84" t="s">
        <v>236</v>
      </c>
      <c r="B154" s="85">
        <v>13</v>
      </c>
      <c r="C154" s="85">
        <v>36</v>
      </c>
      <c r="D154" s="15">
        <f t="shared" si="21"/>
        <v>49</v>
      </c>
      <c r="E154" s="85">
        <v>18.75</v>
      </c>
      <c r="F154" s="85">
        <v>11</v>
      </c>
      <c r="G154" s="28">
        <f t="shared" si="17"/>
        <v>29.75</v>
      </c>
      <c r="H154" s="85">
        <v>26.416666666666668</v>
      </c>
      <c r="I154" s="85">
        <v>26.333333333333332</v>
      </c>
      <c r="J154" s="28">
        <f t="shared" si="18"/>
        <v>52.75</v>
      </c>
      <c r="K154" s="28">
        <f t="shared" si="19"/>
        <v>82.5</v>
      </c>
      <c r="L154" s="28" t="s">
        <v>307</v>
      </c>
      <c r="M154" s="26" t="s">
        <v>26</v>
      </c>
      <c r="N154" s="26" t="s">
        <v>227</v>
      </c>
      <c r="O154" s="172" t="s">
        <v>308</v>
      </c>
      <c r="P154" s="172" t="s">
        <v>311</v>
      </c>
      <c r="Q154" s="26" t="s">
        <v>47</v>
      </c>
      <c r="R154" s="96" t="s">
        <v>46</v>
      </c>
    </row>
    <row r="155" spans="1:18" s="32" customFormat="1" ht="15" x14ac:dyDescent="0.25">
      <c r="A155" s="84" t="s">
        <v>237</v>
      </c>
      <c r="B155" s="85">
        <v>2</v>
      </c>
      <c r="C155" s="85">
        <v>0</v>
      </c>
      <c r="D155" s="15">
        <f t="shared" si="21"/>
        <v>2</v>
      </c>
      <c r="E155" s="85">
        <v>3.3333333333333333E-2</v>
      </c>
      <c r="F155" s="85">
        <v>0.66666666666666663</v>
      </c>
      <c r="G155" s="28">
        <f t="shared" si="17"/>
        <v>0.7</v>
      </c>
      <c r="H155" s="85">
        <v>0</v>
      </c>
      <c r="I155" s="85">
        <v>0</v>
      </c>
      <c r="J155" s="28">
        <f t="shared" si="18"/>
        <v>0</v>
      </c>
      <c r="K155" s="28">
        <f t="shared" si="19"/>
        <v>0.7</v>
      </c>
      <c r="L155" s="28" t="s">
        <v>307</v>
      </c>
      <c r="M155" s="26" t="s">
        <v>26</v>
      </c>
      <c r="N155" s="26" t="s">
        <v>227</v>
      </c>
      <c r="O155" s="172" t="s">
        <v>308</v>
      </c>
      <c r="P155" s="172" t="s">
        <v>311</v>
      </c>
      <c r="Q155" s="26" t="s">
        <v>47</v>
      </c>
      <c r="R155" s="96" t="s">
        <v>46</v>
      </c>
    </row>
    <row r="156" spans="1:18" s="32" customFormat="1" ht="15" x14ac:dyDescent="0.25">
      <c r="A156" s="84" t="s">
        <v>238</v>
      </c>
      <c r="B156" s="85">
        <v>0</v>
      </c>
      <c r="C156" s="85">
        <v>0</v>
      </c>
      <c r="D156" s="15">
        <f t="shared" si="21"/>
        <v>0</v>
      </c>
      <c r="E156" s="85">
        <v>0</v>
      </c>
      <c r="F156" s="85">
        <v>0</v>
      </c>
      <c r="G156" s="28">
        <f t="shared" si="17"/>
        <v>0</v>
      </c>
      <c r="H156" s="85">
        <v>0</v>
      </c>
      <c r="I156" s="85">
        <v>0</v>
      </c>
      <c r="J156" s="28">
        <f t="shared" si="18"/>
        <v>0</v>
      </c>
      <c r="K156" s="28">
        <f t="shared" si="19"/>
        <v>0</v>
      </c>
      <c r="L156" s="28" t="s">
        <v>307</v>
      </c>
      <c r="M156" s="26" t="s">
        <v>26</v>
      </c>
      <c r="N156" s="26" t="s">
        <v>227</v>
      </c>
      <c r="O156" s="172" t="s">
        <v>308</v>
      </c>
      <c r="P156" s="172" t="s">
        <v>311</v>
      </c>
      <c r="Q156" s="26" t="s">
        <v>47</v>
      </c>
      <c r="R156" s="96" t="s">
        <v>46</v>
      </c>
    </row>
    <row r="157" spans="1:18" s="40" customFormat="1" ht="15" x14ac:dyDescent="0.25">
      <c r="A157" s="55" t="s">
        <v>230</v>
      </c>
      <c r="B157" s="56">
        <v>18</v>
      </c>
      <c r="C157" s="56">
        <v>45</v>
      </c>
      <c r="D157" s="35">
        <f>SUM(B157:C157)</f>
        <v>63</v>
      </c>
      <c r="E157" s="56">
        <v>0.6</v>
      </c>
      <c r="F157" s="56">
        <f>E157/3</f>
        <v>0.19999999999999998</v>
      </c>
      <c r="G157" s="36">
        <f t="shared" si="17"/>
        <v>0.79999999999999993</v>
      </c>
      <c r="H157" s="56">
        <v>2.5166666666666666</v>
      </c>
      <c r="I157" s="56">
        <f>H157/3</f>
        <v>0.83888888888888891</v>
      </c>
      <c r="J157" s="36">
        <f t="shared" si="18"/>
        <v>3.3555555555555556</v>
      </c>
      <c r="K157" s="36">
        <f t="shared" si="19"/>
        <v>4.1555555555555559</v>
      </c>
      <c r="L157" s="36" t="s">
        <v>302</v>
      </c>
      <c r="M157" s="39"/>
      <c r="N157" s="53" t="s">
        <v>227</v>
      </c>
      <c r="O157" s="173" t="s">
        <v>310</v>
      </c>
      <c r="P157" s="173" t="s">
        <v>315</v>
      </c>
      <c r="Q157" s="39" t="s">
        <v>49</v>
      </c>
      <c r="R157" s="95" t="s">
        <v>48</v>
      </c>
    </row>
    <row r="158" spans="1:18" s="40" customFormat="1" ht="15" x14ac:dyDescent="0.25">
      <c r="A158" s="55" t="s">
        <v>231</v>
      </c>
      <c r="B158" s="56">
        <v>23</v>
      </c>
      <c r="C158" s="56">
        <v>12</v>
      </c>
      <c r="D158" s="35">
        <f t="shared" ref="D158:D165" si="22">SUM(B158:C158)</f>
        <v>35</v>
      </c>
      <c r="E158" s="56">
        <v>0.38333333333333336</v>
      </c>
      <c r="F158" s="56">
        <f>E158/3</f>
        <v>0.1277777777777778</v>
      </c>
      <c r="G158" s="36">
        <f t="shared" si="17"/>
        <v>0.51111111111111118</v>
      </c>
      <c r="H158" s="56">
        <v>0.66666666666666663</v>
      </c>
      <c r="I158" s="56">
        <f>H158/3</f>
        <v>0.22222222222222221</v>
      </c>
      <c r="J158" s="36">
        <f t="shared" si="18"/>
        <v>0.88888888888888884</v>
      </c>
      <c r="K158" s="36">
        <f t="shared" si="19"/>
        <v>1.4</v>
      </c>
      <c r="L158" s="36" t="s">
        <v>302</v>
      </c>
      <c r="M158" s="39"/>
      <c r="N158" s="53" t="s">
        <v>227</v>
      </c>
      <c r="O158" s="173" t="s">
        <v>310</v>
      </c>
      <c r="P158" s="173" t="s">
        <v>315</v>
      </c>
      <c r="Q158" s="39" t="s">
        <v>49</v>
      </c>
      <c r="R158" s="95" t="s">
        <v>48</v>
      </c>
    </row>
    <row r="159" spans="1:18" s="40" customFormat="1" ht="15" x14ac:dyDescent="0.25">
      <c r="A159" s="55" t="s">
        <v>232</v>
      </c>
      <c r="B159" s="56">
        <v>0</v>
      </c>
      <c r="C159" s="56">
        <v>0</v>
      </c>
      <c r="D159" s="35">
        <f t="shared" si="22"/>
        <v>0</v>
      </c>
      <c r="E159" s="56">
        <v>0</v>
      </c>
      <c r="F159" s="56">
        <v>0</v>
      </c>
      <c r="G159" s="36">
        <f t="shared" si="17"/>
        <v>0</v>
      </c>
      <c r="H159" s="56">
        <v>0</v>
      </c>
      <c r="I159" s="56">
        <v>0</v>
      </c>
      <c r="J159" s="36">
        <f t="shared" si="18"/>
        <v>0</v>
      </c>
      <c r="K159" s="36">
        <f t="shared" si="19"/>
        <v>0</v>
      </c>
      <c r="L159" s="36" t="s">
        <v>302</v>
      </c>
      <c r="M159" s="39"/>
      <c r="N159" s="53" t="s">
        <v>227</v>
      </c>
      <c r="O159" s="173" t="s">
        <v>310</v>
      </c>
      <c r="P159" s="173" t="s">
        <v>315</v>
      </c>
      <c r="Q159" s="39" t="s">
        <v>49</v>
      </c>
      <c r="R159" s="95" t="s">
        <v>48</v>
      </c>
    </row>
    <row r="160" spans="1:18" s="40" customFormat="1" ht="15" x14ac:dyDescent="0.25">
      <c r="A160" s="55" t="s">
        <v>233</v>
      </c>
      <c r="B160" s="56">
        <v>0</v>
      </c>
      <c r="C160" s="56">
        <v>0</v>
      </c>
      <c r="D160" s="35">
        <f t="shared" si="22"/>
        <v>0</v>
      </c>
      <c r="E160" s="56">
        <v>0</v>
      </c>
      <c r="F160" s="56">
        <v>0</v>
      </c>
      <c r="G160" s="36">
        <f t="shared" si="17"/>
        <v>0</v>
      </c>
      <c r="H160" s="56">
        <v>0</v>
      </c>
      <c r="I160" s="56">
        <v>0</v>
      </c>
      <c r="J160" s="36">
        <f t="shared" si="18"/>
        <v>0</v>
      </c>
      <c r="K160" s="36">
        <f t="shared" si="19"/>
        <v>0</v>
      </c>
      <c r="L160" s="36" t="s">
        <v>302</v>
      </c>
      <c r="M160" s="39"/>
      <c r="N160" s="53" t="s">
        <v>227</v>
      </c>
      <c r="O160" s="173" t="s">
        <v>310</v>
      </c>
      <c r="P160" s="173" t="s">
        <v>315</v>
      </c>
      <c r="Q160" s="39" t="s">
        <v>49</v>
      </c>
      <c r="R160" s="95" t="s">
        <v>48</v>
      </c>
    </row>
    <row r="161" spans="1:18" s="40" customFormat="1" ht="15" x14ac:dyDescent="0.25">
      <c r="A161" s="55" t="s">
        <v>234</v>
      </c>
      <c r="B161" s="56">
        <v>43</v>
      </c>
      <c r="C161" s="56">
        <v>86</v>
      </c>
      <c r="D161" s="35">
        <f t="shared" si="22"/>
        <v>129</v>
      </c>
      <c r="E161" s="56">
        <v>3.5833333333333335</v>
      </c>
      <c r="F161" s="56">
        <v>3.5833333333333335</v>
      </c>
      <c r="G161" s="36">
        <f t="shared" si="17"/>
        <v>7.166666666666667</v>
      </c>
      <c r="H161" s="56">
        <v>5.416666666666667</v>
      </c>
      <c r="I161" s="56">
        <v>8.4166666666666661</v>
      </c>
      <c r="J161" s="36">
        <f t="shared" si="18"/>
        <v>13.833333333333332</v>
      </c>
      <c r="K161" s="36">
        <f t="shared" si="19"/>
        <v>21</v>
      </c>
      <c r="L161" s="36" t="s">
        <v>302</v>
      </c>
      <c r="M161" s="39"/>
      <c r="N161" s="53" t="s">
        <v>227</v>
      </c>
      <c r="O161" s="173" t="s">
        <v>310</v>
      </c>
      <c r="P161" s="173" t="s">
        <v>315</v>
      </c>
      <c r="Q161" s="39" t="s">
        <v>49</v>
      </c>
      <c r="R161" s="95" t="s">
        <v>48</v>
      </c>
    </row>
    <row r="162" spans="1:18" s="40" customFormat="1" ht="15" x14ac:dyDescent="0.25">
      <c r="A162" s="55" t="s">
        <v>235</v>
      </c>
      <c r="B162" s="56">
        <v>3</v>
      </c>
      <c r="C162" s="56">
        <v>1</v>
      </c>
      <c r="D162" s="35">
        <f t="shared" si="22"/>
        <v>4</v>
      </c>
      <c r="E162" s="56">
        <v>0.5</v>
      </c>
      <c r="F162" s="56">
        <v>6</v>
      </c>
      <c r="G162" s="36">
        <f t="shared" si="17"/>
        <v>6.5</v>
      </c>
      <c r="H162" s="56">
        <v>0.33333333333333331</v>
      </c>
      <c r="I162" s="56">
        <v>0.16666666666666666</v>
      </c>
      <c r="J162" s="36">
        <f t="shared" si="18"/>
        <v>0.5</v>
      </c>
      <c r="K162" s="36">
        <f t="shared" si="19"/>
        <v>7</v>
      </c>
      <c r="L162" s="36" t="s">
        <v>302</v>
      </c>
      <c r="M162" s="39"/>
      <c r="N162" s="53" t="s">
        <v>227</v>
      </c>
      <c r="O162" s="173" t="s">
        <v>310</v>
      </c>
      <c r="P162" s="173" t="s">
        <v>315</v>
      </c>
      <c r="Q162" s="39" t="s">
        <v>49</v>
      </c>
      <c r="R162" s="95" t="s">
        <v>48</v>
      </c>
    </row>
    <row r="163" spans="1:18" s="40" customFormat="1" ht="15" x14ac:dyDescent="0.25">
      <c r="A163" s="55" t="s">
        <v>236</v>
      </c>
      <c r="B163" s="56">
        <v>31</v>
      </c>
      <c r="C163" s="56">
        <v>10</v>
      </c>
      <c r="D163" s="35">
        <f t="shared" si="22"/>
        <v>41</v>
      </c>
      <c r="E163" s="56">
        <v>2.5833333333333335</v>
      </c>
      <c r="F163" s="56">
        <v>5.166666666666667</v>
      </c>
      <c r="G163" s="36">
        <f t="shared" si="17"/>
        <v>7.75</v>
      </c>
      <c r="H163" s="56">
        <v>4.5</v>
      </c>
      <c r="I163" s="56">
        <v>4.5</v>
      </c>
      <c r="J163" s="36">
        <f t="shared" si="18"/>
        <v>9</v>
      </c>
      <c r="K163" s="36">
        <f t="shared" si="19"/>
        <v>16.75</v>
      </c>
      <c r="L163" s="36" t="s">
        <v>302</v>
      </c>
      <c r="M163" s="39"/>
      <c r="N163" s="53" t="s">
        <v>227</v>
      </c>
      <c r="O163" s="173" t="s">
        <v>310</v>
      </c>
      <c r="P163" s="173" t="s">
        <v>315</v>
      </c>
      <c r="Q163" s="39" t="s">
        <v>49</v>
      </c>
      <c r="R163" s="95" t="s">
        <v>48</v>
      </c>
    </row>
    <row r="164" spans="1:18" s="40" customFormat="1" ht="15" x14ac:dyDescent="0.25">
      <c r="A164" s="55" t="s">
        <v>237</v>
      </c>
      <c r="B164" s="56">
        <v>6</v>
      </c>
      <c r="C164" s="56">
        <v>1</v>
      </c>
      <c r="D164" s="35">
        <f t="shared" si="22"/>
        <v>7</v>
      </c>
      <c r="E164" s="56">
        <v>0.1</v>
      </c>
      <c r="F164" s="56">
        <v>2</v>
      </c>
      <c r="G164" s="36">
        <f t="shared" si="17"/>
        <v>2.1</v>
      </c>
      <c r="H164" s="56">
        <v>0.05</v>
      </c>
      <c r="I164" s="56">
        <v>0.16666666666666666</v>
      </c>
      <c r="J164" s="36">
        <f t="shared" si="18"/>
        <v>0.21666666666666667</v>
      </c>
      <c r="K164" s="36">
        <f t="shared" si="19"/>
        <v>2.3166666666666669</v>
      </c>
      <c r="L164" s="36" t="s">
        <v>302</v>
      </c>
      <c r="M164" s="39"/>
      <c r="N164" s="53" t="s">
        <v>227</v>
      </c>
      <c r="O164" s="173" t="s">
        <v>310</v>
      </c>
      <c r="P164" s="173" t="s">
        <v>315</v>
      </c>
      <c r="Q164" s="39" t="s">
        <v>49</v>
      </c>
      <c r="R164" s="95" t="s">
        <v>48</v>
      </c>
    </row>
    <row r="165" spans="1:18" s="40" customFormat="1" ht="15" x14ac:dyDescent="0.25">
      <c r="A165" s="55" t="s">
        <v>238</v>
      </c>
      <c r="B165" s="56">
        <v>9</v>
      </c>
      <c r="C165" s="56">
        <v>1</v>
      </c>
      <c r="D165" s="35">
        <f t="shared" si="22"/>
        <v>10</v>
      </c>
      <c r="E165" s="56">
        <v>0.15</v>
      </c>
      <c r="F165" s="56">
        <v>0</v>
      </c>
      <c r="G165" s="36">
        <f t="shared" si="17"/>
        <v>0.15</v>
      </c>
      <c r="H165" s="56">
        <v>0.05</v>
      </c>
      <c r="I165" s="56">
        <v>0</v>
      </c>
      <c r="J165" s="36">
        <f t="shared" si="18"/>
        <v>0.05</v>
      </c>
      <c r="K165" s="36">
        <f t="shared" si="19"/>
        <v>0.2</v>
      </c>
      <c r="L165" s="36" t="s">
        <v>302</v>
      </c>
      <c r="M165" s="39"/>
      <c r="N165" s="53" t="s">
        <v>227</v>
      </c>
      <c r="O165" s="173" t="s">
        <v>310</v>
      </c>
      <c r="P165" s="173" t="s">
        <v>315</v>
      </c>
      <c r="Q165" s="39" t="s">
        <v>49</v>
      </c>
      <c r="R165" s="95" t="s">
        <v>48</v>
      </c>
    </row>
    <row r="166" spans="1:18" s="32" customFormat="1" ht="15" x14ac:dyDescent="0.25">
      <c r="A166" s="84" t="s">
        <v>230</v>
      </c>
      <c r="B166" s="85">
        <v>18</v>
      </c>
      <c r="C166" s="85">
        <v>45</v>
      </c>
      <c r="D166" s="15">
        <f>SUM(B166:C166)</f>
        <v>63</v>
      </c>
      <c r="E166" s="85">
        <v>0.6</v>
      </c>
      <c r="F166" s="85">
        <f>E166/2</f>
        <v>0.3</v>
      </c>
      <c r="G166" s="28">
        <f t="shared" si="17"/>
        <v>0.89999999999999991</v>
      </c>
      <c r="H166" s="85">
        <v>14.666666666666666</v>
      </c>
      <c r="I166" s="85">
        <f>H166/2</f>
        <v>7.333333333333333</v>
      </c>
      <c r="J166" s="28">
        <f t="shared" si="18"/>
        <v>22</v>
      </c>
      <c r="K166" s="28">
        <f t="shared" si="19"/>
        <v>22.9</v>
      </c>
      <c r="L166" s="28" t="s">
        <v>307</v>
      </c>
      <c r="M166" s="26" t="s">
        <v>26</v>
      </c>
      <c r="N166" s="30" t="s">
        <v>227</v>
      </c>
      <c r="O166" s="172" t="s">
        <v>310</v>
      </c>
      <c r="P166" s="172" t="s">
        <v>315</v>
      </c>
      <c r="Q166" s="26" t="s">
        <v>49</v>
      </c>
      <c r="R166" s="96" t="s">
        <v>48</v>
      </c>
    </row>
    <row r="167" spans="1:18" s="32" customFormat="1" ht="15" x14ac:dyDescent="0.25">
      <c r="A167" s="84" t="s">
        <v>231</v>
      </c>
      <c r="B167" s="85">
        <v>23</v>
      </c>
      <c r="C167" s="85">
        <v>12</v>
      </c>
      <c r="D167" s="15">
        <f t="shared" ref="D167:D174" si="23">SUM(B167:C167)</f>
        <v>35</v>
      </c>
      <c r="E167" s="85">
        <v>0.38333333333333336</v>
      </c>
      <c r="F167" s="85">
        <f>E167/2</f>
        <v>0.19166666666666668</v>
      </c>
      <c r="G167" s="28">
        <f t="shared" si="17"/>
        <v>0.57500000000000007</v>
      </c>
      <c r="H167" s="85">
        <v>3.1666666666666665</v>
      </c>
      <c r="I167" s="85">
        <f>H167/2</f>
        <v>1.5833333333333333</v>
      </c>
      <c r="J167" s="28">
        <f t="shared" si="18"/>
        <v>4.75</v>
      </c>
      <c r="K167" s="28">
        <f t="shared" si="19"/>
        <v>5.3250000000000002</v>
      </c>
      <c r="L167" s="28" t="s">
        <v>307</v>
      </c>
      <c r="M167" s="26" t="s">
        <v>26</v>
      </c>
      <c r="N167" s="30" t="s">
        <v>227</v>
      </c>
      <c r="O167" s="172" t="s">
        <v>310</v>
      </c>
      <c r="P167" s="172" t="s">
        <v>315</v>
      </c>
      <c r="Q167" s="26" t="s">
        <v>49</v>
      </c>
      <c r="R167" s="96" t="s">
        <v>48</v>
      </c>
    </row>
    <row r="168" spans="1:18" s="32" customFormat="1" ht="15" x14ac:dyDescent="0.25">
      <c r="A168" s="84" t="s">
        <v>232</v>
      </c>
      <c r="B168" s="85">
        <v>0</v>
      </c>
      <c r="C168" s="85">
        <v>0</v>
      </c>
      <c r="D168" s="15">
        <f t="shared" si="23"/>
        <v>0</v>
      </c>
      <c r="E168" s="85">
        <v>0</v>
      </c>
      <c r="F168" s="85">
        <v>0</v>
      </c>
      <c r="G168" s="28">
        <f t="shared" si="17"/>
        <v>0</v>
      </c>
      <c r="H168" s="85">
        <v>0</v>
      </c>
      <c r="I168" s="85">
        <v>0</v>
      </c>
      <c r="J168" s="28">
        <f t="shared" si="18"/>
        <v>0</v>
      </c>
      <c r="K168" s="28">
        <f t="shared" si="19"/>
        <v>0</v>
      </c>
      <c r="L168" s="28" t="s">
        <v>307</v>
      </c>
      <c r="M168" s="26" t="s">
        <v>26</v>
      </c>
      <c r="N168" s="30" t="s">
        <v>227</v>
      </c>
      <c r="O168" s="172" t="s">
        <v>310</v>
      </c>
      <c r="P168" s="172" t="s">
        <v>315</v>
      </c>
      <c r="Q168" s="26" t="s">
        <v>49</v>
      </c>
      <c r="R168" s="96" t="s">
        <v>48</v>
      </c>
    </row>
    <row r="169" spans="1:18" s="32" customFormat="1" ht="15" x14ac:dyDescent="0.25">
      <c r="A169" s="84" t="s">
        <v>233</v>
      </c>
      <c r="B169" s="85">
        <v>0</v>
      </c>
      <c r="C169" s="85">
        <v>0</v>
      </c>
      <c r="D169" s="15">
        <f t="shared" si="23"/>
        <v>0</v>
      </c>
      <c r="E169" s="85">
        <v>0</v>
      </c>
      <c r="F169" s="85">
        <v>0</v>
      </c>
      <c r="G169" s="28">
        <f t="shared" si="17"/>
        <v>0</v>
      </c>
      <c r="H169" s="85">
        <v>0</v>
      </c>
      <c r="I169" s="85">
        <v>0</v>
      </c>
      <c r="J169" s="28">
        <f t="shared" si="18"/>
        <v>0</v>
      </c>
      <c r="K169" s="28">
        <f t="shared" si="19"/>
        <v>0</v>
      </c>
      <c r="L169" s="28" t="s">
        <v>307</v>
      </c>
      <c r="M169" s="26" t="s">
        <v>26</v>
      </c>
      <c r="N169" s="30" t="s">
        <v>227</v>
      </c>
      <c r="O169" s="172" t="s">
        <v>310</v>
      </c>
      <c r="P169" s="172" t="s">
        <v>315</v>
      </c>
      <c r="Q169" s="26" t="s">
        <v>49</v>
      </c>
      <c r="R169" s="96" t="s">
        <v>48</v>
      </c>
    </row>
    <row r="170" spans="1:18" s="32" customFormat="1" ht="15" x14ac:dyDescent="0.25">
      <c r="A170" s="84" t="s">
        <v>234</v>
      </c>
      <c r="B170" s="85">
        <v>43</v>
      </c>
      <c r="C170" s="85">
        <v>86</v>
      </c>
      <c r="D170" s="15">
        <f t="shared" si="23"/>
        <v>129</v>
      </c>
      <c r="E170" s="85">
        <v>3.5833333333333335</v>
      </c>
      <c r="F170" s="85">
        <v>3.5833333333333335</v>
      </c>
      <c r="G170" s="28">
        <f t="shared" si="17"/>
        <v>7.166666666666667</v>
      </c>
      <c r="H170" s="85">
        <v>16.083333333333332</v>
      </c>
      <c r="I170" s="85">
        <v>8.4166666666666661</v>
      </c>
      <c r="J170" s="28">
        <f t="shared" si="18"/>
        <v>24.5</v>
      </c>
      <c r="K170" s="28">
        <f t="shared" si="19"/>
        <v>31.666666666666668</v>
      </c>
      <c r="L170" s="28" t="s">
        <v>307</v>
      </c>
      <c r="M170" s="26" t="s">
        <v>26</v>
      </c>
      <c r="N170" s="30" t="s">
        <v>227</v>
      </c>
      <c r="O170" s="172" t="s">
        <v>310</v>
      </c>
      <c r="P170" s="172" t="s">
        <v>315</v>
      </c>
      <c r="Q170" s="26" t="s">
        <v>49</v>
      </c>
      <c r="R170" s="96" t="s">
        <v>48</v>
      </c>
    </row>
    <row r="171" spans="1:18" s="32" customFormat="1" ht="15" x14ac:dyDescent="0.25">
      <c r="A171" s="84" t="s">
        <v>235</v>
      </c>
      <c r="B171" s="85">
        <v>3</v>
      </c>
      <c r="C171" s="85">
        <v>1</v>
      </c>
      <c r="D171" s="15">
        <f t="shared" si="23"/>
        <v>4</v>
      </c>
      <c r="E171" s="85">
        <v>0.5</v>
      </c>
      <c r="F171" s="85">
        <v>6</v>
      </c>
      <c r="G171" s="28">
        <f t="shared" si="17"/>
        <v>6.5</v>
      </c>
      <c r="H171" s="85">
        <v>0.33333333333333331</v>
      </c>
      <c r="I171" s="85">
        <v>0.16666666666666666</v>
      </c>
      <c r="J171" s="28">
        <f t="shared" si="18"/>
        <v>0.5</v>
      </c>
      <c r="K171" s="28">
        <f t="shared" si="19"/>
        <v>7</v>
      </c>
      <c r="L171" s="28" t="s">
        <v>307</v>
      </c>
      <c r="M171" s="26" t="s">
        <v>26</v>
      </c>
      <c r="N171" s="30" t="s">
        <v>227</v>
      </c>
      <c r="O171" s="172" t="s">
        <v>310</v>
      </c>
      <c r="P171" s="172" t="s">
        <v>315</v>
      </c>
      <c r="Q171" s="26" t="s">
        <v>49</v>
      </c>
      <c r="R171" s="96" t="s">
        <v>48</v>
      </c>
    </row>
    <row r="172" spans="1:18" s="32" customFormat="1" ht="15" x14ac:dyDescent="0.25">
      <c r="A172" s="84" t="s">
        <v>236</v>
      </c>
      <c r="B172" s="85">
        <v>31</v>
      </c>
      <c r="C172" s="85">
        <v>10</v>
      </c>
      <c r="D172" s="15">
        <f t="shared" si="23"/>
        <v>41</v>
      </c>
      <c r="E172" s="85">
        <v>2.5833333333333335</v>
      </c>
      <c r="F172" s="85">
        <v>5.166666666666667</v>
      </c>
      <c r="G172" s="28">
        <f t="shared" si="17"/>
        <v>7.75</v>
      </c>
      <c r="H172" s="85">
        <v>5.333333333333333</v>
      </c>
      <c r="I172" s="85">
        <v>4.5</v>
      </c>
      <c r="J172" s="28">
        <f t="shared" si="18"/>
        <v>9.8333333333333321</v>
      </c>
      <c r="K172" s="28">
        <f t="shared" si="19"/>
        <v>17.583333333333332</v>
      </c>
      <c r="L172" s="28" t="s">
        <v>307</v>
      </c>
      <c r="M172" s="26" t="s">
        <v>26</v>
      </c>
      <c r="N172" s="30" t="s">
        <v>227</v>
      </c>
      <c r="O172" s="172" t="s">
        <v>310</v>
      </c>
      <c r="P172" s="172" t="s">
        <v>315</v>
      </c>
      <c r="Q172" s="26" t="s">
        <v>49</v>
      </c>
      <c r="R172" s="96" t="s">
        <v>48</v>
      </c>
    </row>
    <row r="173" spans="1:18" s="32" customFormat="1" ht="15" x14ac:dyDescent="0.25">
      <c r="A173" s="84" t="s">
        <v>237</v>
      </c>
      <c r="B173" s="85">
        <v>6</v>
      </c>
      <c r="C173" s="85">
        <v>1</v>
      </c>
      <c r="D173" s="15">
        <f t="shared" si="23"/>
        <v>7</v>
      </c>
      <c r="E173" s="85">
        <v>0.1</v>
      </c>
      <c r="F173" s="85">
        <v>2</v>
      </c>
      <c r="G173" s="28">
        <f t="shared" si="17"/>
        <v>2.1</v>
      </c>
      <c r="H173" s="85">
        <v>0.05</v>
      </c>
      <c r="I173" s="85">
        <v>0.16666666666666666</v>
      </c>
      <c r="J173" s="28">
        <f t="shared" si="18"/>
        <v>0.21666666666666667</v>
      </c>
      <c r="K173" s="28">
        <f t="shared" si="19"/>
        <v>2.3166666666666669</v>
      </c>
      <c r="L173" s="28" t="s">
        <v>307</v>
      </c>
      <c r="M173" s="26" t="s">
        <v>26</v>
      </c>
      <c r="N173" s="30" t="s">
        <v>227</v>
      </c>
      <c r="O173" s="172" t="s">
        <v>310</v>
      </c>
      <c r="P173" s="172" t="s">
        <v>315</v>
      </c>
      <c r="Q173" s="26" t="s">
        <v>49</v>
      </c>
      <c r="R173" s="96" t="s">
        <v>48</v>
      </c>
    </row>
    <row r="174" spans="1:18" s="32" customFormat="1" ht="15" x14ac:dyDescent="0.25">
      <c r="A174" s="84" t="s">
        <v>238</v>
      </c>
      <c r="B174" s="85">
        <v>9</v>
      </c>
      <c r="C174" s="85">
        <v>1</v>
      </c>
      <c r="D174" s="15">
        <f t="shared" si="23"/>
        <v>10</v>
      </c>
      <c r="E174" s="85">
        <v>0.15</v>
      </c>
      <c r="F174" s="85">
        <v>0</v>
      </c>
      <c r="G174" s="28">
        <f t="shared" si="17"/>
        <v>0.15</v>
      </c>
      <c r="H174" s="85">
        <v>0.05</v>
      </c>
      <c r="I174" s="85">
        <v>0</v>
      </c>
      <c r="J174" s="28">
        <f t="shared" si="18"/>
        <v>0.05</v>
      </c>
      <c r="K174" s="28">
        <f t="shared" si="19"/>
        <v>0.2</v>
      </c>
      <c r="L174" s="28" t="s">
        <v>307</v>
      </c>
      <c r="M174" s="26" t="s">
        <v>26</v>
      </c>
      <c r="N174" s="30" t="s">
        <v>227</v>
      </c>
      <c r="O174" s="172" t="s">
        <v>310</v>
      </c>
      <c r="P174" s="172" t="s">
        <v>315</v>
      </c>
      <c r="Q174" s="26" t="s">
        <v>49</v>
      </c>
      <c r="R174" s="96" t="s">
        <v>48</v>
      </c>
    </row>
    <row r="175" spans="1:18" s="40" customFormat="1" ht="15" x14ac:dyDescent="0.25">
      <c r="A175" s="55" t="s">
        <v>230</v>
      </c>
      <c r="B175" s="56">
        <v>56</v>
      </c>
      <c r="C175" s="56">
        <v>133</v>
      </c>
      <c r="D175" s="35">
        <f>SUM(B175:C175)</f>
        <v>189</v>
      </c>
      <c r="E175" s="56">
        <v>1.8666666666666667</v>
      </c>
      <c r="F175" s="56">
        <v>0.62222222222222223</v>
      </c>
      <c r="G175" s="36">
        <f t="shared" si="17"/>
        <v>2.4888888888888889</v>
      </c>
      <c r="H175" s="56">
        <v>9.8166666666666664</v>
      </c>
      <c r="I175" s="56">
        <v>3.2722222222222221</v>
      </c>
      <c r="J175" s="36">
        <f t="shared" si="18"/>
        <v>13.088888888888889</v>
      </c>
      <c r="K175" s="36">
        <f t="shared" si="19"/>
        <v>15.577777777777778</v>
      </c>
      <c r="L175" s="36" t="s">
        <v>302</v>
      </c>
      <c r="M175" s="39"/>
      <c r="N175" s="53" t="s">
        <v>227</v>
      </c>
      <c r="O175" s="173" t="s">
        <v>308</v>
      </c>
      <c r="P175" s="173" t="s">
        <v>311</v>
      </c>
      <c r="Q175" s="39" t="s">
        <v>51</v>
      </c>
      <c r="R175" s="95" t="s">
        <v>50</v>
      </c>
    </row>
    <row r="176" spans="1:18" s="40" customFormat="1" ht="15" x14ac:dyDescent="0.25">
      <c r="A176" s="55" t="s">
        <v>231</v>
      </c>
      <c r="B176" s="56">
        <v>48</v>
      </c>
      <c r="C176" s="56">
        <v>82</v>
      </c>
      <c r="D176" s="35">
        <f t="shared" ref="D176:D183" si="24">SUM(B176:C176)</f>
        <v>130</v>
      </c>
      <c r="E176" s="56">
        <v>0.8</v>
      </c>
      <c r="F176" s="56">
        <v>0.26666666666666666</v>
      </c>
      <c r="G176" s="36">
        <f t="shared" si="17"/>
        <v>1.0666666666666667</v>
      </c>
      <c r="H176" s="56">
        <v>5.916666666666667</v>
      </c>
      <c r="I176" s="56">
        <v>1.9722222222222223</v>
      </c>
      <c r="J176" s="36">
        <f t="shared" si="18"/>
        <v>7.8888888888888893</v>
      </c>
      <c r="K176" s="36">
        <f t="shared" si="19"/>
        <v>8.9555555555555557</v>
      </c>
      <c r="L176" s="36" t="s">
        <v>302</v>
      </c>
      <c r="M176" s="39"/>
      <c r="N176" s="53" t="s">
        <v>227</v>
      </c>
      <c r="O176" s="173" t="s">
        <v>308</v>
      </c>
      <c r="P176" s="173" t="s">
        <v>311</v>
      </c>
      <c r="Q176" s="39" t="s">
        <v>51</v>
      </c>
      <c r="R176" s="95" t="s">
        <v>50</v>
      </c>
    </row>
    <row r="177" spans="1:18" s="40" customFormat="1" ht="15" x14ac:dyDescent="0.25">
      <c r="A177" s="55" t="s">
        <v>232</v>
      </c>
      <c r="B177" s="56">
        <v>12</v>
      </c>
      <c r="C177" s="56">
        <v>0</v>
      </c>
      <c r="D177" s="35">
        <f t="shared" si="24"/>
        <v>12</v>
      </c>
      <c r="E177" s="56">
        <v>8</v>
      </c>
      <c r="F177" s="56">
        <v>4</v>
      </c>
      <c r="G177" s="36">
        <f t="shared" si="17"/>
        <v>12</v>
      </c>
      <c r="H177" s="56">
        <v>0</v>
      </c>
      <c r="I177" s="56">
        <v>0</v>
      </c>
      <c r="J177" s="36">
        <f t="shared" si="18"/>
        <v>0</v>
      </c>
      <c r="K177" s="36">
        <f t="shared" si="19"/>
        <v>12</v>
      </c>
      <c r="L177" s="36" t="s">
        <v>302</v>
      </c>
      <c r="M177" s="39"/>
      <c r="N177" s="53" t="s">
        <v>227</v>
      </c>
      <c r="O177" s="173" t="s">
        <v>308</v>
      </c>
      <c r="P177" s="173" t="s">
        <v>311</v>
      </c>
      <c r="Q177" s="39" t="s">
        <v>51</v>
      </c>
      <c r="R177" s="95" t="s">
        <v>50</v>
      </c>
    </row>
    <row r="178" spans="1:18" s="40" customFormat="1" ht="15" x14ac:dyDescent="0.25">
      <c r="A178" s="55" t="s">
        <v>233</v>
      </c>
      <c r="B178" s="56">
        <v>0</v>
      </c>
      <c r="C178" s="56">
        <v>0</v>
      </c>
      <c r="D178" s="35">
        <f t="shared" si="24"/>
        <v>0</v>
      </c>
      <c r="E178" s="56">
        <v>0</v>
      </c>
      <c r="F178" s="56">
        <v>0</v>
      </c>
      <c r="G178" s="36">
        <f t="shared" si="17"/>
        <v>0</v>
      </c>
      <c r="H178" s="56">
        <v>0</v>
      </c>
      <c r="I178" s="56">
        <v>0</v>
      </c>
      <c r="J178" s="36">
        <f t="shared" si="18"/>
        <v>0</v>
      </c>
      <c r="K178" s="36">
        <f t="shared" si="19"/>
        <v>0</v>
      </c>
      <c r="L178" s="36" t="s">
        <v>302</v>
      </c>
      <c r="M178" s="39"/>
      <c r="N178" s="53" t="s">
        <v>227</v>
      </c>
      <c r="O178" s="173" t="s">
        <v>308</v>
      </c>
      <c r="P178" s="173" t="s">
        <v>311</v>
      </c>
      <c r="Q178" s="39" t="s">
        <v>51</v>
      </c>
      <c r="R178" s="95" t="s">
        <v>50</v>
      </c>
    </row>
    <row r="179" spans="1:18" s="40" customFormat="1" ht="15" x14ac:dyDescent="0.25">
      <c r="A179" s="55" t="s">
        <v>234</v>
      </c>
      <c r="B179" s="56">
        <v>90</v>
      </c>
      <c r="C179" s="56">
        <v>266</v>
      </c>
      <c r="D179" s="35">
        <f t="shared" si="24"/>
        <v>356</v>
      </c>
      <c r="E179" s="56">
        <v>7.5</v>
      </c>
      <c r="F179" s="56">
        <v>7.5</v>
      </c>
      <c r="G179" s="36">
        <f t="shared" si="17"/>
        <v>15</v>
      </c>
      <c r="H179" s="56">
        <v>19.05</v>
      </c>
      <c r="I179" s="56">
        <v>31</v>
      </c>
      <c r="J179" s="36">
        <f t="shared" si="18"/>
        <v>50.05</v>
      </c>
      <c r="K179" s="36">
        <f t="shared" si="19"/>
        <v>65.05</v>
      </c>
      <c r="L179" s="36" t="s">
        <v>302</v>
      </c>
      <c r="M179" s="39"/>
      <c r="N179" s="53" t="s">
        <v>227</v>
      </c>
      <c r="O179" s="173" t="s">
        <v>308</v>
      </c>
      <c r="P179" s="173" t="s">
        <v>311</v>
      </c>
      <c r="Q179" s="39" t="s">
        <v>51</v>
      </c>
      <c r="R179" s="95" t="s">
        <v>50</v>
      </c>
    </row>
    <row r="180" spans="1:18" s="40" customFormat="1" ht="15" x14ac:dyDescent="0.25">
      <c r="A180" s="55" t="s">
        <v>235</v>
      </c>
      <c r="B180" s="56">
        <v>4</v>
      </c>
      <c r="C180" s="56">
        <v>0</v>
      </c>
      <c r="D180" s="35">
        <f t="shared" si="24"/>
        <v>4</v>
      </c>
      <c r="E180" s="56">
        <v>0.66666666666666663</v>
      </c>
      <c r="F180" s="56">
        <v>8</v>
      </c>
      <c r="G180" s="36">
        <f t="shared" si="17"/>
        <v>8.6666666666666661</v>
      </c>
      <c r="H180" s="56">
        <v>0</v>
      </c>
      <c r="I180" s="56">
        <v>0</v>
      </c>
      <c r="J180" s="36">
        <f t="shared" si="18"/>
        <v>0</v>
      </c>
      <c r="K180" s="36">
        <f t="shared" si="19"/>
        <v>8.6666666666666661</v>
      </c>
      <c r="L180" s="36" t="s">
        <v>302</v>
      </c>
      <c r="M180" s="39"/>
      <c r="N180" s="53" t="s">
        <v>227</v>
      </c>
      <c r="O180" s="173" t="s">
        <v>308</v>
      </c>
      <c r="P180" s="173" t="s">
        <v>311</v>
      </c>
      <c r="Q180" s="39" t="s">
        <v>51</v>
      </c>
      <c r="R180" s="95" t="s">
        <v>50</v>
      </c>
    </row>
    <row r="181" spans="1:18" s="40" customFormat="1" ht="15" x14ac:dyDescent="0.25">
      <c r="A181" s="55" t="s">
        <v>236</v>
      </c>
      <c r="B181" s="56">
        <v>22</v>
      </c>
      <c r="C181" s="56">
        <v>32</v>
      </c>
      <c r="D181" s="35">
        <f t="shared" si="24"/>
        <v>54</v>
      </c>
      <c r="E181" s="56">
        <v>33.416666666666664</v>
      </c>
      <c r="F181" s="56">
        <v>19</v>
      </c>
      <c r="G181" s="36">
        <f t="shared" si="17"/>
        <v>52.416666666666664</v>
      </c>
      <c r="H181" s="56">
        <v>19.833333333333332</v>
      </c>
      <c r="I181" s="56">
        <v>19.833333333333332</v>
      </c>
      <c r="J181" s="36">
        <f t="shared" si="18"/>
        <v>39.666666666666664</v>
      </c>
      <c r="K181" s="36">
        <f t="shared" si="19"/>
        <v>92.083333333333329</v>
      </c>
      <c r="L181" s="36" t="s">
        <v>302</v>
      </c>
      <c r="M181" s="39"/>
      <c r="N181" s="53" t="s">
        <v>227</v>
      </c>
      <c r="O181" s="173" t="s">
        <v>308</v>
      </c>
      <c r="P181" s="173" t="s">
        <v>311</v>
      </c>
      <c r="Q181" s="39" t="s">
        <v>51</v>
      </c>
      <c r="R181" s="95" t="s">
        <v>50</v>
      </c>
    </row>
    <row r="182" spans="1:18" s="40" customFormat="1" ht="15" x14ac:dyDescent="0.25">
      <c r="A182" s="55" t="s">
        <v>237</v>
      </c>
      <c r="B182" s="56">
        <v>0</v>
      </c>
      <c r="C182" s="56">
        <v>0</v>
      </c>
      <c r="D182" s="35">
        <f t="shared" si="24"/>
        <v>0</v>
      </c>
      <c r="E182" s="56">
        <v>0</v>
      </c>
      <c r="F182" s="56">
        <v>0</v>
      </c>
      <c r="G182" s="36">
        <f t="shared" si="17"/>
        <v>0</v>
      </c>
      <c r="H182" s="56">
        <v>0</v>
      </c>
      <c r="I182" s="56">
        <v>0</v>
      </c>
      <c r="J182" s="36">
        <f t="shared" si="18"/>
        <v>0</v>
      </c>
      <c r="K182" s="36">
        <f t="shared" si="19"/>
        <v>0</v>
      </c>
      <c r="L182" s="36" t="s">
        <v>302</v>
      </c>
      <c r="M182" s="39"/>
      <c r="N182" s="53" t="s">
        <v>227</v>
      </c>
      <c r="O182" s="173" t="s">
        <v>308</v>
      </c>
      <c r="P182" s="173" t="s">
        <v>311</v>
      </c>
      <c r="Q182" s="39" t="s">
        <v>51</v>
      </c>
      <c r="R182" s="95" t="s">
        <v>50</v>
      </c>
    </row>
    <row r="183" spans="1:18" s="40" customFormat="1" ht="15" x14ac:dyDescent="0.25">
      <c r="A183" s="55" t="s">
        <v>238</v>
      </c>
      <c r="B183" s="56">
        <v>0</v>
      </c>
      <c r="C183" s="56">
        <v>0</v>
      </c>
      <c r="D183" s="35">
        <f t="shared" si="24"/>
        <v>0</v>
      </c>
      <c r="E183" s="56">
        <v>0</v>
      </c>
      <c r="F183" s="56">
        <v>0</v>
      </c>
      <c r="G183" s="36">
        <f t="shared" si="17"/>
        <v>0</v>
      </c>
      <c r="H183" s="56">
        <v>0</v>
      </c>
      <c r="I183" s="56">
        <v>0</v>
      </c>
      <c r="J183" s="36">
        <f t="shared" si="18"/>
        <v>0</v>
      </c>
      <c r="K183" s="36">
        <f t="shared" si="19"/>
        <v>0</v>
      </c>
      <c r="L183" s="36" t="s">
        <v>302</v>
      </c>
      <c r="M183" s="39"/>
      <c r="N183" s="53" t="s">
        <v>227</v>
      </c>
      <c r="O183" s="173" t="s">
        <v>308</v>
      </c>
      <c r="P183" s="173" t="s">
        <v>311</v>
      </c>
      <c r="Q183" s="39" t="s">
        <v>51</v>
      </c>
      <c r="R183" s="95" t="s">
        <v>50</v>
      </c>
    </row>
    <row r="184" spans="1:18" s="32" customFormat="1" ht="15" x14ac:dyDescent="0.25">
      <c r="A184" s="84" t="s">
        <v>230</v>
      </c>
      <c r="B184" s="85">
        <v>56</v>
      </c>
      <c r="C184" s="85">
        <v>133</v>
      </c>
      <c r="D184" s="15">
        <f>SUM(B184:C184)</f>
        <v>189</v>
      </c>
      <c r="E184" s="85">
        <v>1.8666666666666667</v>
      </c>
      <c r="F184" s="85">
        <v>0.62222222222222223</v>
      </c>
      <c r="G184" s="28">
        <f t="shared" si="17"/>
        <v>2.4888888888888889</v>
      </c>
      <c r="H184" s="85">
        <f>9.81666666666667+2660/60</f>
        <v>54.150000000000006</v>
      </c>
      <c r="I184" s="85">
        <v>1.4</v>
      </c>
      <c r="J184" s="28">
        <f t="shared" si="18"/>
        <v>55.550000000000004</v>
      </c>
      <c r="K184" s="28">
        <f t="shared" si="19"/>
        <v>58.038888888888891</v>
      </c>
      <c r="L184" s="28" t="s">
        <v>307</v>
      </c>
      <c r="M184" s="26" t="s">
        <v>26</v>
      </c>
      <c r="N184" s="30" t="s">
        <v>227</v>
      </c>
      <c r="O184" s="172" t="s">
        <v>308</v>
      </c>
      <c r="P184" s="172" t="s">
        <v>311</v>
      </c>
      <c r="Q184" s="26" t="s">
        <v>51</v>
      </c>
      <c r="R184" s="96" t="s">
        <v>50</v>
      </c>
    </row>
    <row r="185" spans="1:18" s="32" customFormat="1" ht="15" x14ac:dyDescent="0.25">
      <c r="A185" s="84" t="s">
        <v>231</v>
      </c>
      <c r="B185" s="85">
        <v>48</v>
      </c>
      <c r="C185" s="85">
        <v>82</v>
      </c>
      <c r="D185" s="15">
        <f t="shared" ref="D185:D192" si="25">SUM(B185:C185)</f>
        <v>130</v>
      </c>
      <c r="E185" s="85">
        <v>0.8</v>
      </c>
      <c r="F185" s="85">
        <v>0.26666666666666666</v>
      </c>
      <c r="G185" s="28">
        <f t="shared" si="17"/>
        <v>1.0666666666666667</v>
      </c>
      <c r="H185" s="85">
        <f>5.91666666666667+2050/60</f>
        <v>40.083333333333336</v>
      </c>
      <c r="I185" s="85">
        <v>1</v>
      </c>
      <c r="J185" s="28">
        <f t="shared" si="18"/>
        <v>41.083333333333336</v>
      </c>
      <c r="K185" s="28">
        <f t="shared" si="19"/>
        <v>42.150000000000006</v>
      </c>
      <c r="L185" s="28" t="s">
        <v>307</v>
      </c>
      <c r="M185" s="26" t="s">
        <v>26</v>
      </c>
      <c r="N185" s="30" t="s">
        <v>227</v>
      </c>
      <c r="O185" s="172" t="s">
        <v>308</v>
      </c>
      <c r="P185" s="172" t="s">
        <v>311</v>
      </c>
      <c r="Q185" s="26" t="s">
        <v>51</v>
      </c>
      <c r="R185" s="96" t="s">
        <v>50</v>
      </c>
    </row>
    <row r="186" spans="1:18" s="32" customFormat="1" ht="15" x14ac:dyDescent="0.25">
      <c r="A186" s="84" t="s">
        <v>232</v>
      </c>
      <c r="B186" s="85">
        <v>12</v>
      </c>
      <c r="C186" s="85">
        <v>0</v>
      </c>
      <c r="D186" s="15">
        <f t="shared" si="25"/>
        <v>12</v>
      </c>
      <c r="E186" s="85">
        <v>8</v>
      </c>
      <c r="F186" s="85">
        <v>4</v>
      </c>
      <c r="G186" s="28">
        <f t="shared" si="17"/>
        <v>12</v>
      </c>
      <c r="H186" s="85">
        <v>0</v>
      </c>
      <c r="I186" s="85">
        <v>0</v>
      </c>
      <c r="J186" s="28">
        <f t="shared" si="18"/>
        <v>0</v>
      </c>
      <c r="K186" s="28">
        <f t="shared" si="19"/>
        <v>12</v>
      </c>
      <c r="L186" s="28" t="s">
        <v>307</v>
      </c>
      <c r="M186" s="26" t="s">
        <v>26</v>
      </c>
      <c r="N186" s="30" t="s">
        <v>227</v>
      </c>
      <c r="O186" s="172" t="s">
        <v>308</v>
      </c>
      <c r="P186" s="172" t="s">
        <v>311</v>
      </c>
      <c r="Q186" s="26" t="s">
        <v>51</v>
      </c>
      <c r="R186" s="96" t="s">
        <v>50</v>
      </c>
    </row>
    <row r="187" spans="1:18" s="32" customFormat="1" ht="15" x14ac:dyDescent="0.25">
      <c r="A187" s="84" t="s">
        <v>233</v>
      </c>
      <c r="B187" s="85">
        <v>0</v>
      </c>
      <c r="C187" s="85">
        <v>0</v>
      </c>
      <c r="D187" s="15">
        <f t="shared" si="25"/>
        <v>0</v>
      </c>
      <c r="E187" s="85">
        <v>0</v>
      </c>
      <c r="F187" s="85">
        <v>0</v>
      </c>
      <c r="G187" s="28">
        <f t="shared" si="17"/>
        <v>0</v>
      </c>
      <c r="H187" s="85">
        <v>0</v>
      </c>
      <c r="I187" s="85">
        <v>0</v>
      </c>
      <c r="J187" s="28">
        <f t="shared" si="18"/>
        <v>0</v>
      </c>
      <c r="K187" s="28">
        <f t="shared" si="19"/>
        <v>0</v>
      </c>
      <c r="L187" s="28" t="s">
        <v>307</v>
      </c>
      <c r="M187" s="26" t="s">
        <v>26</v>
      </c>
      <c r="N187" s="30" t="s">
        <v>227</v>
      </c>
      <c r="O187" s="172" t="s">
        <v>308</v>
      </c>
      <c r="P187" s="172" t="s">
        <v>311</v>
      </c>
      <c r="Q187" s="26" t="s">
        <v>51</v>
      </c>
      <c r="R187" s="96" t="s">
        <v>50</v>
      </c>
    </row>
    <row r="188" spans="1:18" s="32" customFormat="1" ht="15" x14ac:dyDescent="0.25">
      <c r="A188" s="84" t="s">
        <v>234</v>
      </c>
      <c r="B188" s="85">
        <v>90</v>
      </c>
      <c r="C188" s="85">
        <v>266</v>
      </c>
      <c r="D188" s="15">
        <f t="shared" si="25"/>
        <v>356</v>
      </c>
      <c r="E188" s="85">
        <v>7.5</v>
      </c>
      <c r="F188" s="85">
        <v>7.5</v>
      </c>
      <c r="G188" s="28">
        <f t="shared" si="17"/>
        <v>15</v>
      </c>
      <c r="H188" s="85">
        <f>19.05+2128/60</f>
        <v>54.516666666666666</v>
      </c>
      <c r="I188" s="85">
        <f>31+6838/60*0.25</f>
        <v>59.491666666666667</v>
      </c>
      <c r="J188" s="28">
        <f t="shared" si="18"/>
        <v>114.00833333333333</v>
      </c>
      <c r="K188" s="28">
        <f t="shared" si="19"/>
        <v>129.00833333333333</v>
      </c>
      <c r="L188" s="28" t="s">
        <v>307</v>
      </c>
      <c r="M188" s="26" t="s">
        <v>26</v>
      </c>
      <c r="N188" s="30" t="s">
        <v>227</v>
      </c>
      <c r="O188" s="172" t="s">
        <v>308</v>
      </c>
      <c r="P188" s="172" t="s">
        <v>311</v>
      </c>
      <c r="Q188" s="26" t="s">
        <v>51</v>
      </c>
      <c r="R188" s="96" t="s">
        <v>50</v>
      </c>
    </row>
    <row r="189" spans="1:18" s="32" customFormat="1" ht="15" x14ac:dyDescent="0.25">
      <c r="A189" s="84" t="s">
        <v>235</v>
      </c>
      <c r="B189" s="85">
        <v>4</v>
      </c>
      <c r="C189" s="85">
        <v>0</v>
      </c>
      <c r="D189" s="15">
        <f t="shared" si="25"/>
        <v>4</v>
      </c>
      <c r="E189" s="85">
        <v>0.66666666666666663</v>
      </c>
      <c r="F189" s="85">
        <v>8</v>
      </c>
      <c r="G189" s="28">
        <f t="shared" si="17"/>
        <v>8.6666666666666661</v>
      </c>
      <c r="H189" s="85">
        <v>0</v>
      </c>
      <c r="I189" s="85">
        <v>0</v>
      </c>
      <c r="J189" s="28">
        <f t="shared" si="18"/>
        <v>0</v>
      </c>
      <c r="K189" s="28">
        <f t="shared" si="19"/>
        <v>8.6666666666666661</v>
      </c>
      <c r="L189" s="28" t="s">
        <v>307</v>
      </c>
      <c r="M189" s="26" t="s">
        <v>26</v>
      </c>
      <c r="N189" s="30" t="s">
        <v>227</v>
      </c>
      <c r="O189" s="172" t="s">
        <v>308</v>
      </c>
      <c r="P189" s="172" t="s">
        <v>311</v>
      </c>
      <c r="Q189" s="26" t="s">
        <v>51</v>
      </c>
      <c r="R189" s="96" t="s">
        <v>50</v>
      </c>
    </row>
    <row r="190" spans="1:18" s="32" customFormat="1" ht="15" x14ac:dyDescent="0.25">
      <c r="A190" s="84" t="s">
        <v>236</v>
      </c>
      <c r="B190" s="85">
        <v>22</v>
      </c>
      <c r="C190" s="85">
        <v>32</v>
      </c>
      <c r="D190" s="15">
        <f t="shared" si="25"/>
        <v>54</v>
      </c>
      <c r="E190" s="85">
        <v>33.416666666666664</v>
      </c>
      <c r="F190" s="85">
        <v>19</v>
      </c>
      <c r="G190" s="28">
        <f t="shared" si="17"/>
        <v>52.416666666666664</v>
      </c>
      <c r="H190" s="85">
        <f>19.8333333333333+96/60</f>
        <v>21.433333333333302</v>
      </c>
      <c r="I190" s="85">
        <v>19.833333333333332</v>
      </c>
      <c r="J190" s="28">
        <f t="shared" si="18"/>
        <v>41.266666666666637</v>
      </c>
      <c r="K190" s="28">
        <f t="shared" si="19"/>
        <v>93.683333333333309</v>
      </c>
      <c r="L190" s="28" t="s">
        <v>307</v>
      </c>
      <c r="M190" s="26" t="s">
        <v>26</v>
      </c>
      <c r="N190" s="30" t="s">
        <v>227</v>
      </c>
      <c r="O190" s="172" t="s">
        <v>308</v>
      </c>
      <c r="P190" s="172" t="s">
        <v>311</v>
      </c>
      <c r="Q190" s="26" t="s">
        <v>51</v>
      </c>
      <c r="R190" s="96" t="s">
        <v>50</v>
      </c>
    </row>
    <row r="191" spans="1:18" s="32" customFormat="1" ht="15" x14ac:dyDescent="0.25">
      <c r="A191" s="84" t="s">
        <v>237</v>
      </c>
      <c r="B191" s="85">
        <v>0</v>
      </c>
      <c r="C191" s="85">
        <v>0</v>
      </c>
      <c r="D191" s="15">
        <f t="shared" si="25"/>
        <v>0</v>
      </c>
      <c r="E191" s="85">
        <v>0</v>
      </c>
      <c r="F191" s="85">
        <v>0</v>
      </c>
      <c r="G191" s="28">
        <f t="shared" si="17"/>
        <v>0</v>
      </c>
      <c r="H191" s="85">
        <v>0</v>
      </c>
      <c r="I191" s="85">
        <v>0</v>
      </c>
      <c r="J191" s="28">
        <f t="shared" si="18"/>
        <v>0</v>
      </c>
      <c r="K191" s="28">
        <f t="shared" si="19"/>
        <v>0</v>
      </c>
      <c r="L191" s="28" t="s">
        <v>307</v>
      </c>
      <c r="M191" s="26" t="s">
        <v>26</v>
      </c>
      <c r="N191" s="30" t="s">
        <v>227</v>
      </c>
      <c r="O191" s="172" t="s">
        <v>308</v>
      </c>
      <c r="P191" s="172" t="s">
        <v>311</v>
      </c>
      <c r="Q191" s="26" t="s">
        <v>51</v>
      </c>
      <c r="R191" s="96" t="s">
        <v>50</v>
      </c>
    </row>
    <row r="192" spans="1:18" s="32" customFormat="1" ht="15" x14ac:dyDescent="0.25">
      <c r="A192" s="84" t="s">
        <v>238</v>
      </c>
      <c r="B192" s="85">
        <v>0</v>
      </c>
      <c r="C192" s="85">
        <v>0</v>
      </c>
      <c r="D192" s="15">
        <f t="shared" si="25"/>
        <v>0</v>
      </c>
      <c r="E192" s="85">
        <v>0</v>
      </c>
      <c r="F192" s="85">
        <v>0</v>
      </c>
      <c r="G192" s="28">
        <f t="shared" si="17"/>
        <v>0</v>
      </c>
      <c r="H192" s="85">
        <v>0</v>
      </c>
      <c r="I192" s="85">
        <v>0</v>
      </c>
      <c r="J192" s="28">
        <f t="shared" si="18"/>
        <v>0</v>
      </c>
      <c r="K192" s="28">
        <f t="shared" si="19"/>
        <v>0</v>
      </c>
      <c r="L192" s="28" t="s">
        <v>307</v>
      </c>
      <c r="M192" s="26" t="s">
        <v>26</v>
      </c>
      <c r="N192" s="30" t="s">
        <v>227</v>
      </c>
      <c r="O192" s="172" t="s">
        <v>308</v>
      </c>
      <c r="P192" s="172" t="s">
        <v>311</v>
      </c>
      <c r="Q192" s="26" t="s">
        <v>51</v>
      </c>
      <c r="R192" s="96" t="s">
        <v>50</v>
      </c>
    </row>
    <row r="193" spans="1:18" s="40" customFormat="1" ht="15" x14ac:dyDescent="0.25">
      <c r="A193" s="55" t="s">
        <v>230</v>
      </c>
      <c r="B193" s="56">
        <v>119</v>
      </c>
      <c r="C193" s="56">
        <v>1132</v>
      </c>
      <c r="D193" s="35">
        <f>SUM(B193:C193)</f>
        <v>1251</v>
      </c>
      <c r="E193" s="56">
        <f>21.6</f>
        <v>21.6</v>
      </c>
      <c r="F193" s="56">
        <f>E193/3</f>
        <v>7.2</v>
      </c>
      <c r="G193" s="36">
        <f t="shared" si="17"/>
        <v>28.8</v>
      </c>
      <c r="H193" s="56">
        <v>17.472727272727273</v>
      </c>
      <c r="I193" s="56">
        <f>H193/3</f>
        <v>5.8242424242424242</v>
      </c>
      <c r="J193" s="36">
        <f t="shared" si="18"/>
        <v>23.296969696969697</v>
      </c>
      <c r="K193" s="36">
        <f t="shared" si="19"/>
        <v>52.096969696969694</v>
      </c>
      <c r="L193" s="36" t="s">
        <v>302</v>
      </c>
      <c r="M193" s="39" t="s">
        <v>55</v>
      </c>
      <c r="N193" s="53" t="s">
        <v>227</v>
      </c>
      <c r="O193" s="173" t="s">
        <v>311</v>
      </c>
      <c r="P193" s="173" t="s">
        <v>311</v>
      </c>
      <c r="Q193" s="39" t="s">
        <v>52</v>
      </c>
      <c r="R193" s="95" t="s">
        <v>303</v>
      </c>
    </row>
    <row r="194" spans="1:18" s="40" customFormat="1" ht="15" x14ac:dyDescent="0.25">
      <c r="A194" s="55" t="s">
        <v>231</v>
      </c>
      <c r="B194" s="56">
        <v>59</v>
      </c>
      <c r="C194" s="56">
        <v>751</v>
      </c>
      <c r="D194" s="35">
        <f t="shared" ref="D194:D201" si="26">SUM(B194:C194)</f>
        <v>810</v>
      </c>
      <c r="E194" s="56">
        <f>9.31</f>
        <v>9.31</v>
      </c>
      <c r="F194" s="56">
        <f>E194/3</f>
        <v>3.1033333333333335</v>
      </c>
      <c r="G194" s="36">
        <f t="shared" si="17"/>
        <v>12.413333333333334</v>
      </c>
      <c r="H194" s="56">
        <v>13.527272727272727</v>
      </c>
      <c r="I194" s="56">
        <v>2.8000000000000003</v>
      </c>
      <c r="J194" s="36">
        <f t="shared" si="18"/>
        <v>16.327272727272728</v>
      </c>
      <c r="K194" s="36">
        <f t="shared" si="19"/>
        <v>28.740606060606062</v>
      </c>
      <c r="L194" s="36" t="s">
        <v>302</v>
      </c>
      <c r="M194" s="39" t="s">
        <v>55</v>
      </c>
      <c r="N194" s="53" t="s">
        <v>227</v>
      </c>
      <c r="O194" s="173" t="s">
        <v>311</v>
      </c>
      <c r="P194" s="173" t="s">
        <v>311</v>
      </c>
      <c r="Q194" s="39" t="s">
        <v>52</v>
      </c>
      <c r="R194" s="95" t="s">
        <v>303</v>
      </c>
    </row>
    <row r="195" spans="1:18" s="40" customFormat="1" ht="15" x14ac:dyDescent="0.25">
      <c r="A195" s="55" t="s">
        <v>232</v>
      </c>
      <c r="B195" s="56">
        <v>0</v>
      </c>
      <c r="C195" s="56">
        <v>0</v>
      </c>
      <c r="D195" s="35">
        <f t="shared" si="26"/>
        <v>0</v>
      </c>
      <c r="E195" s="56">
        <v>0</v>
      </c>
      <c r="F195" s="56">
        <v>0</v>
      </c>
      <c r="G195" s="36">
        <f t="shared" si="17"/>
        <v>0</v>
      </c>
      <c r="H195" s="56">
        <v>0</v>
      </c>
      <c r="I195" s="56">
        <v>0</v>
      </c>
      <c r="J195" s="36">
        <f t="shared" si="18"/>
        <v>0</v>
      </c>
      <c r="K195" s="36">
        <f t="shared" si="19"/>
        <v>0</v>
      </c>
      <c r="L195" s="36" t="s">
        <v>302</v>
      </c>
      <c r="M195" s="39" t="s">
        <v>55</v>
      </c>
      <c r="N195" s="53" t="s">
        <v>227</v>
      </c>
      <c r="O195" s="173" t="s">
        <v>311</v>
      </c>
      <c r="P195" s="173" t="s">
        <v>311</v>
      </c>
      <c r="Q195" s="39" t="s">
        <v>52</v>
      </c>
      <c r="R195" s="95" t="s">
        <v>303</v>
      </c>
    </row>
    <row r="196" spans="1:18" s="40" customFormat="1" ht="15" x14ac:dyDescent="0.25">
      <c r="A196" s="55" t="s">
        <v>233</v>
      </c>
      <c r="B196" s="56">
        <v>0</v>
      </c>
      <c r="C196" s="56">
        <v>0</v>
      </c>
      <c r="D196" s="35">
        <f t="shared" si="26"/>
        <v>0</v>
      </c>
      <c r="E196" s="56">
        <v>0</v>
      </c>
      <c r="F196" s="56">
        <v>0</v>
      </c>
      <c r="G196" s="36">
        <f t="shared" si="17"/>
        <v>0</v>
      </c>
      <c r="H196" s="56">
        <v>0</v>
      </c>
      <c r="I196" s="56">
        <v>0</v>
      </c>
      <c r="J196" s="36">
        <f t="shared" si="18"/>
        <v>0</v>
      </c>
      <c r="K196" s="36">
        <f t="shared" si="19"/>
        <v>0</v>
      </c>
      <c r="L196" s="36" t="s">
        <v>302</v>
      </c>
      <c r="M196" s="39" t="s">
        <v>55</v>
      </c>
      <c r="N196" s="53" t="s">
        <v>227</v>
      </c>
      <c r="O196" s="173" t="s">
        <v>311</v>
      </c>
      <c r="P196" s="173" t="s">
        <v>311</v>
      </c>
      <c r="Q196" s="39" t="s">
        <v>52</v>
      </c>
      <c r="R196" s="95" t="s">
        <v>303</v>
      </c>
    </row>
    <row r="197" spans="1:18" s="40" customFormat="1" ht="15" x14ac:dyDescent="0.25">
      <c r="A197" s="55" t="s">
        <v>234</v>
      </c>
      <c r="B197" s="56">
        <v>189</v>
      </c>
      <c r="C197" s="56">
        <v>2099</v>
      </c>
      <c r="D197" s="35">
        <f t="shared" si="26"/>
        <v>2288</v>
      </c>
      <c r="E197" s="56">
        <v>15.016666666666667</v>
      </c>
      <c r="F197" s="56">
        <v>0</v>
      </c>
      <c r="G197" s="36">
        <f t="shared" ref="G197:G260" si="27">E197+F197</f>
        <v>15.016666666666667</v>
      </c>
      <c r="H197" s="56">
        <v>6.7166666666666668</v>
      </c>
      <c r="I197" s="56">
        <v>0</v>
      </c>
      <c r="J197" s="36">
        <f t="shared" ref="J197:J260" si="28">H197+I197</f>
        <v>6.7166666666666668</v>
      </c>
      <c r="K197" s="36">
        <f t="shared" ref="K197:K260" si="29">G197+J197</f>
        <v>21.733333333333334</v>
      </c>
      <c r="L197" s="36" t="s">
        <v>302</v>
      </c>
      <c r="M197" s="39" t="s">
        <v>55</v>
      </c>
      <c r="N197" s="53" t="s">
        <v>227</v>
      </c>
      <c r="O197" s="173" t="s">
        <v>311</v>
      </c>
      <c r="P197" s="173" t="s">
        <v>311</v>
      </c>
      <c r="Q197" s="39" t="s">
        <v>52</v>
      </c>
      <c r="R197" s="95" t="s">
        <v>303</v>
      </c>
    </row>
    <row r="198" spans="1:18" s="40" customFormat="1" ht="15" x14ac:dyDescent="0.25">
      <c r="A198" s="55" t="s">
        <v>235</v>
      </c>
      <c r="B198" s="56">
        <v>1</v>
      </c>
      <c r="C198" s="56">
        <v>1</v>
      </c>
      <c r="D198" s="35">
        <f t="shared" si="26"/>
        <v>2</v>
      </c>
      <c r="E198" s="56">
        <v>1.6666666666666666E-2</v>
      </c>
      <c r="F198" s="56">
        <v>0</v>
      </c>
      <c r="G198" s="36">
        <f t="shared" si="27"/>
        <v>1.6666666666666666E-2</v>
      </c>
      <c r="H198" s="56">
        <v>0</v>
      </c>
      <c r="I198" s="56">
        <v>0</v>
      </c>
      <c r="J198" s="36">
        <f t="shared" si="28"/>
        <v>0</v>
      </c>
      <c r="K198" s="36">
        <f t="shared" si="29"/>
        <v>1.6666666666666666E-2</v>
      </c>
      <c r="L198" s="36" t="s">
        <v>302</v>
      </c>
      <c r="M198" s="39" t="s">
        <v>55</v>
      </c>
      <c r="N198" s="53" t="s">
        <v>227</v>
      </c>
      <c r="O198" s="173" t="s">
        <v>311</v>
      </c>
      <c r="P198" s="173" t="s">
        <v>311</v>
      </c>
      <c r="Q198" s="39" t="s">
        <v>52</v>
      </c>
      <c r="R198" s="95" t="s">
        <v>303</v>
      </c>
    </row>
    <row r="199" spans="1:18" s="40" customFormat="1" ht="15" x14ac:dyDescent="0.25">
      <c r="A199" s="55" t="s">
        <v>236</v>
      </c>
      <c r="B199" s="56">
        <v>108</v>
      </c>
      <c r="C199" s="56">
        <v>564</v>
      </c>
      <c r="D199" s="35">
        <f t="shared" si="26"/>
        <v>672</v>
      </c>
      <c r="E199" s="56">
        <v>2.0666666666666669</v>
      </c>
      <c r="F199" s="56">
        <v>0</v>
      </c>
      <c r="G199" s="36">
        <f t="shared" si="27"/>
        <v>2.0666666666666669</v>
      </c>
      <c r="H199" s="56">
        <v>4.916666666666667</v>
      </c>
      <c r="I199" s="56">
        <v>0</v>
      </c>
      <c r="J199" s="36">
        <f t="shared" si="28"/>
        <v>4.916666666666667</v>
      </c>
      <c r="K199" s="36">
        <f t="shared" si="29"/>
        <v>6.9833333333333343</v>
      </c>
      <c r="L199" s="36" t="s">
        <v>302</v>
      </c>
      <c r="M199" s="39" t="s">
        <v>55</v>
      </c>
      <c r="N199" s="53" t="s">
        <v>227</v>
      </c>
      <c r="O199" s="173" t="s">
        <v>311</v>
      </c>
      <c r="P199" s="173" t="s">
        <v>311</v>
      </c>
      <c r="Q199" s="39" t="s">
        <v>52</v>
      </c>
      <c r="R199" s="95" t="s">
        <v>303</v>
      </c>
    </row>
    <row r="200" spans="1:18" s="40" customFormat="1" ht="15" x14ac:dyDescent="0.25">
      <c r="A200" s="55" t="s">
        <v>237</v>
      </c>
      <c r="B200" s="56">
        <v>9</v>
      </c>
      <c r="C200" s="56">
        <v>16</v>
      </c>
      <c r="D200" s="35">
        <f t="shared" si="26"/>
        <v>25</v>
      </c>
      <c r="E200" s="56">
        <v>1.6666666666666666E-2</v>
      </c>
      <c r="F200" s="56">
        <v>0.33333333333333331</v>
      </c>
      <c r="G200" s="36">
        <f t="shared" si="27"/>
        <v>0.35</v>
      </c>
      <c r="H200" s="56">
        <v>0</v>
      </c>
      <c r="I200" s="56">
        <v>0</v>
      </c>
      <c r="J200" s="36">
        <f t="shared" si="28"/>
        <v>0</v>
      </c>
      <c r="K200" s="36">
        <f t="shared" si="29"/>
        <v>0.35</v>
      </c>
      <c r="L200" s="36" t="s">
        <v>302</v>
      </c>
      <c r="M200" s="39" t="s">
        <v>55</v>
      </c>
      <c r="N200" s="53" t="s">
        <v>227</v>
      </c>
      <c r="O200" s="173" t="s">
        <v>311</v>
      </c>
      <c r="P200" s="173" t="s">
        <v>311</v>
      </c>
      <c r="Q200" s="39" t="s">
        <v>52</v>
      </c>
      <c r="R200" s="95" t="s">
        <v>303</v>
      </c>
    </row>
    <row r="201" spans="1:18" s="40" customFormat="1" ht="15" x14ac:dyDescent="0.25">
      <c r="A201" s="55" t="s">
        <v>238</v>
      </c>
      <c r="B201" s="56">
        <v>0</v>
      </c>
      <c r="C201" s="56">
        <v>0</v>
      </c>
      <c r="D201" s="35">
        <f t="shared" si="26"/>
        <v>0</v>
      </c>
      <c r="E201" s="56">
        <v>0.05</v>
      </c>
      <c r="F201" s="56">
        <v>0</v>
      </c>
      <c r="G201" s="36">
        <f t="shared" si="27"/>
        <v>0.05</v>
      </c>
      <c r="H201" s="56">
        <v>0.05</v>
      </c>
      <c r="I201" s="56">
        <v>0</v>
      </c>
      <c r="J201" s="36">
        <f t="shared" si="28"/>
        <v>0.05</v>
      </c>
      <c r="K201" s="36">
        <f t="shared" si="29"/>
        <v>0.1</v>
      </c>
      <c r="L201" s="36" t="s">
        <v>302</v>
      </c>
      <c r="M201" s="39" t="s">
        <v>55</v>
      </c>
      <c r="N201" s="53" t="s">
        <v>227</v>
      </c>
      <c r="O201" s="173" t="s">
        <v>311</v>
      </c>
      <c r="P201" s="173" t="s">
        <v>311</v>
      </c>
      <c r="Q201" s="39" t="s">
        <v>52</v>
      </c>
      <c r="R201" s="95" t="s">
        <v>303</v>
      </c>
    </row>
    <row r="202" spans="1:18" s="32" customFormat="1" ht="15" x14ac:dyDescent="0.25">
      <c r="A202" s="84" t="s">
        <v>230</v>
      </c>
      <c r="B202" s="85">
        <v>2</v>
      </c>
      <c r="C202" s="85">
        <v>22</v>
      </c>
      <c r="D202" s="15">
        <f>SUM(B202:C202)</f>
        <v>24</v>
      </c>
      <c r="E202" s="85">
        <v>6.6666666666666666E-2</v>
      </c>
      <c r="F202" s="85">
        <v>2.2222222222222223E-2</v>
      </c>
      <c r="G202" s="28">
        <f t="shared" si="27"/>
        <v>8.8888888888888892E-2</v>
      </c>
      <c r="H202" s="85">
        <v>3.5333333333333332</v>
      </c>
      <c r="I202" s="85">
        <v>1.1777777777777778</v>
      </c>
      <c r="J202" s="28">
        <f t="shared" si="28"/>
        <v>4.7111111111111112</v>
      </c>
      <c r="K202" s="28">
        <f t="shared" si="29"/>
        <v>4.8</v>
      </c>
      <c r="L202" s="28" t="s">
        <v>302</v>
      </c>
      <c r="M202" s="26" t="s">
        <v>53</v>
      </c>
      <c r="N202" s="30" t="s">
        <v>227</v>
      </c>
      <c r="O202" s="172" t="s">
        <v>311</v>
      </c>
      <c r="P202" s="172" t="s">
        <v>311</v>
      </c>
      <c r="Q202" s="26" t="s">
        <v>52</v>
      </c>
      <c r="R202" s="96" t="s">
        <v>54</v>
      </c>
    </row>
    <row r="203" spans="1:18" s="32" customFormat="1" ht="15" x14ac:dyDescent="0.25">
      <c r="A203" s="84" t="s">
        <v>231</v>
      </c>
      <c r="B203" s="85">
        <v>4</v>
      </c>
      <c r="C203" s="85">
        <v>33</v>
      </c>
      <c r="D203" s="15">
        <f t="shared" ref="D203:D210" si="30">SUM(B203:C203)</f>
        <v>37</v>
      </c>
      <c r="E203" s="85">
        <v>6.6666666666666666E-2</v>
      </c>
      <c r="F203" s="85">
        <v>2.2222222222222223E-2</v>
      </c>
      <c r="G203" s="28">
        <f t="shared" si="27"/>
        <v>8.8888888888888892E-2</v>
      </c>
      <c r="H203" s="85">
        <v>3.8</v>
      </c>
      <c r="I203" s="85">
        <v>1.2666666666666666</v>
      </c>
      <c r="J203" s="28">
        <f t="shared" si="28"/>
        <v>5.0666666666666664</v>
      </c>
      <c r="K203" s="28">
        <f t="shared" si="29"/>
        <v>5.155555555555555</v>
      </c>
      <c r="L203" s="28" t="s">
        <v>302</v>
      </c>
      <c r="M203" s="26" t="s">
        <v>53</v>
      </c>
      <c r="N203" s="30" t="s">
        <v>227</v>
      </c>
      <c r="O203" s="172" t="s">
        <v>311</v>
      </c>
      <c r="P203" s="172" t="s">
        <v>311</v>
      </c>
      <c r="Q203" s="26" t="s">
        <v>52</v>
      </c>
      <c r="R203" s="96" t="s">
        <v>54</v>
      </c>
    </row>
    <row r="204" spans="1:18" s="32" customFormat="1" ht="15" x14ac:dyDescent="0.25">
      <c r="A204" s="84" t="s">
        <v>232</v>
      </c>
      <c r="B204" s="85">
        <v>0</v>
      </c>
      <c r="C204" s="85">
        <v>0</v>
      </c>
      <c r="D204" s="15">
        <f t="shared" si="30"/>
        <v>0</v>
      </c>
      <c r="E204" s="85">
        <v>0</v>
      </c>
      <c r="F204" s="85">
        <v>0</v>
      </c>
      <c r="G204" s="28">
        <f t="shared" si="27"/>
        <v>0</v>
      </c>
      <c r="H204" s="85">
        <v>0</v>
      </c>
      <c r="I204" s="85">
        <v>0</v>
      </c>
      <c r="J204" s="28">
        <f t="shared" si="28"/>
        <v>0</v>
      </c>
      <c r="K204" s="28">
        <f t="shared" si="29"/>
        <v>0</v>
      </c>
      <c r="L204" s="28" t="s">
        <v>302</v>
      </c>
      <c r="M204" s="26" t="s">
        <v>53</v>
      </c>
      <c r="N204" s="30" t="s">
        <v>227</v>
      </c>
      <c r="O204" s="172" t="s">
        <v>311</v>
      </c>
      <c r="P204" s="172" t="s">
        <v>311</v>
      </c>
      <c r="Q204" s="26" t="s">
        <v>52</v>
      </c>
      <c r="R204" s="96" t="s">
        <v>54</v>
      </c>
    </row>
    <row r="205" spans="1:18" s="32" customFormat="1" ht="15" x14ac:dyDescent="0.25">
      <c r="A205" s="84" t="s">
        <v>233</v>
      </c>
      <c r="B205" s="85">
        <v>0</v>
      </c>
      <c r="C205" s="85">
        <v>0</v>
      </c>
      <c r="D205" s="15">
        <f t="shared" si="30"/>
        <v>0</v>
      </c>
      <c r="E205" s="85">
        <v>0</v>
      </c>
      <c r="F205" s="85">
        <v>0</v>
      </c>
      <c r="G205" s="28">
        <f t="shared" si="27"/>
        <v>0</v>
      </c>
      <c r="H205" s="85">
        <v>0</v>
      </c>
      <c r="I205" s="85">
        <v>0</v>
      </c>
      <c r="J205" s="28">
        <f t="shared" si="28"/>
        <v>0</v>
      </c>
      <c r="K205" s="28">
        <f t="shared" si="29"/>
        <v>0</v>
      </c>
      <c r="L205" s="28" t="s">
        <v>302</v>
      </c>
      <c r="M205" s="26" t="s">
        <v>53</v>
      </c>
      <c r="N205" s="30" t="s">
        <v>227</v>
      </c>
      <c r="O205" s="172" t="s">
        <v>311</v>
      </c>
      <c r="P205" s="172" t="s">
        <v>311</v>
      </c>
      <c r="Q205" s="26" t="s">
        <v>52</v>
      </c>
      <c r="R205" s="96" t="s">
        <v>54</v>
      </c>
    </row>
    <row r="206" spans="1:18" s="32" customFormat="1" ht="15" x14ac:dyDescent="0.25">
      <c r="A206" s="84" t="s">
        <v>234</v>
      </c>
      <c r="B206" s="85">
        <v>1</v>
      </c>
      <c r="C206" s="85">
        <v>23</v>
      </c>
      <c r="D206" s="15">
        <f t="shared" si="30"/>
        <v>24</v>
      </c>
      <c r="E206" s="85">
        <v>8.3333333333333329E-2</v>
      </c>
      <c r="F206" s="85">
        <v>8.3333333333333329E-2</v>
      </c>
      <c r="G206" s="28">
        <f t="shared" si="27"/>
        <v>0.16666666666666666</v>
      </c>
      <c r="H206" s="85">
        <v>1.4833333333333334</v>
      </c>
      <c r="I206" s="85">
        <v>2.5</v>
      </c>
      <c r="J206" s="28">
        <f t="shared" si="28"/>
        <v>3.9833333333333334</v>
      </c>
      <c r="K206" s="28">
        <f t="shared" si="29"/>
        <v>4.1500000000000004</v>
      </c>
      <c r="L206" s="28" t="s">
        <v>302</v>
      </c>
      <c r="M206" s="26" t="s">
        <v>53</v>
      </c>
      <c r="N206" s="30" t="s">
        <v>227</v>
      </c>
      <c r="O206" s="172" t="s">
        <v>311</v>
      </c>
      <c r="P206" s="172" t="s">
        <v>311</v>
      </c>
      <c r="Q206" s="26" t="s">
        <v>52</v>
      </c>
      <c r="R206" s="96" t="s">
        <v>54</v>
      </c>
    </row>
    <row r="207" spans="1:18" s="32" customFormat="1" ht="15" x14ac:dyDescent="0.25">
      <c r="A207" s="84" t="s">
        <v>235</v>
      </c>
      <c r="B207" s="85">
        <v>0</v>
      </c>
      <c r="C207" s="85">
        <v>0</v>
      </c>
      <c r="D207" s="15">
        <f t="shared" si="30"/>
        <v>0</v>
      </c>
      <c r="E207" s="85">
        <v>0</v>
      </c>
      <c r="F207" s="85">
        <v>0</v>
      </c>
      <c r="G207" s="28">
        <f t="shared" si="27"/>
        <v>0</v>
      </c>
      <c r="H207" s="85">
        <v>0</v>
      </c>
      <c r="I207" s="85">
        <v>0</v>
      </c>
      <c r="J207" s="28">
        <f t="shared" si="28"/>
        <v>0</v>
      </c>
      <c r="K207" s="28">
        <f t="shared" si="29"/>
        <v>0</v>
      </c>
      <c r="L207" s="28" t="s">
        <v>302</v>
      </c>
      <c r="M207" s="26" t="s">
        <v>53</v>
      </c>
      <c r="N207" s="30" t="s">
        <v>227</v>
      </c>
      <c r="O207" s="172" t="s">
        <v>311</v>
      </c>
      <c r="P207" s="172" t="s">
        <v>311</v>
      </c>
      <c r="Q207" s="26" t="s">
        <v>52</v>
      </c>
      <c r="R207" s="96" t="s">
        <v>54</v>
      </c>
    </row>
    <row r="208" spans="1:18" s="32" customFormat="1" ht="15" x14ac:dyDescent="0.25">
      <c r="A208" s="84" t="s">
        <v>236</v>
      </c>
      <c r="B208" s="85">
        <v>0</v>
      </c>
      <c r="C208" s="85">
        <v>9</v>
      </c>
      <c r="D208" s="15">
        <f t="shared" si="30"/>
        <v>9</v>
      </c>
      <c r="E208" s="85">
        <v>0</v>
      </c>
      <c r="F208" s="85">
        <v>0</v>
      </c>
      <c r="G208" s="28">
        <f t="shared" si="27"/>
        <v>0</v>
      </c>
      <c r="H208" s="85">
        <v>2.3333333333333335</v>
      </c>
      <c r="I208" s="85">
        <v>2.3333333333333335</v>
      </c>
      <c r="J208" s="28">
        <f t="shared" si="28"/>
        <v>4.666666666666667</v>
      </c>
      <c r="K208" s="28">
        <f t="shared" si="29"/>
        <v>4.666666666666667</v>
      </c>
      <c r="L208" s="28" t="s">
        <v>302</v>
      </c>
      <c r="M208" s="26" t="s">
        <v>53</v>
      </c>
      <c r="N208" s="30" t="s">
        <v>227</v>
      </c>
      <c r="O208" s="172" t="s">
        <v>311</v>
      </c>
      <c r="P208" s="172" t="s">
        <v>311</v>
      </c>
      <c r="Q208" s="26" t="s">
        <v>52</v>
      </c>
      <c r="R208" s="96" t="s">
        <v>54</v>
      </c>
    </row>
    <row r="209" spans="1:18" s="32" customFormat="1" ht="15" x14ac:dyDescent="0.25">
      <c r="A209" s="84" t="s">
        <v>237</v>
      </c>
      <c r="B209" s="85">
        <v>0</v>
      </c>
      <c r="C209" s="85">
        <v>0</v>
      </c>
      <c r="D209" s="15">
        <f t="shared" si="30"/>
        <v>0</v>
      </c>
      <c r="E209" s="85">
        <v>0</v>
      </c>
      <c r="F209" s="85">
        <v>0</v>
      </c>
      <c r="G209" s="28">
        <f t="shared" si="27"/>
        <v>0</v>
      </c>
      <c r="H209" s="85">
        <v>0</v>
      </c>
      <c r="I209" s="85">
        <v>0</v>
      </c>
      <c r="J209" s="28">
        <f t="shared" si="28"/>
        <v>0</v>
      </c>
      <c r="K209" s="28">
        <f t="shared" si="29"/>
        <v>0</v>
      </c>
      <c r="L209" s="28" t="s">
        <v>302</v>
      </c>
      <c r="M209" s="26" t="s">
        <v>53</v>
      </c>
      <c r="N209" s="30" t="s">
        <v>227</v>
      </c>
      <c r="O209" s="172" t="s">
        <v>311</v>
      </c>
      <c r="P209" s="172" t="s">
        <v>311</v>
      </c>
      <c r="Q209" s="26" t="s">
        <v>52</v>
      </c>
      <c r="R209" s="96" t="s">
        <v>54</v>
      </c>
    </row>
    <row r="210" spans="1:18" s="32" customFormat="1" ht="15" x14ac:dyDescent="0.25">
      <c r="A210" s="84" t="s">
        <v>238</v>
      </c>
      <c r="B210" s="85">
        <v>2</v>
      </c>
      <c r="C210" s="85">
        <v>0</v>
      </c>
      <c r="D210" s="15">
        <f t="shared" si="30"/>
        <v>2</v>
      </c>
      <c r="E210" s="85">
        <v>3.3333333333333333E-2</v>
      </c>
      <c r="F210" s="85">
        <v>0</v>
      </c>
      <c r="G210" s="28">
        <f t="shared" si="27"/>
        <v>3.3333333333333333E-2</v>
      </c>
      <c r="H210" s="85">
        <v>0</v>
      </c>
      <c r="I210" s="85">
        <v>0</v>
      </c>
      <c r="J210" s="28">
        <f t="shared" si="28"/>
        <v>0</v>
      </c>
      <c r="K210" s="28">
        <f t="shared" si="29"/>
        <v>3.3333333333333333E-2</v>
      </c>
      <c r="L210" s="28" t="s">
        <v>302</v>
      </c>
      <c r="M210" s="26" t="s">
        <v>53</v>
      </c>
      <c r="N210" s="30" t="s">
        <v>227</v>
      </c>
      <c r="O210" s="172" t="s">
        <v>311</v>
      </c>
      <c r="P210" s="172" t="s">
        <v>311</v>
      </c>
      <c r="Q210" s="26" t="s">
        <v>52</v>
      </c>
      <c r="R210" s="96" t="s">
        <v>54</v>
      </c>
    </row>
    <row r="211" spans="1:18" s="40" customFormat="1" ht="15" x14ac:dyDescent="0.25">
      <c r="A211" s="55" t="s">
        <v>230</v>
      </c>
      <c r="B211" s="56">
        <v>13</v>
      </c>
      <c r="C211" s="56">
        <v>56</v>
      </c>
      <c r="D211" s="35">
        <f>SUM(B211:C211)</f>
        <v>69</v>
      </c>
      <c r="E211" s="56">
        <v>0.43333333333333335</v>
      </c>
      <c r="F211" s="56">
        <v>0.14444444444444446</v>
      </c>
      <c r="G211" s="36">
        <f t="shared" si="27"/>
        <v>0.57777777777777783</v>
      </c>
      <c r="H211" s="56">
        <v>3.0166666666666666</v>
      </c>
      <c r="I211" s="56">
        <v>1.0055555555555555</v>
      </c>
      <c r="J211" s="36">
        <f t="shared" si="28"/>
        <v>4.0222222222222221</v>
      </c>
      <c r="K211" s="36">
        <f t="shared" si="29"/>
        <v>4.5999999999999996</v>
      </c>
      <c r="L211" s="36" t="s">
        <v>302</v>
      </c>
      <c r="M211" s="39"/>
      <c r="N211" s="53" t="s">
        <v>227</v>
      </c>
      <c r="O211" s="173" t="s">
        <v>308</v>
      </c>
      <c r="P211" s="173" t="s">
        <v>311</v>
      </c>
      <c r="Q211" s="39" t="s">
        <v>58</v>
      </c>
      <c r="R211" s="95" t="s">
        <v>56</v>
      </c>
    </row>
    <row r="212" spans="1:18" s="40" customFormat="1" ht="15" x14ac:dyDescent="0.25">
      <c r="A212" s="55" t="s">
        <v>231</v>
      </c>
      <c r="B212" s="56">
        <v>14</v>
      </c>
      <c r="C212" s="56">
        <v>47</v>
      </c>
      <c r="D212" s="35">
        <f t="shared" ref="D212:D219" si="31">SUM(B212:C212)</f>
        <v>61</v>
      </c>
      <c r="E212" s="56">
        <v>0.23333333333333334</v>
      </c>
      <c r="F212" s="56">
        <v>7.7777777777777779E-2</v>
      </c>
      <c r="G212" s="36">
        <f t="shared" si="27"/>
        <v>0.31111111111111112</v>
      </c>
      <c r="H212" s="56">
        <v>2.85</v>
      </c>
      <c r="I212" s="56">
        <v>0.95000000000000007</v>
      </c>
      <c r="J212" s="36">
        <f t="shared" si="28"/>
        <v>3.8000000000000003</v>
      </c>
      <c r="K212" s="36">
        <f t="shared" si="29"/>
        <v>4.1111111111111116</v>
      </c>
      <c r="L212" s="36" t="s">
        <v>302</v>
      </c>
      <c r="M212" s="39"/>
      <c r="N212" s="53" t="s">
        <v>227</v>
      </c>
      <c r="O212" s="173" t="s">
        <v>308</v>
      </c>
      <c r="P212" s="173" t="s">
        <v>311</v>
      </c>
      <c r="Q212" s="39" t="s">
        <v>58</v>
      </c>
      <c r="R212" s="95" t="s">
        <v>56</v>
      </c>
    </row>
    <row r="213" spans="1:18" s="40" customFormat="1" ht="15" x14ac:dyDescent="0.25">
      <c r="A213" s="55" t="s">
        <v>232</v>
      </c>
      <c r="B213" s="56">
        <v>0</v>
      </c>
      <c r="C213" s="56">
        <v>0</v>
      </c>
      <c r="D213" s="35">
        <f t="shared" si="31"/>
        <v>0</v>
      </c>
      <c r="E213" s="56">
        <v>0</v>
      </c>
      <c r="F213" s="56">
        <v>0</v>
      </c>
      <c r="G213" s="36">
        <f t="shared" si="27"/>
        <v>0</v>
      </c>
      <c r="H213" s="56">
        <v>0</v>
      </c>
      <c r="I213" s="56">
        <v>0</v>
      </c>
      <c r="J213" s="36">
        <f t="shared" si="28"/>
        <v>0</v>
      </c>
      <c r="K213" s="36">
        <f t="shared" si="29"/>
        <v>0</v>
      </c>
      <c r="L213" s="36" t="s">
        <v>302</v>
      </c>
      <c r="M213" s="39"/>
      <c r="N213" s="53" t="s">
        <v>227</v>
      </c>
      <c r="O213" s="173" t="s">
        <v>308</v>
      </c>
      <c r="P213" s="173" t="s">
        <v>311</v>
      </c>
      <c r="Q213" s="39" t="s">
        <v>58</v>
      </c>
      <c r="R213" s="95" t="s">
        <v>56</v>
      </c>
    </row>
    <row r="214" spans="1:18" s="40" customFormat="1" ht="15" x14ac:dyDescent="0.25">
      <c r="A214" s="55" t="s">
        <v>233</v>
      </c>
      <c r="B214" s="56">
        <v>6</v>
      </c>
      <c r="C214" s="56">
        <v>1</v>
      </c>
      <c r="D214" s="35">
        <f t="shared" si="31"/>
        <v>7</v>
      </c>
      <c r="E214" s="56">
        <v>0.33333333333333331</v>
      </c>
      <c r="F214" s="56">
        <v>0.5</v>
      </c>
      <c r="G214" s="36">
        <f t="shared" si="27"/>
        <v>0.83333333333333326</v>
      </c>
      <c r="H214" s="56">
        <v>0.5</v>
      </c>
      <c r="I214" s="56">
        <v>0.5</v>
      </c>
      <c r="J214" s="36">
        <f t="shared" si="28"/>
        <v>1</v>
      </c>
      <c r="K214" s="36">
        <f t="shared" si="29"/>
        <v>1.8333333333333333</v>
      </c>
      <c r="L214" s="36" t="s">
        <v>302</v>
      </c>
      <c r="M214" s="39"/>
      <c r="N214" s="53" t="s">
        <v>227</v>
      </c>
      <c r="O214" s="173" t="s">
        <v>308</v>
      </c>
      <c r="P214" s="173" t="s">
        <v>311</v>
      </c>
      <c r="Q214" s="39" t="s">
        <v>58</v>
      </c>
      <c r="R214" s="95" t="s">
        <v>56</v>
      </c>
    </row>
    <row r="215" spans="1:18" s="40" customFormat="1" ht="15" x14ac:dyDescent="0.25">
      <c r="A215" s="55" t="s">
        <v>234</v>
      </c>
      <c r="B215" s="56">
        <v>32</v>
      </c>
      <c r="C215" s="56">
        <v>34</v>
      </c>
      <c r="D215" s="35">
        <f t="shared" si="31"/>
        <v>66</v>
      </c>
      <c r="E215" s="56">
        <v>2.6666666666666665</v>
      </c>
      <c r="F215" s="56">
        <v>2.6666666666666665</v>
      </c>
      <c r="G215" s="36">
        <f t="shared" si="27"/>
        <v>5.333333333333333</v>
      </c>
      <c r="H215" s="56">
        <v>2.1</v>
      </c>
      <c r="I215" s="56">
        <v>3.5833333333333335</v>
      </c>
      <c r="J215" s="36">
        <f t="shared" si="28"/>
        <v>5.6833333333333336</v>
      </c>
      <c r="K215" s="36">
        <f t="shared" si="29"/>
        <v>11.016666666666666</v>
      </c>
      <c r="L215" s="36" t="s">
        <v>302</v>
      </c>
      <c r="M215" s="39"/>
      <c r="N215" s="53" t="s">
        <v>227</v>
      </c>
      <c r="O215" s="173" t="s">
        <v>308</v>
      </c>
      <c r="P215" s="173" t="s">
        <v>311</v>
      </c>
      <c r="Q215" s="39" t="s">
        <v>58</v>
      </c>
      <c r="R215" s="95" t="s">
        <v>56</v>
      </c>
    </row>
    <row r="216" spans="1:18" s="40" customFormat="1" ht="15" x14ac:dyDescent="0.25">
      <c r="A216" s="55" t="s">
        <v>235</v>
      </c>
      <c r="B216" s="56">
        <v>2</v>
      </c>
      <c r="C216" s="56">
        <v>0</v>
      </c>
      <c r="D216" s="35">
        <f t="shared" si="31"/>
        <v>2</v>
      </c>
      <c r="E216" s="56">
        <v>0</v>
      </c>
      <c r="F216" s="56">
        <v>4</v>
      </c>
      <c r="G216" s="36">
        <f t="shared" si="27"/>
        <v>4</v>
      </c>
      <c r="H216" s="56">
        <v>0</v>
      </c>
      <c r="I216" s="56">
        <v>0</v>
      </c>
      <c r="J216" s="36">
        <f t="shared" si="28"/>
        <v>0</v>
      </c>
      <c r="K216" s="36">
        <f t="shared" si="29"/>
        <v>4</v>
      </c>
      <c r="L216" s="36" t="s">
        <v>302</v>
      </c>
      <c r="M216" s="39"/>
      <c r="N216" s="53" t="s">
        <v>227</v>
      </c>
      <c r="O216" s="173" t="s">
        <v>308</v>
      </c>
      <c r="P216" s="173" t="s">
        <v>311</v>
      </c>
      <c r="Q216" s="39" t="s">
        <v>58</v>
      </c>
      <c r="R216" s="95" t="s">
        <v>56</v>
      </c>
    </row>
    <row r="217" spans="1:18" s="40" customFormat="1" ht="15" x14ac:dyDescent="0.25">
      <c r="A217" s="55" t="s">
        <v>236</v>
      </c>
      <c r="B217" s="56">
        <v>45</v>
      </c>
      <c r="C217" s="56">
        <v>5</v>
      </c>
      <c r="D217" s="35">
        <f t="shared" si="31"/>
        <v>50</v>
      </c>
      <c r="E217" s="56">
        <v>64.25</v>
      </c>
      <c r="F217" s="56">
        <v>34.5</v>
      </c>
      <c r="G217" s="36">
        <f t="shared" si="27"/>
        <v>98.75</v>
      </c>
      <c r="H217" s="56">
        <v>5.666666666666667</v>
      </c>
      <c r="I217" s="56">
        <v>5.666666666666667</v>
      </c>
      <c r="J217" s="36">
        <f t="shared" si="28"/>
        <v>11.333333333333334</v>
      </c>
      <c r="K217" s="36">
        <f t="shared" si="29"/>
        <v>110.08333333333333</v>
      </c>
      <c r="L217" s="36" t="s">
        <v>302</v>
      </c>
      <c r="M217" s="39"/>
      <c r="N217" s="53" t="s">
        <v>227</v>
      </c>
      <c r="O217" s="173" t="s">
        <v>308</v>
      </c>
      <c r="P217" s="173" t="s">
        <v>311</v>
      </c>
      <c r="Q217" s="39" t="s">
        <v>58</v>
      </c>
      <c r="R217" s="95" t="s">
        <v>56</v>
      </c>
    </row>
    <row r="218" spans="1:18" s="40" customFormat="1" ht="15" x14ac:dyDescent="0.25">
      <c r="A218" s="55" t="s">
        <v>237</v>
      </c>
      <c r="B218" s="56">
        <v>0</v>
      </c>
      <c r="C218" s="56">
        <v>0</v>
      </c>
      <c r="D218" s="35">
        <f t="shared" si="31"/>
        <v>0</v>
      </c>
      <c r="E218" s="56">
        <v>0</v>
      </c>
      <c r="F218" s="56">
        <v>0</v>
      </c>
      <c r="G218" s="36">
        <f t="shared" si="27"/>
        <v>0</v>
      </c>
      <c r="H218" s="56">
        <v>0</v>
      </c>
      <c r="I218" s="56">
        <v>0</v>
      </c>
      <c r="J218" s="36">
        <f t="shared" si="28"/>
        <v>0</v>
      </c>
      <c r="K218" s="36">
        <f t="shared" si="29"/>
        <v>0</v>
      </c>
      <c r="L218" s="36" t="s">
        <v>302</v>
      </c>
      <c r="M218" s="39"/>
      <c r="N218" s="53" t="s">
        <v>227</v>
      </c>
      <c r="O218" s="173" t="s">
        <v>308</v>
      </c>
      <c r="P218" s="173" t="s">
        <v>311</v>
      </c>
      <c r="Q218" s="39" t="s">
        <v>58</v>
      </c>
      <c r="R218" s="95" t="s">
        <v>56</v>
      </c>
    </row>
    <row r="219" spans="1:18" s="40" customFormat="1" ht="15" x14ac:dyDescent="0.25">
      <c r="A219" s="55" t="s">
        <v>238</v>
      </c>
      <c r="B219" s="56">
        <v>0</v>
      </c>
      <c r="C219" s="56">
        <v>0</v>
      </c>
      <c r="D219" s="35">
        <f t="shared" si="31"/>
        <v>0</v>
      </c>
      <c r="E219" s="56">
        <v>0</v>
      </c>
      <c r="F219" s="56">
        <v>0</v>
      </c>
      <c r="G219" s="36">
        <f t="shared" si="27"/>
        <v>0</v>
      </c>
      <c r="H219" s="56">
        <v>0</v>
      </c>
      <c r="I219" s="56">
        <v>0</v>
      </c>
      <c r="J219" s="36">
        <f t="shared" si="28"/>
        <v>0</v>
      </c>
      <c r="K219" s="36">
        <f t="shared" si="29"/>
        <v>0</v>
      </c>
      <c r="L219" s="36" t="s">
        <v>302</v>
      </c>
      <c r="M219" s="39"/>
      <c r="N219" s="53" t="s">
        <v>227</v>
      </c>
      <c r="O219" s="173" t="s">
        <v>308</v>
      </c>
      <c r="P219" s="173" t="s">
        <v>311</v>
      </c>
      <c r="Q219" s="39" t="s">
        <v>58</v>
      </c>
      <c r="R219" s="95" t="s">
        <v>56</v>
      </c>
    </row>
    <row r="220" spans="1:18" s="32" customFormat="1" ht="15" x14ac:dyDescent="0.25">
      <c r="A220" s="84" t="s">
        <v>230</v>
      </c>
      <c r="B220" s="85">
        <v>321</v>
      </c>
      <c r="C220" s="85">
        <v>238</v>
      </c>
      <c r="D220" s="15">
        <f>SUM(B220:C220)</f>
        <v>559</v>
      </c>
      <c r="E220" s="85">
        <v>10.7</v>
      </c>
      <c r="F220" s="85">
        <f>E220/3</f>
        <v>3.5666666666666664</v>
      </c>
      <c r="G220" s="28">
        <f t="shared" si="27"/>
        <v>14.266666666666666</v>
      </c>
      <c r="H220" s="85">
        <v>16.45</v>
      </c>
      <c r="I220" s="85">
        <f>H220/3</f>
        <v>5.4833333333333334</v>
      </c>
      <c r="J220" s="28">
        <f t="shared" si="28"/>
        <v>21.933333333333334</v>
      </c>
      <c r="K220" s="28">
        <f t="shared" si="29"/>
        <v>36.200000000000003</v>
      </c>
      <c r="L220" s="28" t="s">
        <v>302</v>
      </c>
      <c r="M220" s="26"/>
      <c r="N220" s="30" t="s">
        <v>227</v>
      </c>
      <c r="O220" s="172" t="s">
        <v>308</v>
      </c>
      <c r="P220" s="172" t="s">
        <v>310</v>
      </c>
      <c r="Q220" s="26" t="s">
        <v>59</v>
      </c>
      <c r="R220" s="96" t="s">
        <v>57</v>
      </c>
    </row>
    <row r="221" spans="1:18" s="32" customFormat="1" ht="15" x14ac:dyDescent="0.25">
      <c r="A221" s="84" t="s">
        <v>231</v>
      </c>
      <c r="B221" s="85">
        <v>202</v>
      </c>
      <c r="C221" s="85">
        <v>111</v>
      </c>
      <c r="D221" s="15">
        <f t="shared" ref="D221:D228" si="32">SUM(B221:C221)</f>
        <v>313</v>
      </c>
      <c r="E221" s="85">
        <v>3.3666666666666667</v>
      </c>
      <c r="F221" s="85">
        <f>E221/3</f>
        <v>1.1222222222222222</v>
      </c>
      <c r="G221" s="28">
        <f t="shared" si="27"/>
        <v>4.4888888888888889</v>
      </c>
      <c r="H221" s="85">
        <v>9.0833333333333339</v>
      </c>
      <c r="I221" s="85">
        <f>H221/3</f>
        <v>3.0277777777777781</v>
      </c>
      <c r="J221" s="28">
        <f t="shared" si="28"/>
        <v>12.111111111111112</v>
      </c>
      <c r="K221" s="28">
        <f t="shared" si="29"/>
        <v>16.600000000000001</v>
      </c>
      <c r="L221" s="28" t="s">
        <v>302</v>
      </c>
      <c r="M221" s="26"/>
      <c r="N221" s="30" t="s">
        <v>227</v>
      </c>
      <c r="O221" s="172" t="s">
        <v>308</v>
      </c>
      <c r="P221" s="172" t="s">
        <v>310</v>
      </c>
      <c r="Q221" s="26" t="s">
        <v>59</v>
      </c>
      <c r="R221" s="96" t="s">
        <v>57</v>
      </c>
    </row>
    <row r="222" spans="1:18" s="32" customFormat="1" ht="15" x14ac:dyDescent="0.25">
      <c r="A222" s="84" t="s">
        <v>232</v>
      </c>
      <c r="B222" s="85">
        <v>80</v>
      </c>
      <c r="C222" s="85">
        <v>0</v>
      </c>
      <c r="D222" s="15">
        <f t="shared" si="32"/>
        <v>80</v>
      </c>
      <c r="E222" s="85">
        <v>29.583333333333332</v>
      </c>
      <c r="F222" s="85">
        <v>26.666666666666668</v>
      </c>
      <c r="G222" s="28">
        <f t="shared" si="27"/>
        <v>56.25</v>
      </c>
      <c r="H222" s="85">
        <v>0</v>
      </c>
      <c r="I222" s="85">
        <v>0</v>
      </c>
      <c r="J222" s="28">
        <f t="shared" si="28"/>
        <v>0</v>
      </c>
      <c r="K222" s="28">
        <f t="shared" si="29"/>
        <v>56.25</v>
      </c>
      <c r="L222" s="28" t="s">
        <v>302</v>
      </c>
      <c r="M222" s="26"/>
      <c r="N222" s="30" t="s">
        <v>227</v>
      </c>
      <c r="O222" s="172" t="s">
        <v>308</v>
      </c>
      <c r="P222" s="172" t="s">
        <v>310</v>
      </c>
      <c r="Q222" s="26" t="s">
        <v>59</v>
      </c>
      <c r="R222" s="96" t="s">
        <v>57</v>
      </c>
    </row>
    <row r="223" spans="1:18" s="32" customFormat="1" ht="15" x14ac:dyDescent="0.25">
      <c r="A223" s="84" t="s">
        <v>233</v>
      </c>
      <c r="B223" s="85">
        <v>0</v>
      </c>
      <c r="C223" s="85">
        <v>0</v>
      </c>
      <c r="D223" s="15">
        <f t="shared" si="32"/>
        <v>0</v>
      </c>
      <c r="E223" s="85">
        <v>0</v>
      </c>
      <c r="F223" s="85">
        <v>0</v>
      </c>
      <c r="G223" s="28">
        <f t="shared" si="27"/>
        <v>0</v>
      </c>
      <c r="H223" s="85">
        <v>0</v>
      </c>
      <c r="I223" s="85">
        <v>0</v>
      </c>
      <c r="J223" s="28">
        <f t="shared" si="28"/>
        <v>0</v>
      </c>
      <c r="K223" s="28">
        <f t="shared" si="29"/>
        <v>0</v>
      </c>
      <c r="L223" s="28" t="s">
        <v>302</v>
      </c>
      <c r="M223" s="26"/>
      <c r="N223" s="30" t="s">
        <v>227</v>
      </c>
      <c r="O223" s="172" t="s">
        <v>308</v>
      </c>
      <c r="P223" s="172" t="s">
        <v>310</v>
      </c>
      <c r="Q223" s="26" t="s">
        <v>59</v>
      </c>
      <c r="R223" s="96" t="s">
        <v>57</v>
      </c>
    </row>
    <row r="224" spans="1:18" s="32" customFormat="1" ht="15" x14ac:dyDescent="0.25">
      <c r="A224" s="84" t="s">
        <v>234</v>
      </c>
      <c r="B224" s="85">
        <v>691</v>
      </c>
      <c r="C224" s="85">
        <v>290</v>
      </c>
      <c r="D224" s="15">
        <f t="shared" si="32"/>
        <v>981</v>
      </c>
      <c r="E224" s="85">
        <v>57.583333333333336</v>
      </c>
      <c r="F224" s="85">
        <v>57.583333333333336</v>
      </c>
      <c r="G224" s="28">
        <f t="shared" si="27"/>
        <v>115.16666666666667</v>
      </c>
      <c r="H224" s="85">
        <v>18.5</v>
      </c>
      <c r="I224" s="85">
        <v>31.166666666666668</v>
      </c>
      <c r="J224" s="28">
        <f t="shared" si="28"/>
        <v>49.666666666666671</v>
      </c>
      <c r="K224" s="28">
        <f t="shared" si="29"/>
        <v>164.83333333333334</v>
      </c>
      <c r="L224" s="28" t="s">
        <v>302</v>
      </c>
      <c r="M224" s="26"/>
      <c r="N224" s="30" t="s">
        <v>227</v>
      </c>
      <c r="O224" s="172" t="s">
        <v>308</v>
      </c>
      <c r="P224" s="172" t="s">
        <v>310</v>
      </c>
      <c r="Q224" s="26" t="s">
        <v>59</v>
      </c>
      <c r="R224" s="96" t="s">
        <v>57</v>
      </c>
    </row>
    <row r="225" spans="1:18" s="32" customFormat="1" ht="15" x14ac:dyDescent="0.25">
      <c r="A225" s="84" t="s">
        <v>235</v>
      </c>
      <c r="B225" s="85">
        <v>2</v>
      </c>
      <c r="C225" s="85">
        <v>0</v>
      </c>
      <c r="D225" s="15">
        <f t="shared" si="32"/>
        <v>2</v>
      </c>
      <c r="E225" s="85">
        <v>0</v>
      </c>
      <c r="F225" s="85">
        <v>4</v>
      </c>
      <c r="G225" s="28">
        <f t="shared" si="27"/>
        <v>4</v>
      </c>
      <c r="H225" s="85">
        <v>0</v>
      </c>
      <c r="I225" s="85">
        <v>0</v>
      </c>
      <c r="J225" s="28">
        <f t="shared" si="28"/>
        <v>0</v>
      </c>
      <c r="K225" s="28">
        <f t="shared" si="29"/>
        <v>4</v>
      </c>
      <c r="L225" s="28" t="s">
        <v>302</v>
      </c>
      <c r="M225" s="26"/>
      <c r="N225" s="30" t="s">
        <v>227</v>
      </c>
      <c r="O225" s="172" t="s">
        <v>308</v>
      </c>
      <c r="P225" s="172" t="s">
        <v>310</v>
      </c>
      <c r="Q225" s="26" t="s">
        <v>59</v>
      </c>
      <c r="R225" s="96" t="s">
        <v>57</v>
      </c>
    </row>
    <row r="226" spans="1:18" s="32" customFormat="1" ht="15" x14ac:dyDescent="0.25">
      <c r="A226" s="84" t="s">
        <v>236</v>
      </c>
      <c r="B226" s="85">
        <v>405</v>
      </c>
      <c r="C226" s="85">
        <v>63</v>
      </c>
      <c r="D226" s="15">
        <f t="shared" si="32"/>
        <v>468</v>
      </c>
      <c r="E226" s="85">
        <v>124.06666666666666</v>
      </c>
      <c r="F226" s="85">
        <v>256.5</v>
      </c>
      <c r="G226" s="28">
        <f t="shared" si="27"/>
        <v>380.56666666666666</v>
      </c>
      <c r="H226" s="85">
        <v>37.5</v>
      </c>
      <c r="I226" s="85">
        <v>37.5</v>
      </c>
      <c r="J226" s="28">
        <f t="shared" si="28"/>
        <v>75</v>
      </c>
      <c r="K226" s="28">
        <f t="shared" si="29"/>
        <v>455.56666666666666</v>
      </c>
      <c r="L226" s="28" t="s">
        <v>302</v>
      </c>
      <c r="M226" s="26"/>
      <c r="N226" s="30" t="s">
        <v>227</v>
      </c>
      <c r="O226" s="172" t="s">
        <v>308</v>
      </c>
      <c r="P226" s="172" t="s">
        <v>310</v>
      </c>
      <c r="Q226" s="26" t="s">
        <v>59</v>
      </c>
      <c r="R226" s="96" t="s">
        <v>57</v>
      </c>
    </row>
    <row r="227" spans="1:18" s="32" customFormat="1" ht="15" x14ac:dyDescent="0.25">
      <c r="A227" s="84" t="s">
        <v>237</v>
      </c>
      <c r="B227" s="85">
        <v>15</v>
      </c>
      <c r="C227" s="85">
        <v>0</v>
      </c>
      <c r="D227" s="15">
        <f t="shared" si="32"/>
        <v>15</v>
      </c>
      <c r="E227" s="85">
        <v>0.25</v>
      </c>
      <c r="F227" s="85">
        <v>5</v>
      </c>
      <c r="G227" s="28">
        <f t="shared" si="27"/>
        <v>5.25</v>
      </c>
      <c r="H227" s="85">
        <v>0</v>
      </c>
      <c r="I227" s="85">
        <v>0</v>
      </c>
      <c r="J227" s="28">
        <f t="shared" si="28"/>
        <v>0</v>
      </c>
      <c r="K227" s="28">
        <f t="shared" si="29"/>
        <v>5.25</v>
      </c>
      <c r="L227" s="28" t="s">
        <v>302</v>
      </c>
      <c r="M227" s="26"/>
      <c r="N227" s="30" t="s">
        <v>227</v>
      </c>
      <c r="O227" s="172" t="s">
        <v>308</v>
      </c>
      <c r="P227" s="172" t="s">
        <v>310</v>
      </c>
      <c r="Q227" s="26" t="s">
        <v>59</v>
      </c>
      <c r="R227" s="96" t="s">
        <v>57</v>
      </c>
    </row>
    <row r="228" spans="1:18" s="32" customFormat="1" ht="15" x14ac:dyDescent="0.25">
      <c r="A228" s="84" t="s">
        <v>238</v>
      </c>
      <c r="B228" s="85">
        <v>0</v>
      </c>
      <c r="C228" s="85">
        <v>0</v>
      </c>
      <c r="D228" s="15">
        <f t="shared" si="32"/>
        <v>0</v>
      </c>
      <c r="E228" s="85">
        <v>0</v>
      </c>
      <c r="F228" s="85">
        <v>0</v>
      </c>
      <c r="G228" s="28">
        <f t="shared" si="27"/>
        <v>0</v>
      </c>
      <c r="H228" s="85">
        <v>0</v>
      </c>
      <c r="I228" s="85">
        <v>0</v>
      </c>
      <c r="J228" s="28">
        <f t="shared" si="28"/>
        <v>0</v>
      </c>
      <c r="K228" s="28">
        <f t="shared" si="29"/>
        <v>0</v>
      </c>
      <c r="L228" s="28" t="s">
        <v>302</v>
      </c>
      <c r="M228" s="26"/>
      <c r="N228" s="30" t="s">
        <v>227</v>
      </c>
      <c r="O228" s="172" t="s">
        <v>308</v>
      </c>
      <c r="P228" s="172" t="s">
        <v>310</v>
      </c>
      <c r="Q228" s="26" t="s">
        <v>59</v>
      </c>
      <c r="R228" s="96" t="s">
        <v>57</v>
      </c>
    </row>
    <row r="229" spans="1:18" s="40" customFormat="1" ht="15" x14ac:dyDescent="0.25">
      <c r="A229" s="55" t="s">
        <v>230</v>
      </c>
      <c r="B229" s="56">
        <v>321</v>
      </c>
      <c r="C229" s="56">
        <v>238</v>
      </c>
      <c r="D229" s="35">
        <f>SUM(B229:C229)</f>
        <v>559</v>
      </c>
      <c r="E229" s="56">
        <v>10.7</v>
      </c>
      <c r="F229" s="56">
        <f>E229/2</f>
        <v>5.35</v>
      </c>
      <c r="G229" s="36">
        <f t="shared" si="27"/>
        <v>16.049999999999997</v>
      </c>
      <c r="H229" s="56">
        <v>68.25</v>
      </c>
      <c r="I229" s="56">
        <f>H229/2</f>
        <v>34.125</v>
      </c>
      <c r="J229" s="36">
        <f t="shared" si="28"/>
        <v>102.375</v>
      </c>
      <c r="K229" s="36">
        <f t="shared" si="29"/>
        <v>118.425</v>
      </c>
      <c r="L229" s="36" t="s">
        <v>307</v>
      </c>
      <c r="M229" s="39" t="s">
        <v>26</v>
      </c>
      <c r="N229" s="53" t="s">
        <v>227</v>
      </c>
      <c r="O229" s="173" t="s">
        <v>308</v>
      </c>
      <c r="P229" s="173" t="s">
        <v>310</v>
      </c>
      <c r="Q229" s="39" t="s">
        <v>59</v>
      </c>
      <c r="R229" s="95" t="s">
        <v>57</v>
      </c>
    </row>
    <row r="230" spans="1:18" s="40" customFormat="1" ht="15" x14ac:dyDescent="0.25">
      <c r="A230" s="55" t="s">
        <v>231</v>
      </c>
      <c r="B230" s="56">
        <v>202</v>
      </c>
      <c r="C230" s="56">
        <v>111</v>
      </c>
      <c r="D230" s="35">
        <f t="shared" ref="D230:D237" si="33">SUM(B230:C230)</f>
        <v>313</v>
      </c>
      <c r="E230" s="56">
        <v>3.3666666666666667</v>
      </c>
      <c r="F230" s="56">
        <f>E230/2</f>
        <v>1.6833333333333333</v>
      </c>
      <c r="G230" s="36">
        <f t="shared" si="27"/>
        <v>5.05</v>
      </c>
      <c r="H230" s="56">
        <v>35</v>
      </c>
      <c r="I230" s="56">
        <f>H230/2</f>
        <v>17.5</v>
      </c>
      <c r="J230" s="36">
        <f t="shared" si="28"/>
        <v>52.5</v>
      </c>
      <c r="K230" s="36">
        <f t="shared" si="29"/>
        <v>57.55</v>
      </c>
      <c r="L230" s="36" t="s">
        <v>307</v>
      </c>
      <c r="M230" s="39" t="s">
        <v>26</v>
      </c>
      <c r="N230" s="53" t="s">
        <v>227</v>
      </c>
      <c r="O230" s="173" t="s">
        <v>308</v>
      </c>
      <c r="P230" s="173" t="s">
        <v>310</v>
      </c>
      <c r="Q230" s="39" t="s">
        <v>59</v>
      </c>
      <c r="R230" s="95" t="s">
        <v>57</v>
      </c>
    </row>
    <row r="231" spans="1:18" s="40" customFormat="1" ht="15" x14ac:dyDescent="0.25">
      <c r="A231" s="55" t="s">
        <v>232</v>
      </c>
      <c r="B231" s="56">
        <v>80</v>
      </c>
      <c r="C231" s="56">
        <v>0</v>
      </c>
      <c r="D231" s="35">
        <f t="shared" si="33"/>
        <v>80</v>
      </c>
      <c r="E231" s="56">
        <v>29.583333333333332</v>
      </c>
      <c r="F231" s="56">
        <v>26.666666666666668</v>
      </c>
      <c r="G231" s="36">
        <f t="shared" si="27"/>
        <v>56.25</v>
      </c>
      <c r="H231" s="56">
        <v>0</v>
      </c>
      <c r="I231" s="56">
        <v>0</v>
      </c>
      <c r="J231" s="36">
        <f t="shared" si="28"/>
        <v>0</v>
      </c>
      <c r="K231" s="36">
        <f t="shared" si="29"/>
        <v>56.25</v>
      </c>
      <c r="L231" s="36" t="s">
        <v>307</v>
      </c>
      <c r="M231" s="39" t="s">
        <v>26</v>
      </c>
      <c r="N231" s="53" t="s">
        <v>227</v>
      </c>
      <c r="O231" s="173" t="s">
        <v>308</v>
      </c>
      <c r="P231" s="173" t="s">
        <v>310</v>
      </c>
      <c r="Q231" s="39" t="s">
        <v>59</v>
      </c>
      <c r="R231" s="95" t="s">
        <v>57</v>
      </c>
    </row>
    <row r="232" spans="1:18" s="40" customFormat="1" ht="15" x14ac:dyDescent="0.25">
      <c r="A232" s="55" t="s">
        <v>233</v>
      </c>
      <c r="B232" s="56">
        <v>0</v>
      </c>
      <c r="C232" s="56">
        <v>0</v>
      </c>
      <c r="D232" s="35">
        <f t="shared" si="33"/>
        <v>0</v>
      </c>
      <c r="E232" s="56">
        <v>0</v>
      </c>
      <c r="F232" s="56">
        <v>0</v>
      </c>
      <c r="G232" s="36">
        <f t="shared" si="27"/>
        <v>0</v>
      </c>
      <c r="H232" s="56">
        <v>0</v>
      </c>
      <c r="I232" s="56">
        <v>0</v>
      </c>
      <c r="J232" s="36">
        <f t="shared" si="28"/>
        <v>0</v>
      </c>
      <c r="K232" s="36">
        <f t="shared" si="29"/>
        <v>0</v>
      </c>
      <c r="L232" s="36" t="s">
        <v>307</v>
      </c>
      <c r="M232" s="39" t="s">
        <v>26</v>
      </c>
      <c r="N232" s="53" t="s">
        <v>227</v>
      </c>
      <c r="O232" s="173" t="s">
        <v>308</v>
      </c>
      <c r="P232" s="173" t="s">
        <v>310</v>
      </c>
      <c r="Q232" s="39" t="s">
        <v>59</v>
      </c>
      <c r="R232" s="95" t="s">
        <v>57</v>
      </c>
    </row>
    <row r="233" spans="1:18" s="40" customFormat="1" ht="15" x14ac:dyDescent="0.25">
      <c r="A233" s="55" t="s">
        <v>234</v>
      </c>
      <c r="B233" s="56">
        <v>691</v>
      </c>
      <c r="C233" s="56">
        <v>290</v>
      </c>
      <c r="D233" s="35">
        <f t="shared" si="33"/>
        <v>981</v>
      </c>
      <c r="E233" s="56">
        <f>3455/60</f>
        <v>57.583333333333336</v>
      </c>
      <c r="F233" s="56">
        <v>57.583333333333336</v>
      </c>
      <c r="G233" s="36">
        <f t="shared" si="27"/>
        <v>115.16666666666667</v>
      </c>
      <c r="H233" s="56">
        <f>3320/60</f>
        <v>55.333333333333336</v>
      </c>
      <c r="I233" s="56">
        <v>31.166666666666668</v>
      </c>
      <c r="J233" s="36">
        <f t="shared" si="28"/>
        <v>86.5</v>
      </c>
      <c r="K233" s="36">
        <f t="shared" si="29"/>
        <v>201.66666666666669</v>
      </c>
      <c r="L233" s="36" t="s">
        <v>307</v>
      </c>
      <c r="M233" s="39" t="s">
        <v>26</v>
      </c>
      <c r="N233" s="53" t="s">
        <v>227</v>
      </c>
      <c r="O233" s="173" t="s">
        <v>308</v>
      </c>
      <c r="P233" s="173" t="s">
        <v>310</v>
      </c>
      <c r="Q233" s="39" t="s">
        <v>59</v>
      </c>
      <c r="R233" s="95" t="s">
        <v>57</v>
      </c>
    </row>
    <row r="234" spans="1:18" s="40" customFormat="1" ht="15" x14ac:dyDescent="0.25">
      <c r="A234" s="55" t="s">
        <v>235</v>
      </c>
      <c r="B234" s="56">
        <v>2</v>
      </c>
      <c r="C234" s="56">
        <v>0</v>
      </c>
      <c r="D234" s="35">
        <f t="shared" si="33"/>
        <v>2</v>
      </c>
      <c r="E234" s="56">
        <v>0</v>
      </c>
      <c r="F234" s="56">
        <v>4</v>
      </c>
      <c r="G234" s="36">
        <f t="shared" si="27"/>
        <v>4</v>
      </c>
      <c r="H234" s="56">
        <v>0</v>
      </c>
      <c r="I234" s="56">
        <v>0</v>
      </c>
      <c r="J234" s="36">
        <f t="shared" si="28"/>
        <v>0</v>
      </c>
      <c r="K234" s="36">
        <f t="shared" si="29"/>
        <v>4</v>
      </c>
      <c r="L234" s="36" t="s">
        <v>307</v>
      </c>
      <c r="M234" s="39" t="s">
        <v>26</v>
      </c>
      <c r="N234" s="53" t="s">
        <v>227</v>
      </c>
      <c r="O234" s="173" t="s">
        <v>308</v>
      </c>
      <c r="P234" s="173" t="s">
        <v>310</v>
      </c>
      <c r="Q234" s="39" t="s">
        <v>59</v>
      </c>
      <c r="R234" s="95" t="s">
        <v>57</v>
      </c>
    </row>
    <row r="235" spans="1:18" s="40" customFormat="1" ht="15" x14ac:dyDescent="0.25">
      <c r="A235" s="55" t="s">
        <v>236</v>
      </c>
      <c r="B235" s="56">
        <v>405</v>
      </c>
      <c r="C235" s="56">
        <v>63</v>
      </c>
      <c r="D235" s="35">
        <f t="shared" si="33"/>
        <v>468</v>
      </c>
      <c r="E235" s="56">
        <v>124.06666666666666</v>
      </c>
      <c r="F235" s="56">
        <v>256.5</v>
      </c>
      <c r="G235" s="36">
        <f t="shared" si="27"/>
        <v>380.56666666666666</v>
      </c>
      <c r="H235" s="56">
        <f>2325/60</f>
        <v>38.75</v>
      </c>
      <c r="I235" s="56">
        <v>37.5</v>
      </c>
      <c r="J235" s="36">
        <f t="shared" si="28"/>
        <v>76.25</v>
      </c>
      <c r="K235" s="36">
        <f t="shared" si="29"/>
        <v>456.81666666666666</v>
      </c>
      <c r="L235" s="36" t="s">
        <v>307</v>
      </c>
      <c r="M235" s="39" t="s">
        <v>26</v>
      </c>
      <c r="N235" s="53" t="s">
        <v>227</v>
      </c>
      <c r="O235" s="173" t="s">
        <v>308</v>
      </c>
      <c r="P235" s="173" t="s">
        <v>310</v>
      </c>
      <c r="Q235" s="39" t="s">
        <v>59</v>
      </c>
      <c r="R235" s="95" t="s">
        <v>57</v>
      </c>
    </row>
    <row r="236" spans="1:18" s="40" customFormat="1" ht="15" x14ac:dyDescent="0.25">
      <c r="A236" s="55" t="s">
        <v>237</v>
      </c>
      <c r="B236" s="56">
        <v>15</v>
      </c>
      <c r="C236" s="56">
        <v>0</v>
      </c>
      <c r="D236" s="35">
        <f t="shared" si="33"/>
        <v>15</v>
      </c>
      <c r="E236" s="56">
        <v>0.25</v>
      </c>
      <c r="F236" s="56">
        <v>5</v>
      </c>
      <c r="G236" s="36">
        <f t="shared" si="27"/>
        <v>5.25</v>
      </c>
      <c r="H236" s="56">
        <v>0</v>
      </c>
      <c r="I236" s="56">
        <v>0</v>
      </c>
      <c r="J236" s="36">
        <f t="shared" si="28"/>
        <v>0</v>
      </c>
      <c r="K236" s="36">
        <f t="shared" si="29"/>
        <v>5.25</v>
      </c>
      <c r="L236" s="36" t="s">
        <v>307</v>
      </c>
      <c r="M236" s="39" t="s">
        <v>26</v>
      </c>
      <c r="N236" s="53" t="s">
        <v>227</v>
      </c>
      <c r="O236" s="173" t="s">
        <v>308</v>
      </c>
      <c r="P236" s="173" t="s">
        <v>310</v>
      </c>
      <c r="Q236" s="39" t="s">
        <v>59</v>
      </c>
      <c r="R236" s="95" t="s">
        <v>57</v>
      </c>
    </row>
    <row r="237" spans="1:18" s="40" customFormat="1" ht="15" x14ac:dyDescent="0.25">
      <c r="A237" s="55" t="s">
        <v>238</v>
      </c>
      <c r="B237" s="56">
        <v>0</v>
      </c>
      <c r="C237" s="56">
        <v>0</v>
      </c>
      <c r="D237" s="35">
        <f t="shared" si="33"/>
        <v>0</v>
      </c>
      <c r="E237" s="56">
        <v>0</v>
      </c>
      <c r="F237" s="56">
        <v>0</v>
      </c>
      <c r="G237" s="36">
        <f t="shared" si="27"/>
        <v>0</v>
      </c>
      <c r="H237" s="56">
        <v>0</v>
      </c>
      <c r="I237" s="56">
        <v>0</v>
      </c>
      <c r="J237" s="36">
        <f t="shared" si="28"/>
        <v>0</v>
      </c>
      <c r="K237" s="36">
        <f t="shared" si="29"/>
        <v>0</v>
      </c>
      <c r="L237" s="36" t="s">
        <v>307</v>
      </c>
      <c r="M237" s="39" t="s">
        <v>26</v>
      </c>
      <c r="N237" s="53" t="s">
        <v>227</v>
      </c>
      <c r="O237" s="173" t="s">
        <v>308</v>
      </c>
      <c r="P237" s="173" t="s">
        <v>310</v>
      </c>
      <c r="Q237" s="39" t="s">
        <v>59</v>
      </c>
      <c r="R237" s="95" t="s">
        <v>57</v>
      </c>
    </row>
    <row r="238" spans="1:18" s="32" customFormat="1" ht="15" x14ac:dyDescent="0.25">
      <c r="A238" s="84" t="s">
        <v>230</v>
      </c>
      <c r="B238" s="85">
        <v>100</v>
      </c>
      <c r="C238" s="85">
        <v>126</v>
      </c>
      <c r="D238" s="15">
        <f>SUM(B238:C238)</f>
        <v>226</v>
      </c>
      <c r="E238" s="85">
        <v>3.3333333333333335</v>
      </c>
      <c r="F238" s="85">
        <v>2</v>
      </c>
      <c r="G238" s="28">
        <f t="shared" si="27"/>
        <v>5.3333333333333339</v>
      </c>
      <c r="H238" s="85">
        <v>6.833333333333333</v>
      </c>
      <c r="I238" s="85">
        <v>3</v>
      </c>
      <c r="J238" s="28">
        <f t="shared" si="28"/>
        <v>9.8333333333333321</v>
      </c>
      <c r="K238" s="28">
        <f t="shared" si="29"/>
        <v>15.166666666666666</v>
      </c>
      <c r="L238" s="28" t="s">
        <v>302</v>
      </c>
      <c r="M238" s="26"/>
      <c r="N238" s="30" t="s">
        <v>227</v>
      </c>
      <c r="O238" s="172" t="s">
        <v>312</v>
      </c>
      <c r="P238" s="172" t="s">
        <v>311</v>
      </c>
      <c r="Q238" s="26" t="s">
        <v>61</v>
      </c>
      <c r="R238" s="96" t="s">
        <v>60</v>
      </c>
    </row>
    <row r="239" spans="1:18" s="32" customFormat="1" ht="15" x14ac:dyDescent="0.25">
      <c r="A239" s="84" t="s">
        <v>231</v>
      </c>
      <c r="B239" s="85">
        <v>41</v>
      </c>
      <c r="C239" s="85">
        <v>45</v>
      </c>
      <c r="D239" s="15">
        <f t="shared" ref="D239:D246" si="34">SUM(B239:C239)</f>
        <v>86</v>
      </c>
      <c r="E239" s="85">
        <v>0.68333333333333335</v>
      </c>
      <c r="F239" s="85">
        <v>1</v>
      </c>
      <c r="G239" s="28">
        <f t="shared" si="27"/>
        <v>1.6833333333333333</v>
      </c>
      <c r="H239" s="85">
        <v>2.8</v>
      </c>
      <c r="I239" s="85">
        <v>2</v>
      </c>
      <c r="J239" s="28">
        <f t="shared" si="28"/>
        <v>4.8</v>
      </c>
      <c r="K239" s="28">
        <f t="shared" si="29"/>
        <v>6.4833333333333334</v>
      </c>
      <c r="L239" s="28" t="s">
        <v>302</v>
      </c>
      <c r="M239" s="26"/>
      <c r="N239" s="30" t="s">
        <v>227</v>
      </c>
      <c r="O239" s="172" t="s">
        <v>312</v>
      </c>
      <c r="P239" s="172" t="s">
        <v>311</v>
      </c>
      <c r="Q239" s="26" t="s">
        <v>61</v>
      </c>
      <c r="R239" s="96" t="s">
        <v>60</v>
      </c>
    </row>
    <row r="240" spans="1:18" s="32" customFormat="1" ht="15" x14ac:dyDescent="0.25">
      <c r="A240" s="84" t="s">
        <v>232</v>
      </c>
      <c r="B240" s="85">
        <v>0</v>
      </c>
      <c r="C240" s="85">
        <v>0</v>
      </c>
      <c r="D240" s="15">
        <f t="shared" si="34"/>
        <v>0</v>
      </c>
      <c r="E240" s="85">
        <v>0</v>
      </c>
      <c r="F240" s="85">
        <v>0</v>
      </c>
      <c r="G240" s="28">
        <f t="shared" si="27"/>
        <v>0</v>
      </c>
      <c r="H240" s="85">
        <v>0</v>
      </c>
      <c r="I240" s="85">
        <v>0</v>
      </c>
      <c r="J240" s="28">
        <f t="shared" si="28"/>
        <v>0</v>
      </c>
      <c r="K240" s="28">
        <f t="shared" si="29"/>
        <v>0</v>
      </c>
      <c r="L240" s="28" t="s">
        <v>302</v>
      </c>
      <c r="M240" s="26"/>
      <c r="N240" s="30" t="s">
        <v>227</v>
      </c>
      <c r="O240" s="172" t="s">
        <v>312</v>
      </c>
      <c r="P240" s="172" t="s">
        <v>311</v>
      </c>
      <c r="Q240" s="26" t="s">
        <v>61</v>
      </c>
      <c r="R240" s="96" t="s">
        <v>60</v>
      </c>
    </row>
    <row r="241" spans="1:18" s="32" customFormat="1" ht="15" x14ac:dyDescent="0.25">
      <c r="A241" s="84" t="s">
        <v>233</v>
      </c>
      <c r="B241" s="85">
        <v>0</v>
      </c>
      <c r="C241" s="85">
        <v>0</v>
      </c>
      <c r="D241" s="15">
        <f t="shared" si="34"/>
        <v>0</v>
      </c>
      <c r="E241" s="85">
        <v>0</v>
      </c>
      <c r="F241" s="85">
        <v>0</v>
      </c>
      <c r="G241" s="28">
        <f t="shared" si="27"/>
        <v>0</v>
      </c>
      <c r="H241" s="85">
        <v>0</v>
      </c>
      <c r="I241" s="85">
        <v>0</v>
      </c>
      <c r="J241" s="28">
        <f t="shared" si="28"/>
        <v>0</v>
      </c>
      <c r="K241" s="28">
        <f t="shared" si="29"/>
        <v>0</v>
      </c>
      <c r="L241" s="28" t="s">
        <v>302</v>
      </c>
      <c r="M241" s="26"/>
      <c r="N241" s="30" t="s">
        <v>227</v>
      </c>
      <c r="O241" s="172" t="s">
        <v>312</v>
      </c>
      <c r="P241" s="172" t="s">
        <v>311</v>
      </c>
      <c r="Q241" s="26" t="s">
        <v>61</v>
      </c>
      <c r="R241" s="96" t="s">
        <v>60</v>
      </c>
    </row>
    <row r="242" spans="1:18" s="32" customFormat="1" ht="15" x14ac:dyDescent="0.25">
      <c r="A242" s="84" t="s">
        <v>234</v>
      </c>
      <c r="B242" s="85">
        <v>125</v>
      </c>
      <c r="C242" s="85">
        <v>179</v>
      </c>
      <c r="D242" s="15">
        <f t="shared" si="34"/>
        <v>304</v>
      </c>
      <c r="E242" s="85">
        <v>7</v>
      </c>
      <c r="F242" s="85">
        <f>625/60</f>
        <v>10.416666666666666</v>
      </c>
      <c r="G242" s="28">
        <f t="shared" si="27"/>
        <v>17.416666666666664</v>
      </c>
      <c r="H242" s="85">
        <v>8</v>
      </c>
      <c r="I242" s="85">
        <f>1055/60</f>
        <v>17.583333333333332</v>
      </c>
      <c r="J242" s="28">
        <f t="shared" si="28"/>
        <v>25.583333333333332</v>
      </c>
      <c r="K242" s="28">
        <f t="shared" si="29"/>
        <v>43</v>
      </c>
      <c r="L242" s="28" t="s">
        <v>302</v>
      </c>
      <c r="M242" s="26"/>
      <c r="N242" s="30" t="s">
        <v>227</v>
      </c>
      <c r="O242" s="172" t="s">
        <v>312</v>
      </c>
      <c r="P242" s="172" t="s">
        <v>311</v>
      </c>
      <c r="Q242" s="26" t="s">
        <v>61</v>
      </c>
      <c r="R242" s="96" t="s">
        <v>60</v>
      </c>
    </row>
    <row r="243" spans="1:18" s="32" customFormat="1" ht="15" x14ac:dyDescent="0.25">
      <c r="A243" s="84" t="s">
        <v>235</v>
      </c>
      <c r="B243" s="85">
        <v>1</v>
      </c>
      <c r="C243" s="85">
        <v>0</v>
      </c>
      <c r="D243" s="15">
        <f t="shared" si="34"/>
        <v>1</v>
      </c>
      <c r="E243" s="85">
        <v>1.6666666666666666E-2</v>
      </c>
      <c r="F243" s="85">
        <v>2</v>
      </c>
      <c r="G243" s="28">
        <f t="shared" si="27"/>
        <v>2.0166666666666666</v>
      </c>
      <c r="H243" s="85">
        <v>0</v>
      </c>
      <c r="I243" s="85">
        <v>0</v>
      </c>
      <c r="J243" s="28">
        <f t="shared" si="28"/>
        <v>0</v>
      </c>
      <c r="K243" s="28">
        <f t="shared" si="29"/>
        <v>2.0166666666666666</v>
      </c>
      <c r="L243" s="28" t="s">
        <v>302</v>
      </c>
      <c r="M243" s="26"/>
      <c r="N243" s="30" t="s">
        <v>227</v>
      </c>
      <c r="O243" s="172" t="s">
        <v>312</v>
      </c>
      <c r="P243" s="172" t="s">
        <v>311</v>
      </c>
      <c r="Q243" s="26" t="s">
        <v>61</v>
      </c>
      <c r="R243" s="96" t="s">
        <v>60</v>
      </c>
    </row>
    <row r="244" spans="1:18" s="32" customFormat="1" ht="15" x14ac:dyDescent="0.25">
      <c r="A244" s="84" t="s">
        <v>236</v>
      </c>
      <c r="B244" s="85">
        <v>114</v>
      </c>
      <c r="C244" s="85">
        <v>17</v>
      </c>
      <c r="D244" s="15">
        <f t="shared" si="34"/>
        <v>131</v>
      </c>
      <c r="E244" s="85">
        <v>30</v>
      </c>
      <c r="F244" s="85">
        <v>82</v>
      </c>
      <c r="G244" s="28">
        <f t="shared" si="27"/>
        <v>112</v>
      </c>
      <c r="H244" s="85">
        <v>8</v>
      </c>
      <c r="I244" s="85">
        <v>8</v>
      </c>
      <c r="J244" s="28">
        <f t="shared" si="28"/>
        <v>16</v>
      </c>
      <c r="K244" s="28">
        <f t="shared" si="29"/>
        <v>128</v>
      </c>
      <c r="L244" s="28" t="s">
        <v>302</v>
      </c>
      <c r="M244" s="26"/>
      <c r="N244" s="30" t="s">
        <v>227</v>
      </c>
      <c r="O244" s="172" t="s">
        <v>312</v>
      </c>
      <c r="P244" s="172" t="s">
        <v>311</v>
      </c>
      <c r="Q244" s="26" t="s">
        <v>61</v>
      </c>
      <c r="R244" s="96" t="s">
        <v>60</v>
      </c>
    </row>
    <row r="245" spans="1:18" s="32" customFormat="1" ht="15" x14ac:dyDescent="0.25">
      <c r="A245" s="84" t="s">
        <v>237</v>
      </c>
      <c r="B245" s="85">
        <v>4</v>
      </c>
      <c r="C245" s="85">
        <v>0</v>
      </c>
      <c r="D245" s="15">
        <f t="shared" si="34"/>
        <v>4</v>
      </c>
      <c r="E245" s="85">
        <v>6.6666666666666666E-2</v>
      </c>
      <c r="F245" s="85">
        <v>1.3333333333333333</v>
      </c>
      <c r="G245" s="28">
        <f t="shared" si="27"/>
        <v>1.4</v>
      </c>
      <c r="H245" s="85">
        <v>0</v>
      </c>
      <c r="I245" s="85">
        <v>0</v>
      </c>
      <c r="J245" s="28">
        <f t="shared" si="28"/>
        <v>0</v>
      </c>
      <c r="K245" s="28">
        <f t="shared" si="29"/>
        <v>1.4</v>
      </c>
      <c r="L245" s="28" t="s">
        <v>302</v>
      </c>
      <c r="M245" s="26"/>
      <c r="N245" s="30" t="s">
        <v>227</v>
      </c>
      <c r="O245" s="172" t="s">
        <v>312</v>
      </c>
      <c r="P245" s="172" t="s">
        <v>311</v>
      </c>
      <c r="Q245" s="26" t="s">
        <v>61</v>
      </c>
      <c r="R245" s="96" t="s">
        <v>60</v>
      </c>
    </row>
    <row r="246" spans="1:18" s="32" customFormat="1" ht="15" x14ac:dyDescent="0.25">
      <c r="A246" s="84" t="s">
        <v>238</v>
      </c>
      <c r="B246" s="85">
        <v>0</v>
      </c>
      <c r="C246" s="85">
        <v>0</v>
      </c>
      <c r="D246" s="15">
        <f t="shared" si="34"/>
        <v>0</v>
      </c>
      <c r="E246" s="85">
        <v>0</v>
      </c>
      <c r="F246" s="85">
        <v>0</v>
      </c>
      <c r="G246" s="28">
        <f t="shared" si="27"/>
        <v>0</v>
      </c>
      <c r="H246" s="85">
        <v>0</v>
      </c>
      <c r="I246" s="85">
        <v>0</v>
      </c>
      <c r="J246" s="28">
        <f t="shared" si="28"/>
        <v>0</v>
      </c>
      <c r="K246" s="28">
        <f t="shared" si="29"/>
        <v>0</v>
      </c>
      <c r="L246" s="28" t="s">
        <v>302</v>
      </c>
      <c r="M246" s="26"/>
      <c r="N246" s="30" t="s">
        <v>227</v>
      </c>
      <c r="O246" s="172" t="s">
        <v>312</v>
      </c>
      <c r="P246" s="172" t="s">
        <v>311</v>
      </c>
      <c r="Q246" s="26" t="s">
        <v>61</v>
      </c>
      <c r="R246" s="96" t="s">
        <v>60</v>
      </c>
    </row>
    <row r="247" spans="1:18" s="40" customFormat="1" ht="15" x14ac:dyDescent="0.25">
      <c r="A247" s="55" t="s">
        <v>230</v>
      </c>
      <c r="B247" s="38">
        <v>37</v>
      </c>
      <c r="C247" s="38">
        <v>56</v>
      </c>
      <c r="D247" s="35">
        <f>SUM(B247:C247)</f>
        <v>93</v>
      </c>
      <c r="E247" s="56">
        <v>1.2333333333333334</v>
      </c>
      <c r="F247" s="56">
        <f>E247/3</f>
        <v>0.41111111111111115</v>
      </c>
      <c r="G247" s="36">
        <f t="shared" si="27"/>
        <v>1.6444444444444446</v>
      </c>
      <c r="H247" s="56">
        <v>10.416666666666666</v>
      </c>
      <c r="I247" s="56">
        <v>3.4722222222222219</v>
      </c>
      <c r="J247" s="36">
        <f t="shared" si="28"/>
        <v>13.888888888888888</v>
      </c>
      <c r="K247" s="36">
        <f t="shared" si="29"/>
        <v>15.533333333333331</v>
      </c>
      <c r="L247" s="36" t="s">
        <v>302</v>
      </c>
      <c r="M247" s="39"/>
      <c r="N247" s="53" t="s">
        <v>302</v>
      </c>
      <c r="O247" s="173" t="s">
        <v>308</v>
      </c>
      <c r="P247" s="173" t="s">
        <v>315</v>
      </c>
      <c r="Q247" s="39" t="s">
        <v>63</v>
      </c>
      <c r="R247" s="54" t="s">
        <v>62</v>
      </c>
    </row>
    <row r="248" spans="1:18" s="40" customFormat="1" ht="15" x14ac:dyDescent="0.25">
      <c r="A248" s="55" t="s">
        <v>231</v>
      </c>
      <c r="B248" s="38">
        <v>21</v>
      </c>
      <c r="C248" s="38">
        <v>17</v>
      </c>
      <c r="D248" s="35">
        <f t="shared" ref="D248:D255" si="35">SUM(B248:C248)</f>
        <v>38</v>
      </c>
      <c r="E248" s="56">
        <v>0.35</v>
      </c>
      <c r="F248" s="56">
        <f>E248/3</f>
        <v>0.11666666666666665</v>
      </c>
      <c r="G248" s="36">
        <f t="shared" si="27"/>
        <v>0.46666666666666662</v>
      </c>
      <c r="H248" s="56">
        <v>5</v>
      </c>
      <c r="I248" s="56">
        <v>1.6666666666666667</v>
      </c>
      <c r="J248" s="36">
        <f t="shared" si="28"/>
        <v>6.666666666666667</v>
      </c>
      <c r="K248" s="36">
        <f t="shared" si="29"/>
        <v>7.1333333333333337</v>
      </c>
      <c r="L248" s="36" t="s">
        <v>302</v>
      </c>
      <c r="M248" s="39"/>
      <c r="N248" s="53" t="s">
        <v>302</v>
      </c>
      <c r="O248" s="173" t="s">
        <v>308</v>
      </c>
      <c r="P248" s="173" t="s">
        <v>315</v>
      </c>
      <c r="Q248" s="39" t="s">
        <v>63</v>
      </c>
      <c r="R248" s="54" t="s">
        <v>62</v>
      </c>
    </row>
    <row r="249" spans="1:18" s="40" customFormat="1" ht="15" x14ac:dyDescent="0.25">
      <c r="A249" s="55" t="s">
        <v>232</v>
      </c>
      <c r="B249" s="38">
        <v>21</v>
      </c>
      <c r="C249" s="38">
        <v>0</v>
      </c>
      <c r="D249" s="35">
        <f t="shared" si="35"/>
        <v>21</v>
      </c>
      <c r="E249" s="56">
        <v>10.25</v>
      </c>
      <c r="F249" s="56">
        <v>7</v>
      </c>
      <c r="G249" s="36">
        <f t="shared" si="27"/>
        <v>17.25</v>
      </c>
      <c r="H249" s="56">
        <v>0</v>
      </c>
      <c r="I249" s="56">
        <v>0</v>
      </c>
      <c r="J249" s="36">
        <f t="shared" si="28"/>
        <v>0</v>
      </c>
      <c r="K249" s="36">
        <f t="shared" si="29"/>
        <v>17.25</v>
      </c>
      <c r="L249" s="36" t="s">
        <v>302</v>
      </c>
      <c r="M249" s="39"/>
      <c r="N249" s="53" t="s">
        <v>302</v>
      </c>
      <c r="O249" s="173" t="s">
        <v>308</v>
      </c>
      <c r="P249" s="173" t="s">
        <v>315</v>
      </c>
      <c r="Q249" s="39" t="s">
        <v>63</v>
      </c>
      <c r="R249" s="54" t="s">
        <v>62</v>
      </c>
    </row>
    <row r="250" spans="1:18" s="40" customFormat="1" ht="15" x14ac:dyDescent="0.25">
      <c r="A250" s="55" t="s">
        <v>233</v>
      </c>
      <c r="B250" s="38">
        <v>70</v>
      </c>
      <c r="C250" s="38">
        <v>39</v>
      </c>
      <c r="D250" s="35">
        <f t="shared" si="35"/>
        <v>109</v>
      </c>
      <c r="E250" s="56">
        <v>62</v>
      </c>
      <c r="F250" s="56">
        <v>16</v>
      </c>
      <c r="G250" s="36">
        <f t="shared" si="27"/>
        <v>78</v>
      </c>
      <c r="H250" s="56">
        <v>6.3833333333333337</v>
      </c>
      <c r="I250" s="56">
        <v>8.9166666666666661</v>
      </c>
      <c r="J250" s="36">
        <f t="shared" si="28"/>
        <v>15.3</v>
      </c>
      <c r="K250" s="36">
        <f t="shared" si="29"/>
        <v>93.3</v>
      </c>
      <c r="L250" s="36" t="s">
        <v>302</v>
      </c>
      <c r="M250" s="39"/>
      <c r="N250" s="53" t="s">
        <v>302</v>
      </c>
      <c r="O250" s="173" t="s">
        <v>308</v>
      </c>
      <c r="P250" s="173" t="s">
        <v>315</v>
      </c>
      <c r="Q250" s="39" t="s">
        <v>63</v>
      </c>
      <c r="R250" s="54" t="s">
        <v>62</v>
      </c>
    </row>
    <row r="251" spans="1:18" s="40" customFormat="1" ht="15" x14ac:dyDescent="0.25">
      <c r="A251" s="55" t="s">
        <v>234</v>
      </c>
      <c r="B251" s="38">
        <v>0</v>
      </c>
      <c r="C251" s="38">
        <v>0</v>
      </c>
      <c r="D251" s="35">
        <f t="shared" si="35"/>
        <v>0</v>
      </c>
      <c r="E251" s="56">
        <v>0</v>
      </c>
      <c r="F251" s="56">
        <v>0</v>
      </c>
      <c r="G251" s="36">
        <f t="shared" si="27"/>
        <v>0</v>
      </c>
      <c r="H251" s="56">
        <v>0</v>
      </c>
      <c r="I251" s="56">
        <v>0</v>
      </c>
      <c r="J251" s="36">
        <f t="shared" si="28"/>
        <v>0</v>
      </c>
      <c r="K251" s="36">
        <f t="shared" si="29"/>
        <v>0</v>
      </c>
      <c r="L251" s="36" t="s">
        <v>302</v>
      </c>
      <c r="M251" s="39"/>
      <c r="N251" s="53" t="s">
        <v>302</v>
      </c>
      <c r="O251" s="173" t="s">
        <v>308</v>
      </c>
      <c r="P251" s="173" t="s">
        <v>315</v>
      </c>
      <c r="Q251" s="39" t="s">
        <v>63</v>
      </c>
      <c r="R251" s="54" t="s">
        <v>62</v>
      </c>
    </row>
    <row r="252" spans="1:18" s="40" customFormat="1" ht="15" x14ac:dyDescent="0.25">
      <c r="A252" s="55" t="s">
        <v>235</v>
      </c>
      <c r="B252" s="38">
        <v>1</v>
      </c>
      <c r="C252" s="38">
        <v>0</v>
      </c>
      <c r="D252" s="35">
        <f t="shared" si="35"/>
        <v>1</v>
      </c>
      <c r="E252" s="56">
        <v>0.5</v>
      </c>
      <c r="F252" s="56">
        <v>2</v>
      </c>
      <c r="G252" s="36">
        <f t="shared" si="27"/>
        <v>2.5</v>
      </c>
      <c r="H252" s="56">
        <v>0</v>
      </c>
      <c r="I252" s="56">
        <v>0</v>
      </c>
      <c r="J252" s="36">
        <f t="shared" si="28"/>
        <v>0</v>
      </c>
      <c r="K252" s="36">
        <f t="shared" si="29"/>
        <v>2.5</v>
      </c>
      <c r="L252" s="36" t="s">
        <v>302</v>
      </c>
      <c r="M252" s="39"/>
      <c r="N252" s="53" t="s">
        <v>302</v>
      </c>
      <c r="O252" s="173" t="s">
        <v>308</v>
      </c>
      <c r="P252" s="173" t="s">
        <v>315</v>
      </c>
      <c r="Q252" s="39" t="s">
        <v>63</v>
      </c>
      <c r="R252" s="54" t="s">
        <v>62</v>
      </c>
    </row>
    <row r="253" spans="1:18" s="40" customFormat="1" ht="15" x14ac:dyDescent="0.25">
      <c r="A253" s="55" t="s">
        <v>236</v>
      </c>
      <c r="B253" s="38">
        <v>75</v>
      </c>
      <c r="C253" s="38">
        <v>16</v>
      </c>
      <c r="D253" s="35">
        <f t="shared" si="35"/>
        <v>91</v>
      </c>
      <c r="E253" s="56">
        <v>145.58333333333334</v>
      </c>
      <c r="F253" s="56">
        <v>71.333333333333329</v>
      </c>
      <c r="G253" s="36">
        <f t="shared" si="27"/>
        <v>216.91666666666669</v>
      </c>
      <c r="H253" s="56">
        <v>11.666666666666666</v>
      </c>
      <c r="I253" s="56">
        <v>10.333333333333334</v>
      </c>
      <c r="J253" s="36">
        <f t="shared" si="28"/>
        <v>22</v>
      </c>
      <c r="K253" s="36">
        <f t="shared" si="29"/>
        <v>238.91666666666669</v>
      </c>
      <c r="L253" s="36" t="s">
        <v>302</v>
      </c>
      <c r="M253" s="39"/>
      <c r="N253" s="53" t="s">
        <v>302</v>
      </c>
      <c r="O253" s="173" t="s">
        <v>308</v>
      </c>
      <c r="P253" s="173" t="s">
        <v>315</v>
      </c>
      <c r="Q253" s="39" t="s">
        <v>63</v>
      </c>
      <c r="R253" s="54" t="s">
        <v>62</v>
      </c>
    </row>
    <row r="254" spans="1:18" s="40" customFormat="1" ht="15" x14ac:dyDescent="0.25">
      <c r="A254" s="55" t="s">
        <v>237</v>
      </c>
      <c r="B254" s="38">
        <v>0</v>
      </c>
      <c r="C254" s="38">
        <v>0</v>
      </c>
      <c r="D254" s="35">
        <f t="shared" si="35"/>
        <v>0</v>
      </c>
      <c r="E254" s="56">
        <v>0</v>
      </c>
      <c r="F254" s="56">
        <v>0</v>
      </c>
      <c r="G254" s="36">
        <f t="shared" si="27"/>
        <v>0</v>
      </c>
      <c r="H254" s="56">
        <v>0</v>
      </c>
      <c r="I254" s="56">
        <v>0</v>
      </c>
      <c r="J254" s="36">
        <f t="shared" si="28"/>
        <v>0</v>
      </c>
      <c r="K254" s="36">
        <f t="shared" si="29"/>
        <v>0</v>
      </c>
      <c r="L254" s="36" t="s">
        <v>302</v>
      </c>
      <c r="M254" s="39"/>
      <c r="N254" s="53" t="s">
        <v>302</v>
      </c>
      <c r="O254" s="173" t="s">
        <v>308</v>
      </c>
      <c r="P254" s="173" t="s">
        <v>315</v>
      </c>
      <c r="Q254" s="39" t="s">
        <v>63</v>
      </c>
      <c r="R254" s="54" t="s">
        <v>62</v>
      </c>
    </row>
    <row r="255" spans="1:18" s="40" customFormat="1" ht="15" x14ac:dyDescent="0.25">
      <c r="A255" s="55" t="s">
        <v>238</v>
      </c>
      <c r="B255" s="38">
        <v>0</v>
      </c>
      <c r="C255" s="38">
        <v>0</v>
      </c>
      <c r="D255" s="35">
        <f t="shared" si="35"/>
        <v>0</v>
      </c>
      <c r="E255" s="56">
        <v>0</v>
      </c>
      <c r="F255" s="56">
        <v>0</v>
      </c>
      <c r="G255" s="36">
        <f t="shared" si="27"/>
        <v>0</v>
      </c>
      <c r="H255" s="56">
        <v>0</v>
      </c>
      <c r="I255" s="56">
        <v>0</v>
      </c>
      <c r="J255" s="36">
        <f t="shared" si="28"/>
        <v>0</v>
      </c>
      <c r="K255" s="36">
        <f t="shared" si="29"/>
        <v>0</v>
      </c>
      <c r="L255" s="36" t="s">
        <v>302</v>
      </c>
      <c r="M255" s="39"/>
      <c r="N255" s="53" t="s">
        <v>302</v>
      </c>
      <c r="O255" s="173" t="s">
        <v>308</v>
      </c>
      <c r="P255" s="173" t="s">
        <v>315</v>
      </c>
      <c r="Q255" s="39" t="s">
        <v>63</v>
      </c>
      <c r="R255" s="54" t="s">
        <v>62</v>
      </c>
    </row>
    <row r="256" spans="1:18" s="32" customFormat="1" ht="15" x14ac:dyDescent="0.25">
      <c r="A256" s="84" t="s">
        <v>230</v>
      </c>
      <c r="B256" s="27">
        <v>37</v>
      </c>
      <c r="C256" s="27">
        <v>56</v>
      </c>
      <c r="D256" s="15">
        <f>SUM(B256:C256)</f>
        <v>93</v>
      </c>
      <c r="E256" s="85">
        <v>1.2333333333333334</v>
      </c>
      <c r="F256" s="85">
        <f>E256/3</f>
        <v>0.41111111111111115</v>
      </c>
      <c r="G256" s="28">
        <f t="shared" si="27"/>
        <v>1.6444444444444446</v>
      </c>
      <c r="H256" s="85">
        <v>13</v>
      </c>
      <c r="I256" s="85">
        <f>3.47222222222222+2.36</f>
        <v>5.83222222222222</v>
      </c>
      <c r="J256" s="28">
        <f t="shared" si="28"/>
        <v>18.832222222222221</v>
      </c>
      <c r="K256" s="28">
        <f t="shared" si="29"/>
        <v>20.476666666666667</v>
      </c>
      <c r="L256" s="28" t="s">
        <v>307</v>
      </c>
      <c r="M256" s="26" t="s">
        <v>26</v>
      </c>
      <c r="N256" s="30" t="s">
        <v>302</v>
      </c>
      <c r="O256" s="172" t="s">
        <v>308</v>
      </c>
      <c r="P256" s="172" t="s">
        <v>315</v>
      </c>
      <c r="Q256" s="26" t="s">
        <v>63</v>
      </c>
      <c r="R256" s="96" t="s">
        <v>62</v>
      </c>
    </row>
    <row r="257" spans="1:18" s="32" customFormat="1" ht="15" x14ac:dyDescent="0.25">
      <c r="A257" s="84" t="s">
        <v>231</v>
      </c>
      <c r="B257" s="27">
        <v>21</v>
      </c>
      <c r="C257" s="27">
        <v>17</v>
      </c>
      <c r="D257" s="15">
        <f t="shared" ref="D257:D264" si="36">SUM(B257:C257)</f>
        <v>38</v>
      </c>
      <c r="E257" s="85">
        <v>0.35</v>
      </c>
      <c r="F257" s="85">
        <f>E257/3</f>
        <v>0.11666666666666665</v>
      </c>
      <c r="G257" s="28">
        <f t="shared" si="27"/>
        <v>0.46666666666666662</v>
      </c>
      <c r="H257" s="85">
        <v>8</v>
      </c>
      <c r="I257" s="85">
        <f>1.66666666666667+1</f>
        <v>2.6666666666666701</v>
      </c>
      <c r="J257" s="28">
        <f t="shared" si="28"/>
        <v>10.66666666666667</v>
      </c>
      <c r="K257" s="28">
        <f t="shared" si="29"/>
        <v>11.133333333333336</v>
      </c>
      <c r="L257" s="28" t="s">
        <v>307</v>
      </c>
      <c r="M257" s="26" t="s">
        <v>26</v>
      </c>
      <c r="N257" s="30" t="s">
        <v>302</v>
      </c>
      <c r="O257" s="172" t="s">
        <v>308</v>
      </c>
      <c r="P257" s="172" t="s">
        <v>315</v>
      </c>
      <c r="Q257" s="26" t="s">
        <v>63</v>
      </c>
      <c r="R257" s="96" t="s">
        <v>62</v>
      </c>
    </row>
    <row r="258" spans="1:18" s="32" customFormat="1" ht="15" x14ac:dyDescent="0.25">
      <c r="A258" s="84" t="s">
        <v>232</v>
      </c>
      <c r="B258" s="27">
        <v>21</v>
      </c>
      <c r="C258" s="27">
        <v>0</v>
      </c>
      <c r="D258" s="15">
        <f t="shared" si="36"/>
        <v>21</v>
      </c>
      <c r="E258" s="85">
        <v>10.25</v>
      </c>
      <c r="F258" s="85">
        <v>7</v>
      </c>
      <c r="G258" s="28">
        <f t="shared" si="27"/>
        <v>17.25</v>
      </c>
      <c r="H258" s="85">
        <v>0</v>
      </c>
      <c r="I258" s="85">
        <v>0</v>
      </c>
      <c r="J258" s="28">
        <f t="shared" si="28"/>
        <v>0</v>
      </c>
      <c r="K258" s="28">
        <f t="shared" si="29"/>
        <v>17.25</v>
      </c>
      <c r="L258" s="28" t="s">
        <v>307</v>
      </c>
      <c r="M258" s="26" t="s">
        <v>26</v>
      </c>
      <c r="N258" s="30" t="s">
        <v>302</v>
      </c>
      <c r="O258" s="172" t="s">
        <v>308</v>
      </c>
      <c r="P258" s="172" t="s">
        <v>315</v>
      </c>
      <c r="Q258" s="26" t="s">
        <v>63</v>
      </c>
      <c r="R258" s="96" t="s">
        <v>62</v>
      </c>
    </row>
    <row r="259" spans="1:18" s="32" customFormat="1" ht="15" x14ac:dyDescent="0.25">
      <c r="A259" s="84" t="s">
        <v>233</v>
      </c>
      <c r="B259" s="27">
        <v>70</v>
      </c>
      <c r="C259" s="27">
        <v>39</v>
      </c>
      <c r="D259" s="15">
        <f t="shared" si="36"/>
        <v>109</v>
      </c>
      <c r="E259" s="85">
        <v>62</v>
      </c>
      <c r="F259" s="85">
        <v>16</v>
      </c>
      <c r="G259" s="28">
        <f t="shared" si="27"/>
        <v>78</v>
      </c>
      <c r="H259" s="85">
        <v>6.3833333333333337</v>
      </c>
      <c r="I259" s="85">
        <v>8.9166666666666661</v>
      </c>
      <c r="J259" s="28">
        <f t="shared" si="28"/>
        <v>15.3</v>
      </c>
      <c r="K259" s="28">
        <f t="shared" si="29"/>
        <v>93.3</v>
      </c>
      <c r="L259" s="28" t="s">
        <v>307</v>
      </c>
      <c r="M259" s="26" t="s">
        <v>26</v>
      </c>
      <c r="N259" s="30" t="s">
        <v>302</v>
      </c>
      <c r="O259" s="172" t="s">
        <v>308</v>
      </c>
      <c r="P259" s="172" t="s">
        <v>315</v>
      </c>
      <c r="Q259" s="26" t="s">
        <v>63</v>
      </c>
      <c r="R259" s="96" t="s">
        <v>62</v>
      </c>
    </row>
    <row r="260" spans="1:18" s="32" customFormat="1" ht="15" x14ac:dyDescent="0.25">
      <c r="A260" s="84" t="s">
        <v>234</v>
      </c>
      <c r="B260" s="27">
        <v>0</v>
      </c>
      <c r="C260" s="27">
        <v>0</v>
      </c>
      <c r="D260" s="15">
        <f t="shared" si="36"/>
        <v>0</v>
      </c>
      <c r="E260" s="85">
        <v>0</v>
      </c>
      <c r="F260" s="85">
        <v>0</v>
      </c>
      <c r="G260" s="28">
        <f t="shared" si="27"/>
        <v>0</v>
      </c>
      <c r="H260" s="85">
        <v>0</v>
      </c>
      <c r="I260" s="85">
        <v>0</v>
      </c>
      <c r="J260" s="28">
        <f t="shared" si="28"/>
        <v>0</v>
      </c>
      <c r="K260" s="28">
        <f t="shared" si="29"/>
        <v>0</v>
      </c>
      <c r="L260" s="28" t="s">
        <v>307</v>
      </c>
      <c r="M260" s="26" t="s">
        <v>26</v>
      </c>
      <c r="N260" s="30" t="s">
        <v>302</v>
      </c>
      <c r="O260" s="172" t="s">
        <v>308</v>
      </c>
      <c r="P260" s="172" t="s">
        <v>315</v>
      </c>
      <c r="Q260" s="26" t="s">
        <v>63</v>
      </c>
      <c r="R260" s="96" t="s">
        <v>62</v>
      </c>
    </row>
    <row r="261" spans="1:18" s="32" customFormat="1" ht="15" x14ac:dyDescent="0.25">
      <c r="A261" s="84" t="s">
        <v>235</v>
      </c>
      <c r="B261" s="27">
        <v>1</v>
      </c>
      <c r="C261" s="27">
        <v>0</v>
      </c>
      <c r="D261" s="15">
        <f t="shared" si="36"/>
        <v>1</v>
      </c>
      <c r="E261" s="85">
        <v>0.5</v>
      </c>
      <c r="F261" s="85">
        <v>2</v>
      </c>
      <c r="G261" s="28">
        <f t="shared" ref="G261:G324" si="37">E261+F261</f>
        <v>2.5</v>
      </c>
      <c r="H261" s="85">
        <v>0</v>
      </c>
      <c r="I261" s="85">
        <v>0</v>
      </c>
      <c r="J261" s="28">
        <f t="shared" ref="J261:J324" si="38">H261+I261</f>
        <v>0</v>
      </c>
      <c r="K261" s="28">
        <f t="shared" ref="K261:K324" si="39">G261+J261</f>
        <v>2.5</v>
      </c>
      <c r="L261" s="28" t="s">
        <v>307</v>
      </c>
      <c r="M261" s="26" t="s">
        <v>26</v>
      </c>
      <c r="N261" s="30" t="s">
        <v>302</v>
      </c>
      <c r="O261" s="172" t="s">
        <v>308</v>
      </c>
      <c r="P261" s="172" t="s">
        <v>315</v>
      </c>
      <c r="Q261" s="26" t="s">
        <v>63</v>
      </c>
      <c r="R261" s="96" t="s">
        <v>62</v>
      </c>
    </row>
    <row r="262" spans="1:18" s="32" customFormat="1" ht="15" x14ac:dyDescent="0.25">
      <c r="A262" s="84" t="s">
        <v>236</v>
      </c>
      <c r="B262" s="27">
        <v>75</v>
      </c>
      <c r="C262" s="27">
        <v>16</v>
      </c>
      <c r="D262" s="15">
        <f t="shared" si="36"/>
        <v>91</v>
      </c>
      <c r="E262" s="85">
        <v>145.58333333333334</v>
      </c>
      <c r="F262" s="85">
        <v>71.333333333333329</v>
      </c>
      <c r="G262" s="28">
        <f t="shared" si="37"/>
        <v>216.91666666666669</v>
      </c>
      <c r="H262" s="85">
        <v>11.666666666666666</v>
      </c>
      <c r="I262" s="85">
        <v>10.333333333333334</v>
      </c>
      <c r="J262" s="28">
        <f t="shared" si="38"/>
        <v>22</v>
      </c>
      <c r="K262" s="28">
        <f t="shared" si="39"/>
        <v>238.91666666666669</v>
      </c>
      <c r="L262" s="28" t="s">
        <v>307</v>
      </c>
      <c r="M262" s="26" t="s">
        <v>26</v>
      </c>
      <c r="N262" s="30" t="s">
        <v>302</v>
      </c>
      <c r="O262" s="172" t="s">
        <v>308</v>
      </c>
      <c r="P262" s="172" t="s">
        <v>315</v>
      </c>
      <c r="Q262" s="26" t="s">
        <v>63</v>
      </c>
      <c r="R262" s="96" t="s">
        <v>62</v>
      </c>
    </row>
    <row r="263" spans="1:18" s="32" customFormat="1" ht="15" x14ac:dyDescent="0.25">
      <c r="A263" s="84" t="s">
        <v>237</v>
      </c>
      <c r="B263" s="27">
        <v>0</v>
      </c>
      <c r="C263" s="27">
        <v>0</v>
      </c>
      <c r="D263" s="15">
        <f t="shared" si="36"/>
        <v>0</v>
      </c>
      <c r="E263" s="85">
        <v>0</v>
      </c>
      <c r="F263" s="85">
        <v>0</v>
      </c>
      <c r="G263" s="28">
        <f t="shared" si="37"/>
        <v>0</v>
      </c>
      <c r="H263" s="85">
        <v>0</v>
      </c>
      <c r="I263" s="85">
        <v>0</v>
      </c>
      <c r="J263" s="28">
        <f t="shared" si="38"/>
        <v>0</v>
      </c>
      <c r="K263" s="28">
        <f t="shared" si="39"/>
        <v>0</v>
      </c>
      <c r="L263" s="28" t="s">
        <v>307</v>
      </c>
      <c r="M263" s="26" t="s">
        <v>26</v>
      </c>
      <c r="N263" s="30" t="s">
        <v>302</v>
      </c>
      <c r="O263" s="172" t="s">
        <v>308</v>
      </c>
      <c r="P263" s="172" t="s">
        <v>315</v>
      </c>
      <c r="Q263" s="26" t="s">
        <v>63</v>
      </c>
      <c r="R263" s="96" t="s">
        <v>62</v>
      </c>
    </row>
    <row r="264" spans="1:18" s="32" customFormat="1" ht="15" x14ac:dyDescent="0.25">
      <c r="A264" s="84" t="s">
        <v>238</v>
      </c>
      <c r="B264" s="27">
        <v>0</v>
      </c>
      <c r="C264" s="27">
        <v>0</v>
      </c>
      <c r="D264" s="15">
        <f t="shared" si="36"/>
        <v>0</v>
      </c>
      <c r="E264" s="85">
        <v>0</v>
      </c>
      <c r="F264" s="85">
        <v>0</v>
      </c>
      <c r="G264" s="28">
        <f t="shared" si="37"/>
        <v>0</v>
      </c>
      <c r="H264" s="85">
        <v>0</v>
      </c>
      <c r="I264" s="85">
        <v>0</v>
      </c>
      <c r="J264" s="28">
        <f t="shared" si="38"/>
        <v>0</v>
      </c>
      <c r="K264" s="28">
        <f t="shared" si="39"/>
        <v>0</v>
      </c>
      <c r="L264" s="28" t="s">
        <v>307</v>
      </c>
      <c r="M264" s="26" t="s">
        <v>26</v>
      </c>
      <c r="N264" s="30" t="s">
        <v>302</v>
      </c>
      <c r="O264" s="172" t="s">
        <v>308</v>
      </c>
      <c r="P264" s="172" t="s">
        <v>315</v>
      </c>
      <c r="Q264" s="26" t="s">
        <v>63</v>
      </c>
      <c r="R264" s="96" t="s">
        <v>62</v>
      </c>
    </row>
    <row r="265" spans="1:18" s="40" customFormat="1" ht="15" x14ac:dyDescent="0.25">
      <c r="A265" s="55" t="s">
        <v>230</v>
      </c>
      <c r="B265" s="38">
        <v>13</v>
      </c>
      <c r="C265" s="38">
        <v>226</v>
      </c>
      <c r="D265" s="35">
        <f>SUM(B265:C265)</f>
        <v>239</v>
      </c>
      <c r="E265" s="56">
        <f>29/60</f>
        <v>0.48333333333333334</v>
      </c>
      <c r="F265" s="56">
        <f>E265/3</f>
        <v>0.16111111111111112</v>
      </c>
      <c r="G265" s="36">
        <f t="shared" si="37"/>
        <v>0.64444444444444449</v>
      </c>
      <c r="H265" s="56">
        <f>1057/60</f>
        <v>17.616666666666667</v>
      </c>
      <c r="I265" s="56">
        <f>H265/3</f>
        <v>5.8722222222222227</v>
      </c>
      <c r="J265" s="36">
        <f t="shared" si="38"/>
        <v>23.488888888888891</v>
      </c>
      <c r="K265" s="36">
        <f t="shared" si="39"/>
        <v>24.133333333333336</v>
      </c>
      <c r="L265" s="36" t="s">
        <v>302</v>
      </c>
      <c r="M265" s="39"/>
      <c r="N265" s="53" t="s">
        <v>227</v>
      </c>
      <c r="O265" s="173">
        <v>7</v>
      </c>
      <c r="P265" s="173">
        <v>11</v>
      </c>
      <c r="Q265" s="39" t="s">
        <v>65</v>
      </c>
      <c r="R265" s="95" t="s">
        <v>64</v>
      </c>
    </row>
    <row r="266" spans="1:18" s="40" customFormat="1" ht="15" x14ac:dyDescent="0.25">
      <c r="A266" s="55" t="s">
        <v>231</v>
      </c>
      <c r="B266" s="38">
        <v>74</v>
      </c>
      <c r="C266" s="38">
        <v>170</v>
      </c>
      <c r="D266" s="35">
        <f t="shared" ref="D266:D273" si="40">SUM(B266:C266)</f>
        <v>244</v>
      </c>
      <c r="E266" s="56">
        <f>74/60</f>
        <v>1.2333333333333334</v>
      </c>
      <c r="F266" s="56">
        <f>E266/3</f>
        <v>0.41111111111111115</v>
      </c>
      <c r="G266" s="36">
        <f t="shared" si="37"/>
        <v>1.6444444444444446</v>
      </c>
      <c r="H266" s="56">
        <f>1330/60</f>
        <v>22.166666666666668</v>
      </c>
      <c r="I266" s="56">
        <f>H266/3</f>
        <v>7.3888888888888893</v>
      </c>
      <c r="J266" s="36">
        <f t="shared" si="38"/>
        <v>29.555555555555557</v>
      </c>
      <c r="K266" s="36">
        <f t="shared" si="39"/>
        <v>31.200000000000003</v>
      </c>
      <c r="L266" s="36" t="s">
        <v>302</v>
      </c>
      <c r="M266" s="39"/>
      <c r="N266" s="53" t="s">
        <v>227</v>
      </c>
      <c r="O266" s="173">
        <v>7</v>
      </c>
      <c r="P266" s="173">
        <v>11</v>
      </c>
      <c r="Q266" s="39" t="s">
        <v>65</v>
      </c>
      <c r="R266" s="95" t="s">
        <v>64</v>
      </c>
    </row>
    <row r="267" spans="1:18" s="40" customFormat="1" ht="15" x14ac:dyDescent="0.25">
      <c r="A267" s="55" t="s">
        <v>232</v>
      </c>
      <c r="B267" s="38">
        <v>0</v>
      </c>
      <c r="C267" s="38">
        <v>0</v>
      </c>
      <c r="D267" s="35">
        <f t="shared" si="40"/>
        <v>0</v>
      </c>
      <c r="E267" s="56">
        <v>0</v>
      </c>
      <c r="F267" s="56">
        <v>0</v>
      </c>
      <c r="G267" s="36">
        <f t="shared" si="37"/>
        <v>0</v>
      </c>
      <c r="H267" s="56">
        <v>0</v>
      </c>
      <c r="I267" s="56">
        <v>0</v>
      </c>
      <c r="J267" s="36">
        <f t="shared" si="38"/>
        <v>0</v>
      </c>
      <c r="K267" s="36">
        <f t="shared" si="39"/>
        <v>0</v>
      </c>
      <c r="L267" s="36" t="s">
        <v>302</v>
      </c>
      <c r="M267" s="39"/>
      <c r="N267" s="53" t="s">
        <v>227</v>
      </c>
      <c r="O267" s="173">
        <v>7</v>
      </c>
      <c r="P267" s="173">
        <v>11</v>
      </c>
      <c r="Q267" s="39" t="s">
        <v>65</v>
      </c>
      <c r="R267" s="95" t="s">
        <v>64</v>
      </c>
    </row>
    <row r="268" spans="1:18" s="40" customFormat="1" ht="15" x14ac:dyDescent="0.25">
      <c r="A268" s="55" t="s">
        <v>233</v>
      </c>
      <c r="B268" s="38">
        <v>0</v>
      </c>
      <c r="C268" s="38">
        <v>0</v>
      </c>
      <c r="D268" s="35">
        <f t="shared" si="40"/>
        <v>0</v>
      </c>
      <c r="E268" s="56">
        <v>0</v>
      </c>
      <c r="F268" s="56">
        <v>0</v>
      </c>
      <c r="G268" s="36">
        <f t="shared" si="37"/>
        <v>0</v>
      </c>
      <c r="H268" s="56">
        <v>0</v>
      </c>
      <c r="I268" s="56">
        <v>0</v>
      </c>
      <c r="J268" s="36">
        <f t="shared" si="38"/>
        <v>0</v>
      </c>
      <c r="K268" s="36">
        <f t="shared" si="39"/>
        <v>0</v>
      </c>
      <c r="L268" s="36" t="s">
        <v>302</v>
      </c>
      <c r="M268" s="39"/>
      <c r="N268" s="53" t="s">
        <v>227</v>
      </c>
      <c r="O268" s="173">
        <v>7</v>
      </c>
      <c r="P268" s="173">
        <v>11</v>
      </c>
      <c r="Q268" s="39" t="s">
        <v>65</v>
      </c>
      <c r="R268" s="95" t="s">
        <v>64</v>
      </c>
    </row>
    <row r="269" spans="1:18" s="40" customFormat="1" ht="15" x14ac:dyDescent="0.25">
      <c r="A269" s="55" t="s">
        <v>234</v>
      </c>
      <c r="B269" s="38">
        <v>49</v>
      </c>
      <c r="C269" s="38">
        <v>373</v>
      </c>
      <c r="D269" s="35">
        <f t="shared" si="40"/>
        <v>422</v>
      </c>
      <c r="E269" s="56">
        <f>245/60</f>
        <v>4.083333333333333</v>
      </c>
      <c r="F269" s="56">
        <f>245/60</f>
        <v>4.083333333333333</v>
      </c>
      <c r="G269" s="36">
        <f t="shared" si="37"/>
        <v>8.1666666666666661</v>
      </c>
      <c r="H269" s="56">
        <f>1470/60</f>
        <v>24.5</v>
      </c>
      <c r="I269" s="56">
        <f>2500/60</f>
        <v>41.666666666666664</v>
      </c>
      <c r="J269" s="36">
        <f t="shared" si="38"/>
        <v>66.166666666666657</v>
      </c>
      <c r="K269" s="36">
        <f t="shared" si="39"/>
        <v>74.333333333333329</v>
      </c>
      <c r="L269" s="36" t="s">
        <v>302</v>
      </c>
      <c r="M269" s="39"/>
      <c r="N269" s="53" t="s">
        <v>227</v>
      </c>
      <c r="O269" s="173">
        <v>7</v>
      </c>
      <c r="P269" s="173">
        <v>11</v>
      </c>
      <c r="Q269" s="39" t="s">
        <v>65</v>
      </c>
      <c r="R269" s="95" t="s">
        <v>64</v>
      </c>
    </row>
    <row r="270" spans="1:18" s="40" customFormat="1" ht="15" x14ac:dyDescent="0.25">
      <c r="A270" s="55" t="s">
        <v>235</v>
      </c>
      <c r="B270" s="38">
        <v>1</v>
      </c>
      <c r="C270" s="38">
        <v>0</v>
      </c>
      <c r="D270" s="35">
        <f t="shared" si="40"/>
        <v>1</v>
      </c>
      <c r="E270" s="56">
        <f>10/60</f>
        <v>0.16666666666666666</v>
      </c>
      <c r="F270" s="56">
        <f>120/60</f>
        <v>2</v>
      </c>
      <c r="G270" s="36">
        <f t="shared" si="37"/>
        <v>2.1666666666666665</v>
      </c>
      <c r="H270" s="56">
        <v>0</v>
      </c>
      <c r="I270" s="56">
        <v>0</v>
      </c>
      <c r="J270" s="36">
        <f t="shared" si="38"/>
        <v>0</v>
      </c>
      <c r="K270" s="36">
        <f t="shared" si="39"/>
        <v>2.1666666666666665</v>
      </c>
      <c r="L270" s="36" t="s">
        <v>302</v>
      </c>
      <c r="M270" s="39"/>
      <c r="N270" s="53" t="s">
        <v>227</v>
      </c>
      <c r="O270" s="173">
        <v>7</v>
      </c>
      <c r="P270" s="173">
        <v>11</v>
      </c>
      <c r="Q270" s="39" t="s">
        <v>65</v>
      </c>
      <c r="R270" s="95" t="s">
        <v>64</v>
      </c>
    </row>
    <row r="271" spans="1:18" s="40" customFormat="1" ht="15" x14ac:dyDescent="0.25">
      <c r="A271" s="55" t="s">
        <v>236</v>
      </c>
      <c r="B271" s="38">
        <v>9</v>
      </c>
      <c r="C271" s="38">
        <v>65</v>
      </c>
      <c r="D271" s="35">
        <f t="shared" si="40"/>
        <v>74</v>
      </c>
      <c r="E271" s="56">
        <f>45/60</f>
        <v>0.75</v>
      </c>
      <c r="F271" s="56">
        <f>90/60</f>
        <v>1.5</v>
      </c>
      <c r="G271" s="36">
        <f t="shared" si="37"/>
        <v>2.25</v>
      </c>
      <c r="H271" s="56">
        <f>1370/60</f>
        <v>22.833333333333332</v>
      </c>
      <c r="I271" s="56">
        <f>1370/60</f>
        <v>22.833333333333332</v>
      </c>
      <c r="J271" s="36">
        <f t="shared" si="38"/>
        <v>45.666666666666664</v>
      </c>
      <c r="K271" s="36">
        <f t="shared" si="39"/>
        <v>47.916666666666664</v>
      </c>
      <c r="L271" s="36" t="s">
        <v>302</v>
      </c>
      <c r="M271" s="39"/>
      <c r="N271" s="53" t="s">
        <v>227</v>
      </c>
      <c r="O271" s="173">
        <v>7</v>
      </c>
      <c r="P271" s="173">
        <v>11</v>
      </c>
      <c r="Q271" s="39" t="s">
        <v>65</v>
      </c>
      <c r="R271" s="95" t="s">
        <v>64</v>
      </c>
    </row>
    <row r="272" spans="1:18" s="40" customFormat="1" ht="15" x14ac:dyDescent="0.25">
      <c r="A272" s="55" t="s">
        <v>237</v>
      </c>
      <c r="B272" s="38">
        <v>0</v>
      </c>
      <c r="C272" s="38">
        <v>1</v>
      </c>
      <c r="D272" s="35">
        <f t="shared" si="40"/>
        <v>1</v>
      </c>
      <c r="E272" s="56">
        <v>0</v>
      </c>
      <c r="F272" s="56">
        <v>0</v>
      </c>
      <c r="G272" s="36">
        <f t="shared" si="37"/>
        <v>0</v>
      </c>
      <c r="H272" s="56">
        <f>3/60</f>
        <v>0.05</v>
      </c>
      <c r="I272" s="56">
        <f>10/60</f>
        <v>0.16666666666666666</v>
      </c>
      <c r="J272" s="36">
        <f t="shared" si="38"/>
        <v>0.21666666666666667</v>
      </c>
      <c r="K272" s="36">
        <f t="shared" si="39"/>
        <v>0.21666666666666667</v>
      </c>
      <c r="L272" s="36" t="s">
        <v>302</v>
      </c>
      <c r="M272" s="39"/>
      <c r="N272" s="53" t="s">
        <v>227</v>
      </c>
      <c r="O272" s="173">
        <v>7</v>
      </c>
      <c r="P272" s="173">
        <v>11</v>
      </c>
      <c r="Q272" s="39" t="s">
        <v>65</v>
      </c>
      <c r="R272" s="95" t="s">
        <v>64</v>
      </c>
    </row>
    <row r="273" spans="1:18" s="40" customFormat="1" ht="15" x14ac:dyDescent="0.25">
      <c r="A273" s="55" t="s">
        <v>238</v>
      </c>
      <c r="B273" s="38">
        <v>0</v>
      </c>
      <c r="C273" s="38">
        <v>2</v>
      </c>
      <c r="D273" s="35">
        <f t="shared" si="40"/>
        <v>2</v>
      </c>
      <c r="E273" s="56">
        <v>0</v>
      </c>
      <c r="F273" s="56">
        <v>0</v>
      </c>
      <c r="G273" s="36">
        <f t="shared" si="37"/>
        <v>0</v>
      </c>
      <c r="H273" s="56">
        <f>6/60</f>
        <v>0.1</v>
      </c>
      <c r="I273" s="56">
        <f>20/60</f>
        <v>0.33333333333333331</v>
      </c>
      <c r="J273" s="36">
        <f t="shared" si="38"/>
        <v>0.43333333333333335</v>
      </c>
      <c r="K273" s="36">
        <f t="shared" si="39"/>
        <v>0.43333333333333335</v>
      </c>
      <c r="L273" s="36" t="s">
        <v>302</v>
      </c>
      <c r="M273" s="39"/>
      <c r="N273" s="53" t="s">
        <v>227</v>
      </c>
      <c r="O273" s="173">
        <v>7</v>
      </c>
      <c r="P273" s="173">
        <v>11</v>
      </c>
      <c r="Q273" s="39" t="s">
        <v>65</v>
      </c>
      <c r="R273" s="95" t="s">
        <v>64</v>
      </c>
    </row>
    <row r="274" spans="1:18" s="32" customFormat="1" ht="15" x14ac:dyDescent="0.25">
      <c r="A274" s="84" t="s">
        <v>230</v>
      </c>
      <c r="B274" s="27">
        <v>13</v>
      </c>
      <c r="C274" s="27">
        <v>226</v>
      </c>
      <c r="D274" s="15">
        <f>SUM(B274:C274)</f>
        <v>239</v>
      </c>
      <c r="E274" s="85">
        <f>29/60</f>
        <v>0.48333333333333334</v>
      </c>
      <c r="F274" s="85">
        <f>E274/3</f>
        <v>0.16111111111111112</v>
      </c>
      <c r="G274" s="28">
        <f t="shared" si="37"/>
        <v>0.64444444444444449</v>
      </c>
      <c r="H274" s="85">
        <f>4145/60</f>
        <v>69.083333333333329</v>
      </c>
      <c r="I274" s="85">
        <f>H274/2</f>
        <v>34.541666666666664</v>
      </c>
      <c r="J274" s="28">
        <f t="shared" si="38"/>
        <v>103.625</v>
      </c>
      <c r="K274" s="28">
        <f t="shared" si="39"/>
        <v>104.26944444444445</v>
      </c>
      <c r="L274" s="28" t="s">
        <v>307</v>
      </c>
      <c r="M274" s="26" t="s">
        <v>26</v>
      </c>
      <c r="N274" s="30" t="s">
        <v>227</v>
      </c>
      <c r="O274" s="172">
        <v>7</v>
      </c>
      <c r="P274" s="172">
        <v>11</v>
      </c>
      <c r="Q274" s="26" t="s">
        <v>65</v>
      </c>
      <c r="R274" s="96" t="s">
        <v>64</v>
      </c>
    </row>
    <row r="275" spans="1:18" s="32" customFormat="1" ht="15" x14ac:dyDescent="0.25">
      <c r="A275" s="84" t="s">
        <v>231</v>
      </c>
      <c r="B275" s="27">
        <v>74</v>
      </c>
      <c r="C275" s="27">
        <v>170</v>
      </c>
      <c r="D275" s="15">
        <f t="shared" ref="D275:D282" si="41">SUM(B275:C275)</f>
        <v>244</v>
      </c>
      <c r="E275" s="85">
        <f>74/60</f>
        <v>1.2333333333333334</v>
      </c>
      <c r="F275" s="85">
        <f>E275/3</f>
        <v>0.41111111111111115</v>
      </c>
      <c r="G275" s="28">
        <f t="shared" si="37"/>
        <v>1.6444444444444446</v>
      </c>
      <c r="H275" s="85">
        <f>4125/60</f>
        <v>68.75</v>
      </c>
      <c r="I275" s="85">
        <f>H275/2</f>
        <v>34.375</v>
      </c>
      <c r="J275" s="28">
        <f t="shared" si="38"/>
        <v>103.125</v>
      </c>
      <c r="K275" s="28">
        <f t="shared" si="39"/>
        <v>104.76944444444445</v>
      </c>
      <c r="L275" s="28" t="s">
        <v>307</v>
      </c>
      <c r="M275" s="26" t="s">
        <v>26</v>
      </c>
      <c r="N275" s="30" t="s">
        <v>227</v>
      </c>
      <c r="O275" s="172">
        <v>7</v>
      </c>
      <c r="P275" s="172">
        <v>11</v>
      </c>
      <c r="Q275" s="26" t="s">
        <v>65</v>
      </c>
      <c r="R275" s="96" t="s">
        <v>64</v>
      </c>
    </row>
    <row r="276" spans="1:18" s="32" customFormat="1" ht="15" x14ac:dyDescent="0.25">
      <c r="A276" s="84" t="s">
        <v>232</v>
      </c>
      <c r="B276" s="27">
        <v>0</v>
      </c>
      <c r="C276" s="27">
        <v>0</v>
      </c>
      <c r="D276" s="15">
        <f t="shared" si="41"/>
        <v>0</v>
      </c>
      <c r="E276" s="85">
        <v>0</v>
      </c>
      <c r="F276" s="85">
        <v>0</v>
      </c>
      <c r="G276" s="28">
        <f t="shared" si="37"/>
        <v>0</v>
      </c>
      <c r="H276" s="85">
        <v>0</v>
      </c>
      <c r="I276" s="85">
        <v>0</v>
      </c>
      <c r="J276" s="28">
        <f t="shared" si="38"/>
        <v>0</v>
      </c>
      <c r="K276" s="28">
        <f t="shared" si="39"/>
        <v>0</v>
      </c>
      <c r="L276" s="28" t="s">
        <v>307</v>
      </c>
      <c r="M276" s="26" t="s">
        <v>26</v>
      </c>
      <c r="N276" s="30" t="s">
        <v>227</v>
      </c>
      <c r="O276" s="172">
        <v>7</v>
      </c>
      <c r="P276" s="172">
        <v>11</v>
      </c>
      <c r="Q276" s="26" t="s">
        <v>65</v>
      </c>
      <c r="R276" s="96" t="s">
        <v>64</v>
      </c>
    </row>
    <row r="277" spans="1:18" s="32" customFormat="1" ht="15" x14ac:dyDescent="0.25">
      <c r="A277" s="84" t="s">
        <v>233</v>
      </c>
      <c r="B277" s="27">
        <v>0</v>
      </c>
      <c r="C277" s="27">
        <v>0</v>
      </c>
      <c r="D277" s="15">
        <f t="shared" si="41"/>
        <v>0</v>
      </c>
      <c r="E277" s="85">
        <v>0</v>
      </c>
      <c r="F277" s="85">
        <v>0</v>
      </c>
      <c r="G277" s="28">
        <f t="shared" si="37"/>
        <v>0</v>
      </c>
      <c r="H277" s="85">
        <v>0</v>
      </c>
      <c r="I277" s="85">
        <v>0</v>
      </c>
      <c r="J277" s="28">
        <f t="shared" si="38"/>
        <v>0</v>
      </c>
      <c r="K277" s="28">
        <f t="shared" si="39"/>
        <v>0</v>
      </c>
      <c r="L277" s="28" t="s">
        <v>307</v>
      </c>
      <c r="M277" s="26" t="s">
        <v>26</v>
      </c>
      <c r="N277" s="30" t="s">
        <v>227</v>
      </c>
      <c r="O277" s="172">
        <v>7</v>
      </c>
      <c r="P277" s="172">
        <v>11</v>
      </c>
      <c r="Q277" s="26" t="s">
        <v>65</v>
      </c>
      <c r="R277" s="96" t="s">
        <v>64</v>
      </c>
    </row>
    <row r="278" spans="1:18" s="32" customFormat="1" ht="15" x14ac:dyDescent="0.25">
      <c r="A278" s="84" t="s">
        <v>234</v>
      </c>
      <c r="B278" s="27">
        <v>49</v>
      </c>
      <c r="C278" s="27">
        <v>373</v>
      </c>
      <c r="D278" s="15">
        <f t="shared" si="41"/>
        <v>422</v>
      </c>
      <c r="E278" s="85">
        <f>245/60</f>
        <v>4.083333333333333</v>
      </c>
      <c r="F278" s="85">
        <f>245/60</f>
        <v>4.083333333333333</v>
      </c>
      <c r="G278" s="28">
        <f t="shared" si="37"/>
        <v>8.1666666666666661</v>
      </c>
      <c r="H278" s="85">
        <f>4395/60</f>
        <v>73.25</v>
      </c>
      <c r="I278" s="85">
        <f>2500/60</f>
        <v>41.666666666666664</v>
      </c>
      <c r="J278" s="28">
        <f t="shared" si="38"/>
        <v>114.91666666666666</v>
      </c>
      <c r="K278" s="28">
        <f t="shared" si="39"/>
        <v>123.08333333333333</v>
      </c>
      <c r="L278" s="28" t="s">
        <v>307</v>
      </c>
      <c r="M278" s="26" t="s">
        <v>26</v>
      </c>
      <c r="N278" s="30" t="s">
        <v>227</v>
      </c>
      <c r="O278" s="172">
        <v>7</v>
      </c>
      <c r="P278" s="172">
        <v>11</v>
      </c>
      <c r="Q278" s="26" t="s">
        <v>65</v>
      </c>
      <c r="R278" s="96" t="s">
        <v>64</v>
      </c>
    </row>
    <row r="279" spans="1:18" s="32" customFormat="1" ht="15" x14ac:dyDescent="0.25">
      <c r="A279" s="84" t="s">
        <v>235</v>
      </c>
      <c r="B279" s="27">
        <v>1</v>
      </c>
      <c r="C279" s="27">
        <v>0</v>
      </c>
      <c r="D279" s="15">
        <f t="shared" si="41"/>
        <v>1</v>
      </c>
      <c r="E279" s="85">
        <f>10/60</f>
        <v>0.16666666666666666</v>
      </c>
      <c r="F279" s="85">
        <f>120/60</f>
        <v>2</v>
      </c>
      <c r="G279" s="28">
        <f t="shared" si="37"/>
        <v>2.1666666666666665</v>
      </c>
      <c r="H279" s="85">
        <v>0</v>
      </c>
      <c r="I279" s="85">
        <v>0</v>
      </c>
      <c r="J279" s="28">
        <f t="shared" si="38"/>
        <v>0</v>
      </c>
      <c r="K279" s="28">
        <f t="shared" si="39"/>
        <v>2.1666666666666665</v>
      </c>
      <c r="L279" s="28" t="s">
        <v>307</v>
      </c>
      <c r="M279" s="26" t="s">
        <v>26</v>
      </c>
      <c r="N279" s="30" t="s">
        <v>227</v>
      </c>
      <c r="O279" s="172">
        <v>7</v>
      </c>
      <c r="P279" s="172">
        <v>11</v>
      </c>
      <c r="Q279" s="26" t="s">
        <v>65</v>
      </c>
      <c r="R279" s="96" t="s">
        <v>64</v>
      </c>
    </row>
    <row r="280" spans="1:18" s="32" customFormat="1" ht="15" x14ac:dyDescent="0.25">
      <c r="A280" s="84" t="s">
        <v>236</v>
      </c>
      <c r="B280" s="27">
        <v>9</v>
      </c>
      <c r="C280" s="27">
        <v>65</v>
      </c>
      <c r="D280" s="15">
        <f t="shared" si="41"/>
        <v>74</v>
      </c>
      <c r="E280" s="85">
        <f>45/60</f>
        <v>0.75</v>
      </c>
      <c r="F280" s="85">
        <f>90/60</f>
        <v>1.5</v>
      </c>
      <c r="G280" s="28">
        <f t="shared" si="37"/>
        <v>2.25</v>
      </c>
      <c r="H280" s="85">
        <f>1490/60</f>
        <v>24.833333333333332</v>
      </c>
      <c r="I280" s="85">
        <f>1370/60</f>
        <v>22.833333333333332</v>
      </c>
      <c r="J280" s="28">
        <f t="shared" si="38"/>
        <v>47.666666666666664</v>
      </c>
      <c r="K280" s="28">
        <f t="shared" si="39"/>
        <v>49.916666666666664</v>
      </c>
      <c r="L280" s="28" t="s">
        <v>307</v>
      </c>
      <c r="M280" s="26" t="s">
        <v>26</v>
      </c>
      <c r="N280" s="30" t="s">
        <v>227</v>
      </c>
      <c r="O280" s="172">
        <v>7</v>
      </c>
      <c r="P280" s="172">
        <v>11</v>
      </c>
      <c r="Q280" s="26" t="s">
        <v>65</v>
      </c>
      <c r="R280" s="96" t="s">
        <v>64</v>
      </c>
    </row>
    <row r="281" spans="1:18" s="32" customFormat="1" ht="15" x14ac:dyDescent="0.25">
      <c r="A281" s="84" t="s">
        <v>237</v>
      </c>
      <c r="B281" s="27">
        <v>0</v>
      </c>
      <c r="C281" s="27">
        <v>1</v>
      </c>
      <c r="D281" s="15">
        <f t="shared" si="41"/>
        <v>1</v>
      </c>
      <c r="E281" s="85">
        <v>0</v>
      </c>
      <c r="F281" s="85">
        <v>0</v>
      </c>
      <c r="G281" s="28">
        <f t="shared" si="37"/>
        <v>0</v>
      </c>
      <c r="H281" s="85">
        <f>3/60</f>
        <v>0.05</v>
      </c>
      <c r="I281" s="85">
        <f>10/60</f>
        <v>0.16666666666666666</v>
      </c>
      <c r="J281" s="28">
        <f t="shared" si="38"/>
        <v>0.21666666666666667</v>
      </c>
      <c r="K281" s="28">
        <f t="shared" si="39"/>
        <v>0.21666666666666667</v>
      </c>
      <c r="L281" s="28" t="s">
        <v>307</v>
      </c>
      <c r="M281" s="26" t="s">
        <v>26</v>
      </c>
      <c r="N281" s="30" t="s">
        <v>227</v>
      </c>
      <c r="O281" s="172">
        <v>7</v>
      </c>
      <c r="P281" s="172">
        <v>11</v>
      </c>
      <c r="Q281" s="26" t="s">
        <v>65</v>
      </c>
      <c r="R281" s="96" t="s">
        <v>64</v>
      </c>
    </row>
    <row r="282" spans="1:18" s="32" customFormat="1" ht="15" x14ac:dyDescent="0.25">
      <c r="A282" s="84" t="s">
        <v>238</v>
      </c>
      <c r="B282" s="27">
        <v>0</v>
      </c>
      <c r="C282" s="27">
        <v>2</v>
      </c>
      <c r="D282" s="15">
        <f t="shared" si="41"/>
        <v>2</v>
      </c>
      <c r="E282" s="85">
        <v>0</v>
      </c>
      <c r="F282" s="85">
        <v>0</v>
      </c>
      <c r="G282" s="28">
        <f t="shared" si="37"/>
        <v>0</v>
      </c>
      <c r="H282" s="85">
        <f>6/60</f>
        <v>0.1</v>
      </c>
      <c r="I282" s="85">
        <f>20/60</f>
        <v>0.33333333333333331</v>
      </c>
      <c r="J282" s="28">
        <f t="shared" si="38"/>
        <v>0.43333333333333335</v>
      </c>
      <c r="K282" s="28">
        <f t="shared" si="39"/>
        <v>0.43333333333333335</v>
      </c>
      <c r="L282" s="28" t="s">
        <v>307</v>
      </c>
      <c r="M282" s="26" t="s">
        <v>26</v>
      </c>
      <c r="N282" s="30" t="s">
        <v>227</v>
      </c>
      <c r="O282" s="172">
        <v>7</v>
      </c>
      <c r="P282" s="172">
        <v>11</v>
      </c>
      <c r="Q282" s="26" t="s">
        <v>65</v>
      </c>
      <c r="R282" s="96" t="s">
        <v>64</v>
      </c>
    </row>
    <row r="283" spans="1:18" s="40" customFormat="1" ht="15" x14ac:dyDescent="0.25">
      <c r="A283" s="55" t="s">
        <v>230</v>
      </c>
      <c r="B283" s="38">
        <v>33</v>
      </c>
      <c r="C283" s="38">
        <v>30</v>
      </c>
      <c r="D283" s="35">
        <f>SUM(B283:C283)</f>
        <v>63</v>
      </c>
      <c r="E283" s="56">
        <v>0</v>
      </c>
      <c r="F283" s="56">
        <v>0</v>
      </c>
      <c r="G283" s="36">
        <f t="shared" si="37"/>
        <v>0</v>
      </c>
      <c r="H283" s="56">
        <v>2.6</v>
      </c>
      <c r="I283" s="56">
        <v>3.78</v>
      </c>
      <c r="J283" s="36">
        <f t="shared" si="38"/>
        <v>6.38</v>
      </c>
      <c r="K283" s="36">
        <f t="shared" si="39"/>
        <v>6.38</v>
      </c>
      <c r="L283" s="36" t="s">
        <v>302</v>
      </c>
      <c r="M283" s="39"/>
      <c r="N283" s="53" t="s">
        <v>302</v>
      </c>
      <c r="O283" s="173" t="s">
        <v>21</v>
      </c>
      <c r="P283" s="173" t="s">
        <v>314</v>
      </c>
      <c r="Q283" s="39" t="s">
        <v>66</v>
      </c>
      <c r="R283" s="95" t="s">
        <v>67</v>
      </c>
    </row>
    <row r="284" spans="1:18" s="40" customFormat="1" ht="15" x14ac:dyDescent="0.25">
      <c r="A284" s="55" t="s">
        <v>231</v>
      </c>
      <c r="B284" s="38">
        <v>8</v>
      </c>
      <c r="C284" s="38">
        <v>14</v>
      </c>
      <c r="D284" s="35">
        <f t="shared" ref="D284:D289" si="42">SUM(B284:C284)</f>
        <v>22</v>
      </c>
      <c r="E284" s="56">
        <v>0</v>
      </c>
      <c r="F284" s="56">
        <v>0</v>
      </c>
      <c r="G284" s="36">
        <f t="shared" si="37"/>
        <v>0</v>
      </c>
      <c r="H284" s="56">
        <v>1.2</v>
      </c>
      <c r="I284" s="56">
        <v>1.76</v>
      </c>
      <c r="J284" s="36">
        <f t="shared" si="38"/>
        <v>2.96</v>
      </c>
      <c r="K284" s="36">
        <f t="shared" si="39"/>
        <v>2.96</v>
      </c>
      <c r="L284" s="36" t="s">
        <v>302</v>
      </c>
      <c r="M284" s="39"/>
      <c r="N284" s="53" t="s">
        <v>302</v>
      </c>
      <c r="O284" s="173" t="s">
        <v>21</v>
      </c>
      <c r="P284" s="173" t="s">
        <v>314</v>
      </c>
      <c r="Q284" s="39" t="s">
        <v>66</v>
      </c>
      <c r="R284" s="95" t="s">
        <v>67</v>
      </c>
    </row>
    <row r="285" spans="1:18" s="40" customFormat="1" ht="15" x14ac:dyDescent="0.25">
      <c r="A285" s="55" t="s">
        <v>232</v>
      </c>
      <c r="B285" s="38">
        <v>1</v>
      </c>
      <c r="C285" s="38">
        <v>0</v>
      </c>
      <c r="D285" s="35">
        <f t="shared" si="42"/>
        <v>1</v>
      </c>
      <c r="E285" s="56">
        <v>1</v>
      </c>
      <c r="F285" s="56">
        <f>0.5+1/60</f>
        <v>0.51666666666666672</v>
      </c>
      <c r="G285" s="36">
        <f t="shared" si="37"/>
        <v>1.5166666666666666</v>
      </c>
      <c r="H285" s="56">
        <v>0</v>
      </c>
      <c r="I285" s="56">
        <f>0/60</f>
        <v>0</v>
      </c>
      <c r="J285" s="36">
        <f t="shared" si="38"/>
        <v>0</v>
      </c>
      <c r="K285" s="36">
        <f t="shared" si="39"/>
        <v>1.5166666666666666</v>
      </c>
      <c r="L285" s="36" t="s">
        <v>302</v>
      </c>
      <c r="M285" s="39"/>
      <c r="N285" s="53" t="s">
        <v>302</v>
      </c>
      <c r="O285" s="173" t="s">
        <v>21</v>
      </c>
      <c r="P285" s="173" t="s">
        <v>314</v>
      </c>
      <c r="Q285" s="39" t="s">
        <v>66</v>
      </c>
      <c r="R285" s="95" t="s">
        <v>67</v>
      </c>
    </row>
    <row r="286" spans="1:18" s="40" customFormat="1" ht="15" x14ac:dyDescent="0.25">
      <c r="A286" s="55" t="s">
        <v>233</v>
      </c>
      <c r="B286" s="38">
        <v>32</v>
      </c>
      <c r="C286" s="38">
        <v>61</v>
      </c>
      <c r="D286" s="35">
        <f t="shared" si="42"/>
        <v>93</v>
      </c>
      <c r="E286" s="56">
        <v>16</v>
      </c>
      <c r="F286" s="56">
        <f>8+64/60</f>
        <v>9.0666666666666664</v>
      </c>
      <c r="G286" s="36">
        <f t="shared" si="37"/>
        <v>25.066666666666666</v>
      </c>
      <c r="H286" s="56">
        <v>5.28</v>
      </c>
      <c r="I286" s="56">
        <f>305/60+7.69</f>
        <v>12.773333333333333</v>
      </c>
      <c r="J286" s="36">
        <f t="shared" si="38"/>
        <v>18.053333333333335</v>
      </c>
      <c r="K286" s="36">
        <f t="shared" si="39"/>
        <v>43.120000000000005</v>
      </c>
      <c r="L286" s="36" t="s">
        <v>302</v>
      </c>
      <c r="M286" s="39"/>
      <c r="N286" s="53" t="s">
        <v>302</v>
      </c>
      <c r="O286" s="173" t="s">
        <v>21</v>
      </c>
      <c r="P286" s="173" t="s">
        <v>314</v>
      </c>
      <c r="Q286" s="39" t="s">
        <v>66</v>
      </c>
      <c r="R286" s="95" t="s">
        <v>67</v>
      </c>
    </row>
    <row r="287" spans="1:18" s="40" customFormat="1" ht="15" x14ac:dyDescent="0.25">
      <c r="A287" s="55" t="s">
        <v>235</v>
      </c>
      <c r="B287" s="38">
        <v>1</v>
      </c>
      <c r="C287" s="38">
        <v>0</v>
      </c>
      <c r="D287" s="35">
        <f t="shared" si="42"/>
        <v>1</v>
      </c>
      <c r="E287" s="56">
        <v>0</v>
      </c>
      <c r="F287" s="56">
        <f>60/60</f>
        <v>1</v>
      </c>
      <c r="G287" s="36">
        <f t="shared" si="37"/>
        <v>1</v>
      </c>
      <c r="H287" s="56">
        <v>0</v>
      </c>
      <c r="I287" s="56">
        <v>0</v>
      </c>
      <c r="J287" s="36">
        <f t="shared" si="38"/>
        <v>0</v>
      </c>
      <c r="K287" s="36">
        <f t="shared" si="39"/>
        <v>1</v>
      </c>
      <c r="L287" s="36" t="s">
        <v>302</v>
      </c>
      <c r="M287" s="39"/>
      <c r="N287" s="53" t="s">
        <v>302</v>
      </c>
      <c r="O287" s="173" t="s">
        <v>21</v>
      </c>
      <c r="P287" s="173" t="s">
        <v>314</v>
      </c>
      <c r="Q287" s="39" t="s">
        <v>66</v>
      </c>
      <c r="R287" s="95" t="s">
        <v>67</v>
      </c>
    </row>
    <row r="288" spans="1:18" s="40" customFormat="1" ht="15" x14ac:dyDescent="0.25">
      <c r="A288" s="55" t="s">
        <v>236</v>
      </c>
      <c r="B288" s="38">
        <v>16</v>
      </c>
      <c r="C288" s="38">
        <v>21</v>
      </c>
      <c r="D288" s="35">
        <f t="shared" si="42"/>
        <v>37</v>
      </c>
      <c r="E288" s="56">
        <v>85</v>
      </c>
      <c r="F288" s="56">
        <f>18+16/60</f>
        <v>18.266666666666666</v>
      </c>
      <c r="G288" s="36">
        <f t="shared" si="37"/>
        <v>103.26666666666667</v>
      </c>
      <c r="H288" s="56">
        <v>1.82</v>
      </c>
      <c r="I288" s="56">
        <f>63/60+2.65</f>
        <v>3.7</v>
      </c>
      <c r="J288" s="36">
        <f t="shared" si="38"/>
        <v>5.5200000000000005</v>
      </c>
      <c r="K288" s="36">
        <f t="shared" si="39"/>
        <v>108.78666666666666</v>
      </c>
      <c r="L288" s="36" t="s">
        <v>302</v>
      </c>
      <c r="M288" s="39"/>
      <c r="N288" s="53" t="s">
        <v>302</v>
      </c>
      <c r="O288" s="173" t="s">
        <v>21</v>
      </c>
      <c r="P288" s="173" t="s">
        <v>314</v>
      </c>
      <c r="Q288" s="39" t="s">
        <v>66</v>
      </c>
      <c r="R288" s="95" t="s">
        <v>67</v>
      </c>
    </row>
    <row r="289" spans="1:18" s="40" customFormat="1" ht="15" x14ac:dyDescent="0.25">
      <c r="A289" s="55" t="s">
        <v>237</v>
      </c>
      <c r="B289" s="38">
        <v>1</v>
      </c>
      <c r="C289" s="38">
        <v>1</v>
      </c>
      <c r="D289" s="35">
        <f t="shared" si="42"/>
        <v>2</v>
      </c>
      <c r="E289" s="56">
        <v>0</v>
      </c>
      <c r="F289" s="56">
        <f>1/60</f>
        <v>1.6666666666666666E-2</v>
      </c>
      <c r="G289" s="36">
        <f t="shared" si="37"/>
        <v>1.6666666666666666E-2</v>
      </c>
      <c r="H289" s="56">
        <v>0.09</v>
      </c>
      <c r="I289" s="56">
        <f>1.5/60+0.13</f>
        <v>0.155</v>
      </c>
      <c r="J289" s="36">
        <f t="shared" si="38"/>
        <v>0.245</v>
      </c>
      <c r="K289" s="36">
        <f t="shared" si="39"/>
        <v>0.26166666666666666</v>
      </c>
      <c r="L289" s="36" t="s">
        <v>302</v>
      </c>
      <c r="M289" s="39"/>
      <c r="N289" s="53" t="s">
        <v>302</v>
      </c>
      <c r="O289" s="173" t="s">
        <v>21</v>
      </c>
      <c r="P289" s="173" t="s">
        <v>314</v>
      </c>
      <c r="Q289" s="39" t="s">
        <v>66</v>
      </c>
      <c r="R289" s="95" t="s">
        <v>67</v>
      </c>
    </row>
    <row r="290" spans="1:18" s="32" customFormat="1" ht="15" x14ac:dyDescent="0.25">
      <c r="A290" s="84" t="s">
        <v>230</v>
      </c>
      <c r="B290" s="27">
        <v>353</v>
      </c>
      <c r="C290" s="27">
        <v>281</v>
      </c>
      <c r="D290" s="15">
        <f>SUM(B290:C290)</f>
        <v>634</v>
      </c>
      <c r="E290" s="85">
        <v>11.766666666666667</v>
      </c>
      <c r="F290" s="85">
        <v>3.9222222222222225</v>
      </c>
      <c r="G290" s="28">
        <f t="shared" si="37"/>
        <v>15.68888888888889</v>
      </c>
      <c r="H290" s="85">
        <v>18.216666666666665</v>
      </c>
      <c r="I290" s="85">
        <v>6.072222222222222</v>
      </c>
      <c r="J290" s="28">
        <f t="shared" si="38"/>
        <v>24.288888888888888</v>
      </c>
      <c r="K290" s="28">
        <f t="shared" si="39"/>
        <v>39.977777777777774</v>
      </c>
      <c r="L290" s="28" t="s">
        <v>302</v>
      </c>
      <c r="M290" s="26"/>
      <c r="N290" s="30" t="s">
        <v>302</v>
      </c>
      <c r="O290" s="172" t="s">
        <v>308</v>
      </c>
      <c r="P290" s="172" t="s">
        <v>315</v>
      </c>
      <c r="Q290" s="26" t="s">
        <v>74</v>
      </c>
      <c r="R290" s="31" t="s">
        <v>73</v>
      </c>
    </row>
    <row r="291" spans="1:18" s="32" customFormat="1" ht="15" x14ac:dyDescent="0.25">
      <c r="A291" s="84" t="s">
        <v>231</v>
      </c>
      <c r="B291" s="27">
        <v>351</v>
      </c>
      <c r="C291" s="27">
        <v>120</v>
      </c>
      <c r="D291" s="15">
        <f t="shared" ref="D291:D298" si="43">SUM(B291:C291)</f>
        <v>471</v>
      </c>
      <c r="E291" s="85">
        <v>5.85</v>
      </c>
      <c r="F291" s="85">
        <v>1.95</v>
      </c>
      <c r="G291" s="28">
        <f t="shared" si="37"/>
        <v>7.8</v>
      </c>
      <c r="H291" s="85">
        <v>12.15</v>
      </c>
      <c r="I291" s="85">
        <v>4.05</v>
      </c>
      <c r="J291" s="28">
        <f t="shared" si="38"/>
        <v>16.2</v>
      </c>
      <c r="K291" s="28">
        <f t="shared" si="39"/>
        <v>24</v>
      </c>
      <c r="L291" s="28" t="s">
        <v>302</v>
      </c>
      <c r="M291" s="26"/>
      <c r="N291" s="30" t="s">
        <v>302</v>
      </c>
      <c r="O291" s="172" t="s">
        <v>308</v>
      </c>
      <c r="P291" s="172" t="s">
        <v>315</v>
      </c>
      <c r="Q291" s="26" t="s">
        <v>74</v>
      </c>
      <c r="R291" s="31" t="s">
        <v>73</v>
      </c>
    </row>
    <row r="292" spans="1:18" s="32" customFormat="1" ht="15" x14ac:dyDescent="0.25">
      <c r="A292" s="84" t="s">
        <v>232</v>
      </c>
      <c r="B292" s="27">
        <v>95</v>
      </c>
      <c r="C292" s="27">
        <v>1</v>
      </c>
      <c r="D292" s="15">
        <f t="shared" si="43"/>
        <v>96</v>
      </c>
      <c r="E292" s="85">
        <v>60.5</v>
      </c>
      <c r="F292" s="85">
        <v>30.666666666666668</v>
      </c>
      <c r="G292" s="28">
        <f t="shared" si="37"/>
        <v>91.166666666666671</v>
      </c>
      <c r="H292" s="85">
        <v>0.05</v>
      </c>
      <c r="I292" s="85">
        <v>0.16666666666666666</v>
      </c>
      <c r="J292" s="28">
        <f t="shared" si="38"/>
        <v>0.21666666666666667</v>
      </c>
      <c r="K292" s="28">
        <f t="shared" si="39"/>
        <v>91.38333333333334</v>
      </c>
      <c r="L292" s="28" t="s">
        <v>302</v>
      </c>
      <c r="M292" s="26"/>
      <c r="N292" s="30" t="s">
        <v>302</v>
      </c>
      <c r="O292" s="172" t="s">
        <v>308</v>
      </c>
      <c r="P292" s="172" t="s">
        <v>315</v>
      </c>
      <c r="Q292" s="26" t="s">
        <v>74</v>
      </c>
      <c r="R292" s="31" t="s">
        <v>73</v>
      </c>
    </row>
    <row r="293" spans="1:18" s="32" customFormat="1" ht="15" x14ac:dyDescent="0.25">
      <c r="A293" s="84" t="s">
        <v>233</v>
      </c>
      <c r="B293" s="27">
        <v>650</v>
      </c>
      <c r="C293" s="27">
        <v>198</v>
      </c>
      <c r="D293" s="15">
        <f t="shared" si="43"/>
        <v>848</v>
      </c>
      <c r="E293" s="85">
        <v>374.46666666666664</v>
      </c>
      <c r="F293" s="85">
        <v>251.91666666666666</v>
      </c>
      <c r="G293" s="28">
        <f t="shared" si="37"/>
        <v>626.38333333333333</v>
      </c>
      <c r="H293" s="85">
        <v>27.816666666666666</v>
      </c>
      <c r="I293" s="85">
        <v>41.083333333333336</v>
      </c>
      <c r="J293" s="28">
        <f t="shared" si="38"/>
        <v>68.900000000000006</v>
      </c>
      <c r="K293" s="28">
        <f t="shared" si="39"/>
        <v>695.2833333333333</v>
      </c>
      <c r="L293" s="28" t="s">
        <v>302</v>
      </c>
      <c r="M293" s="26"/>
      <c r="N293" s="30" t="s">
        <v>302</v>
      </c>
      <c r="O293" s="172" t="s">
        <v>308</v>
      </c>
      <c r="P293" s="172" t="s">
        <v>315</v>
      </c>
      <c r="Q293" s="26" t="s">
        <v>74</v>
      </c>
      <c r="R293" s="31" t="s">
        <v>73</v>
      </c>
    </row>
    <row r="294" spans="1:18" s="32" customFormat="1" ht="15" x14ac:dyDescent="0.25">
      <c r="A294" s="84" t="s">
        <v>234</v>
      </c>
      <c r="B294" s="27">
        <v>0</v>
      </c>
      <c r="C294" s="27">
        <v>0</v>
      </c>
      <c r="D294" s="15">
        <f t="shared" si="43"/>
        <v>0</v>
      </c>
      <c r="E294" s="85">
        <v>0</v>
      </c>
      <c r="F294" s="85">
        <v>0</v>
      </c>
      <c r="G294" s="28">
        <f t="shared" si="37"/>
        <v>0</v>
      </c>
      <c r="H294" s="85">
        <v>0</v>
      </c>
      <c r="I294" s="85">
        <v>0</v>
      </c>
      <c r="J294" s="28">
        <f t="shared" si="38"/>
        <v>0</v>
      </c>
      <c r="K294" s="28">
        <f t="shared" si="39"/>
        <v>0</v>
      </c>
      <c r="L294" s="28" t="s">
        <v>302</v>
      </c>
      <c r="M294" s="26"/>
      <c r="N294" s="30" t="s">
        <v>302</v>
      </c>
      <c r="O294" s="172" t="s">
        <v>308</v>
      </c>
      <c r="P294" s="172" t="s">
        <v>315</v>
      </c>
      <c r="Q294" s="26" t="s">
        <v>74</v>
      </c>
      <c r="R294" s="31" t="s">
        <v>73</v>
      </c>
    </row>
    <row r="295" spans="1:18" s="32" customFormat="1" ht="15" x14ac:dyDescent="0.25">
      <c r="A295" s="84" t="s">
        <v>235</v>
      </c>
      <c r="B295" s="27">
        <v>3</v>
      </c>
      <c r="C295" s="27">
        <v>0</v>
      </c>
      <c r="D295" s="15">
        <f t="shared" si="43"/>
        <v>3</v>
      </c>
      <c r="E295" s="85">
        <v>0.5</v>
      </c>
      <c r="F295" s="85">
        <v>6</v>
      </c>
      <c r="G295" s="28">
        <f t="shared" si="37"/>
        <v>6.5</v>
      </c>
      <c r="H295" s="85">
        <v>0</v>
      </c>
      <c r="I295" s="85">
        <v>0</v>
      </c>
      <c r="J295" s="28">
        <f t="shared" si="38"/>
        <v>0</v>
      </c>
      <c r="K295" s="28">
        <f t="shared" si="39"/>
        <v>6.5</v>
      </c>
      <c r="L295" s="28" t="s">
        <v>302</v>
      </c>
      <c r="M295" s="26"/>
      <c r="N295" s="30" t="s">
        <v>302</v>
      </c>
      <c r="O295" s="172" t="s">
        <v>308</v>
      </c>
      <c r="P295" s="172" t="s">
        <v>315</v>
      </c>
      <c r="Q295" s="26" t="s">
        <v>74</v>
      </c>
      <c r="R295" s="31" t="s">
        <v>73</v>
      </c>
    </row>
    <row r="296" spans="1:18" s="32" customFormat="1" ht="15" x14ac:dyDescent="0.25">
      <c r="A296" s="84" t="s">
        <v>236</v>
      </c>
      <c r="B296" s="27">
        <v>318</v>
      </c>
      <c r="C296" s="27">
        <v>263</v>
      </c>
      <c r="D296" s="15">
        <f t="shared" si="43"/>
        <v>581</v>
      </c>
      <c r="E296" s="85">
        <v>708.08333333333337</v>
      </c>
      <c r="F296" s="85">
        <v>322.66666666666669</v>
      </c>
      <c r="G296" s="28">
        <f t="shared" si="37"/>
        <v>1030.75</v>
      </c>
      <c r="H296" s="85">
        <v>54.833333333333336</v>
      </c>
      <c r="I296" s="85">
        <v>54.833333333333336</v>
      </c>
      <c r="J296" s="28">
        <f t="shared" si="38"/>
        <v>109.66666666666667</v>
      </c>
      <c r="K296" s="28">
        <f t="shared" si="39"/>
        <v>1140.4166666666667</v>
      </c>
      <c r="L296" s="28" t="s">
        <v>302</v>
      </c>
      <c r="M296" s="26"/>
      <c r="N296" s="30" t="s">
        <v>302</v>
      </c>
      <c r="O296" s="172" t="s">
        <v>308</v>
      </c>
      <c r="P296" s="172" t="s">
        <v>315</v>
      </c>
      <c r="Q296" s="26" t="s">
        <v>74</v>
      </c>
      <c r="R296" s="31" t="s">
        <v>73</v>
      </c>
    </row>
    <row r="297" spans="1:18" s="32" customFormat="1" ht="15" x14ac:dyDescent="0.25">
      <c r="A297" s="84" t="s">
        <v>237</v>
      </c>
      <c r="B297" s="27">
        <v>120</v>
      </c>
      <c r="C297" s="27">
        <v>0</v>
      </c>
      <c r="D297" s="15">
        <f t="shared" si="43"/>
        <v>120</v>
      </c>
      <c r="E297" s="85">
        <v>2</v>
      </c>
      <c r="F297" s="85">
        <v>40</v>
      </c>
      <c r="G297" s="28">
        <f t="shared" si="37"/>
        <v>42</v>
      </c>
      <c r="H297" s="85">
        <v>0</v>
      </c>
      <c r="I297" s="85">
        <v>0</v>
      </c>
      <c r="J297" s="28">
        <f t="shared" si="38"/>
        <v>0</v>
      </c>
      <c r="K297" s="28">
        <f t="shared" si="39"/>
        <v>42</v>
      </c>
      <c r="L297" s="28" t="s">
        <v>302</v>
      </c>
      <c r="M297" s="26"/>
      <c r="N297" s="30" t="s">
        <v>302</v>
      </c>
      <c r="O297" s="172" t="s">
        <v>308</v>
      </c>
      <c r="P297" s="172" t="s">
        <v>315</v>
      </c>
      <c r="Q297" s="26" t="s">
        <v>74</v>
      </c>
      <c r="R297" s="31" t="s">
        <v>73</v>
      </c>
    </row>
    <row r="298" spans="1:18" s="32" customFormat="1" ht="15" x14ac:dyDescent="0.25">
      <c r="A298" s="84" t="s">
        <v>238</v>
      </c>
      <c r="B298" s="27">
        <v>0</v>
      </c>
      <c r="C298" s="27">
        <v>0</v>
      </c>
      <c r="D298" s="15">
        <f t="shared" si="43"/>
        <v>0</v>
      </c>
      <c r="E298" s="85">
        <v>0</v>
      </c>
      <c r="F298" s="85">
        <v>0</v>
      </c>
      <c r="G298" s="28">
        <f t="shared" si="37"/>
        <v>0</v>
      </c>
      <c r="H298" s="85">
        <v>0</v>
      </c>
      <c r="I298" s="85">
        <v>0</v>
      </c>
      <c r="J298" s="28">
        <f t="shared" si="38"/>
        <v>0</v>
      </c>
      <c r="K298" s="28">
        <f t="shared" si="39"/>
        <v>0</v>
      </c>
      <c r="L298" s="28" t="s">
        <v>302</v>
      </c>
      <c r="M298" s="26"/>
      <c r="N298" s="30" t="s">
        <v>302</v>
      </c>
      <c r="O298" s="172" t="s">
        <v>308</v>
      </c>
      <c r="P298" s="172" t="s">
        <v>315</v>
      </c>
      <c r="Q298" s="26" t="s">
        <v>74</v>
      </c>
      <c r="R298" s="31" t="s">
        <v>73</v>
      </c>
    </row>
    <row r="299" spans="1:18" s="40" customFormat="1" ht="15" x14ac:dyDescent="0.25">
      <c r="A299" s="55" t="s">
        <v>230</v>
      </c>
      <c r="B299" s="38">
        <v>47</v>
      </c>
      <c r="C299" s="38">
        <v>74</v>
      </c>
      <c r="D299" s="35">
        <f>SUM(B299:C299)</f>
        <v>121</v>
      </c>
      <c r="E299" s="56">
        <v>1.5666666666666667</v>
      </c>
      <c r="F299" s="56">
        <v>0.52222222222222225</v>
      </c>
      <c r="G299" s="36">
        <f t="shared" si="37"/>
        <v>2.088888888888889</v>
      </c>
      <c r="H299" s="56">
        <v>4.75</v>
      </c>
      <c r="I299" s="56">
        <v>1.5833333333333333</v>
      </c>
      <c r="J299" s="36">
        <f t="shared" si="38"/>
        <v>6.333333333333333</v>
      </c>
      <c r="K299" s="36">
        <f t="shared" si="39"/>
        <v>8.4222222222222225</v>
      </c>
      <c r="L299" s="36" t="s">
        <v>302</v>
      </c>
      <c r="M299" s="39" t="s">
        <v>241</v>
      </c>
      <c r="N299" s="53" t="s">
        <v>302</v>
      </c>
      <c r="O299" s="173" t="s">
        <v>21</v>
      </c>
      <c r="P299" s="173" t="s">
        <v>310</v>
      </c>
      <c r="Q299" s="39" t="s">
        <v>76</v>
      </c>
      <c r="R299" s="95" t="s">
        <v>75</v>
      </c>
    </row>
    <row r="300" spans="1:18" s="40" customFormat="1" ht="15" x14ac:dyDescent="0.25">
      <c r="A300" s="55" t="s">
        <v>231</v>
      </c>
      <c r="B300" s="38">
        <v>24</v>
      </c>
      <c r="C300" s="38">
        <v>31</v>
      </c>
      <c r="D300" s="35">
        <f t="shared" ref="D300:D307" si="44">SUM(B300:C300)</f>
        <v>55</v>
      </c>
      <c r="E300" s="56">
        <v>0.4</v>
      </c>
      <c r="F300" s="56">
        <v>0.13333333333333333</v>
      </c>
      <c r="G300" s="36">
        <f t="shared" si="37"/>
        <v>0.53333333333333333</v>
      </c>
      <c r="H300" s="56">
        <v>2.2166666666666668</v>
      </c>
      <c r="I300" s="56">
        <v>0.73888888888888893</v>
      </c>
      <c r="J300" s="36">
        <f t="shared" si="38"/>
        <v>2.9555555555555557</v>
      </c>
      <c r="K300" s="36">
        <f t="shared" si="39"/>
        <v>3.4888888888888889</v>
      </c>
      <c r="L300" s="36" t="s">
        <v>302</v>
      </c>
      <c r="M300" s="39" t="s">
        <v>241</v>
      </c>
      <c r="N300" s="53" t="s">
        <v>302</v>
      </c>
      <c r="O300" s="173" t="s">
        <v>21</v>
      </c>
      <c r="P300" s="173" t="s">
        <v>310</v>
      </c>
      <c r="Q300" s="39" t="s">
        <v>76</v>
      </c>
      <c r="R300" s="95" t="s">
        <v>75</v>
      </c>
    </row>
    <row r="301" spans="1:18" s="40" customFormat="1" ht="15" x14ac:dyDescent="0.25">
      <c r="A301" s="55" t="s">
        <v>232</v>
      </c>
      <c r="B301" s="38">
        <v>31</v>
      </c>
      <c r="C301" s="38">
        <v>0</v>
      </c>
      <c r="D301" s="35">
        <f t="shared" si="44"/>
        <v>31</v>
      </c>
      <c r="E301" s="56">
        <v>13.166666666666666</v>
      </c>
      <c r="F301" s="56">
        <v>10.333333333333334</v>
      </c>
      <c r="G301" s="36">
        <f t="shared" si="37"/>
        <v>23.5</v>
      </c>
      <c r="H301" s="56">
        <v>0</v>
      </c>
      <c r="I301" s="56">
        <v>0</v>
      </c>
      <c r="J301" s="36">
        <f t="shared" si="38"/>
        <v>0</v>
      </c>
      <c r="K301" s="36">
        <f t="shared" si="39"/>
        <v>23.5</v>
      </c>
      <c r="L301" s="36" t="s">
        <v>302</v>
      </c>
      <c r="M301" s="39"/>
      <c r="N301" s="53" t="s">
        <v>302</v>
      </c>
      <c r="O301" s="173" t="s">
        <v>21</v>
      </c>
      <c r="P301" s="173" t="s">
        <v>310</v>
      </c>
      <c r="Q301" s="39" t="s">
        <v>76</v>
      </c>
      <c r="R301" s="95" t="s">
        <v>75</v>
      </c>
    </row>
    <row r="302" spans="1:18" s="40" customFormat="1" ht="15" x14ac:dyDescent="0.25">
      <c r="A302" s="55" t="s">
        <v>233</v>
      </c>
      <c r="B302" s="38">
        <v>96</v>
      </c>
      <c r="C302" s="38">
        <v>82</v>
      </c>
      <c r="D302" s="35">
        <f t="shared" si="44"/>
        <v>178</v>
      </c>
      <c r="E302" s="56">
        <v>66.733333333333334</v>
      </c>
      <c r="F302" s="56">
        <v>38.5</v>
      </c>
      <c r="G302" s="36">
        <f t="shared" si="37"/>
        <v>105.23333333333333</v>
      </c>
      <c r="H302" s="56">
        <v>17.7</v>
      </c>
      <c r="I302" s="56">
        <v>19.75</v>
      </c>
      <c r="J302" s="36">
        <f t="shared" si="38"/>
        <v>37.450000000000003</v>
      </c>
      <c r="K302" s="36">
        <f t="shared" si="39"/>
        <v>142.68333333333334</v>
      </c>
      <c r="L302" s="36" t="s">
        <v>302</v>
      </c>
      <c r="M302" s="39"/>
      <c r="N302" s="53" t="s">
        <v>302</v>
      </c>
      <c r="O302" s="173" t="s">
        <v>21</v>
      </c>
      <c r="P302" s="173" t="s">
        <v>310</v>
      </c>
      <c r="Q302" s="39" t="s">
        <v>76</v>
      </c>
      <c r="R302" s="95" t="s">
        <v>75</v>
      </c>
    </row>
    <row r="303" spans="1:18" s="40" customFormat="1" ht="15" x14ac:dyDescent="0.25">
      <c r="A303" s="55" t="s">
        <v>234</v>
      </c>
      <c r="B303" s="38">
        <v>0</v>
      </c>
      <c r="C303" s="38">
        <v>0</v>
      </c>
      <c r="D303" s="35">
        <f t="shared" si="44"/>
        <v>0</v>
      </c>
      <c r="E303" s="56">
        <v>0</v>
      </c>
      <c r="F303" s="56">
        <v>0</v>
      </c>
      <c r="G303" s="36">
        <f t="shared" si="37"/>
        <v>0</v>
      </c>
      <c r="H303" s="56">
        <v>0</v>
      </c>
      <c r="I303" s="56">
        <v>0</v>
      </c>
      <c r="J303" s="36">
        <f t="shared" si="38"/>
        <v>0</v>
      </c>
      <c r="K303" s="36">
        <f t="shared" si="39"/>
        <v>0</v>
      </c>
      <c r="L303" s="36" t="s">
        <v>302</v>
      </c>
      <c r="M303" s="39"/>
      <c r="N303" s="53" t="s">
        <v>302</v>
      </c>
      <c r="O303" s="173" t="s">
        <v>21</v>
      </c>
      <c r="P303" s="173" t="s">
        <v>310</v>
      </c>
      <c r="Q303" s="39" t="s">
        <v>76</v>
      </c>
      <c r="R303" s="95" t="s">
        <v>75</v>
      </c>
    </row>
    <row r="304" spans="1:18" s="40" customFormat="1" ht="15" x14ac:dyDescent="0.25">
      <c r="A304" s="55" t="s">
        <v>235</v>
      </c>
      <c r="B304" s="38">
        <v>4</v>
      </c>
      <c r="C304" s="38">
        <v>0</v>
      </c>
      <c r="D304" s="35">
        <f t="shared" si="44"/>
        <v>4</v>
      </c>
      <c r="E304" s="56">
        <v>0</v>
      </c>
      <c r="F304" s="56">
        <v>8</v>
      </c>
      <c r="G304" s="36">
        <f t="shared" si="37"/>
        <v>8</v>
      </c>
      <c r="H304" s="56">
        <v>0</v>
      </c>
      <c r="I304" s="56">
        <v>0</v>
      </c>
      <c r="J304" s="36">
        <f t="shared" si="38"/>
        <v>0</v>
      </c>
      <c r="K304" s="36">
        <f t="shared" si="39"/>
        <v>8</v>
      </c>
      <c r="L304" s="36" t="s">
        <v>302</v>
      </c>
      <c r="M304" s="39"/>
      <c r="N304" s="53" t="s">
        <v>302</v>
      </c>
      <c r="O304" s="173" t="s">
        <v>21</v>
      </c>
      <c r="P304" s="173" t="s">
        <v>310</v>
      </c>
      <c r="Q304" s="39" t="s">
        <v>76</v>
      </c>
      <c r="R304" s="95" t="s">
        <v>75</v>
      </c>
    </row>
    <row r="305" spans="1:18" s="40" customFormat="1" ht="15" x14ac:dyDescent="0.25">
      <c r="A305" s="55" t="s">
        <v>236</v>
      </c>
      <c r="B305" s="38">
        <v>86</v>
      </c>
      <c r="C305" s="38">
        <v>10</v>
      </c>
      <c r="D305" s="35">
        <f t="shared" si="44"/>
        <v>96</v>
      </c>
      <c r="E305" s="56">
        <v>116.83333333333333</v>
      </c>
      <c r="F305" s="56">
        <v>69.166666666666671</v>
      </c>
      <c r="G305" s="36">
        <f t="shared" si="37"/>
        <v>186</v>
      </c>
      <c r="H305" s="56">
        <v>4.333333333333333</v>
      </c>
      <c r="I305" s="56">
        <v>4.333333333333333</v>
      </c>
      <c r="J305" s="36">
        <f t="shared" si="38"/>
        <v>8.6666666666666661</v>
      </c>
      <c r="K305" s="36">
        <f t="shared" si="39"/>
        <v>194.66666666666666</v>
      </c>
      <c r="L305" s="36" t="s">
        <v>302</v>
      </c>
      <c r="M305" s="39"/>
      <c r="N305" s="53" t="s">
        <v>302</v>
      </c>
      <c r="O305" s="173" t="s">
        <v>21</v>
      </c>
      <c r="P305" s="173" t="s">
        <v>310</v>
      </c>
      <c r="Q305" s="39" t="s">
        <v>76</v>
      </c>
      <c r="R305" s="95" t="s">
        <v>75</v>
      </c>
    </row>
    <row r="306" spans="1:18" s="40" customFormat="1" ht="15" x14ac:dyDescent="0.25">
      <c r="A306" s="55" t="s">
        <v>237</v>
      </c>
      <c r="B306" s="38">
        <v>0</v>
      </c>
      <c r="C306" s="38">
        <v>0</v>
      </c>
      <c r="D306" s="35">
        <f t="shared" si="44"/>
        <v>0</v>
      </c>
      <c r="E306" s="56">
        <v>0</v>
      </c>
      <c r="F306" s="56">
        <v>0</v>
      </c>
      <c r="G306" s="36">
        <f t="shared" si="37"/>
        <v>0</v>
      </c>
      <c r="H306" s="56">
        <v>0</v>
      </c>
      <c r="I306" s="56">
        <v>0</v>
      </c>
      <c r="J306" s="36">
        <f t="shared" si="38"/>
        <v>0</v>
      </c>
      <c r="K306" s="36">
        <f t="shared" si="39"/>
        <v>0</v>
      </c>
      <c r="L306" s="36" t="s">
        <v>302</v>
      </c>
      <c r="M306" s="39"/>
      <c r="N306" s="53" t="s">
        <v>302</v>
      </c>
      <c r="O306" s="173" t="s">
        <v>21</v>
      </c>
      <c r="P306" s="173" t="s">
        <v>310</v>
      </c>
      <c r="Q306" s="39" t="s">
        <v>76</v>
      </c>
      <c r="R306" s="95" t="s">
        <v>75</v>
      </c>
    </row>
    <row r="307" spans="1:18" s="40" customFormat="1" ht="15" x14ac:dyDescent="0.25">
      <c r="A307" s="55" t="s">
        <v>238</v>
      </c>
      <c r="B307" s="38">
        <v>0</v>
      </c>
      <c r="C307" s="38">
        <v>0</v>
      </c>
      <c r="D307" s="35">
        <f t="shared" si="44"/>
        <v>0</v>
      </c>
      <c r="E307" s="56">
        <v>0</v>
      </c>
      <c r="F307" s="56">
        <v>0</v>
      </c>
      <c r="G307" s="36">
        <f t="shared" si="37"/>
        <v>0</v>
      </c>
      <c r="H307" s="56">
        <v>0</v>
      </c>
      <c r="I307" s="56">
        <v>0</v>
      </c>
      <c r="J307" s="36">
        <f t="shared" si="38"/>
        <v>0</v>
      </c>
      <c r="K307" s="36">
        <f t="shared" si="39"/>
        <v>0</v>
      </c>
      <c r="L307" s="36" t="s">
        <v>302</v>
      </c>
      <c r="M307" s="39"/>
      <c r="N307" s="53" t="s">
        <v>302</v>
      </c>
      <c r="O307" s="173" t="s">
        <v>21</v>
      </c>
      <c r="P307" s="173" t="s">
        <v>310</v>
      </c>
      <c r="Q307" s="39" t="s">
        <v>76</v>
      </c>
      <c r="R307" s="95" t="s">
        <v>75</v>
      </c>
    </row>
    <row r="308" spans="1:18" s="32" customFormat="1" ht="15" x14ac:dyDescent="0.25">
      <c r="A308" s="84" t="s">
        <v>230</v>
      </c>
      <c r="B308" s="27">
        <v>146</v>
      </c>
      <c r="C308" s="27">
        <v>42</v>
      </c>
      <c r="D308" s="15">
        <f>SUM(B308:C308)</f>
        <v>188</v>
      </c>
      <c r="E308" s="85">
        <v>4.8666666666666663</v>
      </c>
      <c r="F308" s="85">
        <v>1.622222222222222</v>
      </c>
      <c r="G308" s="28">
        <f t="shared" si="37"/>
        <v>6.488888888888888</v>
      </c>
      <c r="H308" s="85">
        <v>5.0666666666666664</v>
      </c>
      <c r="I308" s="85">
        <v>1.6888888888888889</v>
      </c>
      <c r="J308" s="28">
        <f t="shared" si="38"/>
        <v>6.7555555555555555</v>
      </c>
      <c r="K308" s="28">
        <f t="shared" si="39"/>
        <v>13.244444444444444</v>
      </c>
      <c r="L308" s="28" t="s">
        <v>302</v>
      </c>
      <c r="M308" s="26" t="s">
        <v>87</v>
      </c>
      <c r="N308" s="30" t="s">
        <v>227</v>
      </c>
      <c r="O308" s="172" t="s">
        <v>311</v>
      </c>
      <c r="P308" s="172" t="s">
        <v>315</v>
      </c>
      <c r="Q308" s="26" t="s">
        <v>85</v>
      </c>
      <c r="R308" s="96" t="s">
        <v>86</v>
      </c>
    </row>
    <row r="309" spans="1:18" s="32" customFormat="1" ht="15" x14ac:dyDescent="0.25">
      <c r="A309" s="84" t="s">
        <v>231</v>
      </c>
      <c r="B309" s="27">
        <v>47</v>
      </c>
      <c r="C309" s="27">
        <v>28</v>
      </c>
      <c r="D309" s="15">
        <f t="shared" ref="D309:D316" si="45">SUM(B309:C309)</f>
        <v>75</v>
      </c>
      <c r="E309" s="85">
        <v>0.78333333333333333</v>
      </c>
      <c r="F309" s="85">
        <v>0.26111111111111113</v>
      </c>
      <c r="G309" s="28">
        <f t="shared" si="37"/>
        <v>1.0444444444444445</v>
      </c>
      <c r="H309" s="85">
        <v>2.85</v>
      </c>
      <c r="I309" s="85">
        <v>0.95000000000000007</v>
      </c>
      <c r="J309" s="28">
        <f t="shared" si="38"/>
        <v>3.8000000000000003</v>
      </c>
      <c r="K309" s="28">
        <f t="shared" si="39"/>
        <v>4.844444444444445</v>
      </c>
      <c r="L309" s="28" t="s">
        <v>302</v>
      </c>
      <c r="M309" s="26" t="s">
        <v>87</v>
      </c>
      <c r="N309" s="30" t="s">
        <v>227</v>
      </c>
      <c r="O309" s="172" t="s">
        <v>311</v>
      </c>
      <c r="P309" s="172" t="s">
        <v>315</v>
      </c>
      <c r="Q309" s="26" t="s">
        <v>85</v>
      </c>
      <c r="R309" s="96" t="s">
        <v>86</v>
      </c>
    </row>
    <row r="310" spans="1:18" s="32" customFormat="1" ht="15" x14ac:dyDescent="0.25">
      <c r="A310" s="84" t="s">
        <v>232</v>
      </c>
      <c r="B310" s="27">
        <v>0</v>
      </c>
      <c r="C310" s="27">
        <v>0</v>
      </c>
      <c r="D310" s="15">
        <f t="shared" si="45"/>
        <v>0</v>
      </c>
      <c r="E310" s="85">
        <v>0</v>
      </c>
      <c r="F310" s="85">
        <v>0</v>
      </c>
      <c r="G310" s="28">
        <f t="shared" si="37"/>
        <v>0</v>
      </c>
      <c r="H310" s="85">
        <v>0</v>
      </c>
      <c r="I310" s="85">
        <v>0</v>
      </c>
      <c r="J310" s="28">
        <f t="shared" si="38"/>
        <v>0</v>
      </c>
      <c r="K310" s="28">
        <f t="shared" si="39"/>
        <v>0</v>
      </c>
      <c r="L310" s="28" t="s">
        <v>302</v>
      </c>
      <c r="M310" s="26" t="s">
        <v>87</v>
      </c>
      <c r="N310" s="30" t="s">
        <v>227</v>
      </c>
      <c r="O310" s="172" t="s">
        <v>311</v>
      </c>
      <c r="P310" s="172" t="s">
        <v>315</v>
      </c>
      <c r="Q310" s="26" t="s">
        <v>85</v>
      </c>
      <c r="R310" s="96" t="s">
        <v>86</v>
      </c>
    </row>
    <row r="311" spans="1:18" s="32" customFormat="1" ht="15" x14ac:dyDescent="0.25">
      <c r="A311" s="84" t="s">
        <v>233</v>
      </c>
      <c r="B311" s="27">
        <v>0</v>
      </c>
      <c r="C311" s="27">
        <v>0</v>
      </c>
      <c r="D311" s="15">
        <f t="shared" si="45"/>
        <v>0</v>
      </c>
      <c r="E311" s="85">
        <v>0</v>
      </c>
      <c r="F311" s="85">
        <v>0</v>
      </c>
      <c r="G311" s="28">
        <f t="shared" si="37"/>
        <v>0</v>
      </c>
      <c r="H311" s="85">
        <v>0</v>
      </c>
      <c r="I311" s="85">
        <v>0</v>
      </c>
      <c r="J311" s="28">
        <f t="shared" si="38"/>
        <v>0</v>
      </c>
      <c r="K311" s="28">
        <f t="shared" si="39"/>
        <v>0</v>
      </c>
      <c r="L311" s="28" t="s">
        <v>302</v>
      </c>
      <c r="M311" s="26" t="s">
        <v>87</v>
      </c>
      <c r="N311" s="30" t="s">
        <v>227</v>
      </c>
      <c r="O311" s="172" t="s">
        <v>311</v>
      </c>
      <c r="P311" s="172" t="s">
        <v>315</v>
      </c>
      <c r="Q311" s="26" t="s">
        <v>85</v>
      </c>
      <c r="R311" s="96" t="s">
        <v>86</v>
      </c>
    </row>
    <row r="312" spans="1:18" s="32" customFormat="1" ht="15" x14ac:dyDescent="0.25">
      <c r="A312" s="84" t="s">
        <v>234</v>
      </c>
      <c r="B312" s="27">
        <v>301</v>
      </c>
      <c r="C312" s="27">
        <v>49</v>
      </c>
      <c r="D312" s="15">
        <f t="shared" si="45"/>
        <v>350</v>
      </c>
      <c r="E312" s="85">
        <v>25.083333333333332</v>
      </c>
      <c r="F312" s="85">
        <v>25.083333333333332</v>
      </c>
      <c r="G312" s="28">
        <f t="shared" si="37"/>
        <v>50.166666666666664</v>
      </c>
      <c r="H312" s="85">
        <v>3.3833333333333333</v>
      </c>
      <c r="I312" s="85">
        <v>5.666666666666667</v>
      </c>
      <c r="J312" s="28">
        <f t="shared" si="38"/>
        <v>9.0500000000000007</v>
      </c>
      <c r="K312" s="28">
        <f t="shared" si="39"/>
        <v>59.216666666666669</v>
      </c>
      <c r="L312" s="28" t="s">
        <v>302</v>
      </c>
      <c r="M312" s="26" t="s">
        <v>87</v>
      </c>
      <c r="N312" s="30" t="s">
        <v>227</v>
      </c>
      <c r="O312" s="172" t="s">
        <v>311</v>
      </c>
      <c r="P312" s="172" t="s">
        <v>315</v>
      </c>
      <c r="Q312" s="26" t="s">
        <v>85</v>
      </c>
      <c r="R312" s="96" t="s">
        <v>86</v>
      </c>
    </row>
    <row r="313" spans="1:18" s="32" customFormat="1" ht="15" x14ac:dyDescent="0.25">
      <c r="A313" s="84" t="s">
        <v>235</v>
      </c>
      <c r="B313" s="27">
        <v>1</v>
      </c>
      <c r="C313" s="27">
        <v>0</v>
      </c>
      <c r="D313" s="15">
        <f t="shared" si="45"/>
        <v>1</v>
      </c>
      <c r="E313" s="85">
        <v>0.16666666666666666</v>
      </c>
      <c r="F313" s="85">
        <v>2</v>
      </c>
      <c r="G313" s="28">
        <f t="shared" si="37"/>
        <v>2.1666666666666665</v>
      </c>
      <c r="H313" s="85">
        <v>0</v>
      </c>
      <c r="I313" s="85">
        <v>0</v>
      </c>
      <c r="J313" s="28">
        <f t="shared" si="38"/>
        <v>0</v>
      </c>
      <c r="K313" s="28">
        <f t="shared" si="39"/>
        <v>2.1666666666666665</v>
      </c>
      <c r="L313" s="28" t="s">
        <v>302</v>
      </c>
      <c r="M313" s="26" t="s">
        <v>87</v>
      </c>
      <c r="N313" s="30" t="s">
        <v>227</v>
      </c>
      <c r="O313" s="172" t="s">
        <v>311</v>
      </c>
      <c r="P313" s="172" t="s">
        <v>315</v>
      </c>
      <c r="Q313" s="26" t="s">
        <v>85</v>
      </c>
      <c r="R313" s="96" t="s">
        <v>86</v>
      </c>
    </row>
    <row r="314" spans="1:18" s="32" customFormat="1" ht="15" x14ac:dyDescent="0.25">
      <c r="A314" s="84" t="s">
        <v>236</v>
      </c>
      <c r="B314" s="27">
        <v>106</v>
      </c>
      <c r="C314" s="27">
        <v>1</v>
      </c>
      <c r="D314" s="15">
        <f t="shared" si="45"/>
        <v>107</v>
      </c>
      <c r="E314" s="85">
        <v>8.8333333333333339</v>
      </c>
      <c r="F314" s="85">
        <v>17.666666666666668</v>
      </c>
      <c r="G314" s="28">
        <f t="shared" si="37"/>
        <v>26.5</v>
      </c>
      <c r="H314" s="85">
        <v>1</v>
      </c>
      <c r="I314" s="85">
        <v>1</v>
      </c>
      <c r="J314" s="28">
        <f t="shared" si="38"/>
        <v>2</v>
      </c>
      <c r="K314" s="28">
        <f t="shared" si="39"/>
        <v>28.5</v>
      </c>
      <c r="L314" s="28" t="s">
        <v>302</v>
      </c>
      <c r="M314" s="26" t="s">
        <v>87</v>
      </c>
      <c r="N314" s="30" t="s">
        <v>227</v>
      </c>
      <c r="O314" s="172" t="s">
        <v>311</v>
      </c>
      <c r="P314" s="172" t="s">
        <v>315</v>
      </c>
      <c r="Q314" s="26" t="s">
        <v>85</v>
      </c>
      <c r="R314" s="96" t="s">
        <v>86</v>
      </c>
    </row>
    <row r="315" spans="1:18" s="32" customFormat="1" ht="15" x14ac:dyDescent="0.25">
      <c r="A315" s="84" t="s">
        <v>237</v>
      </c>
      <c r="B315" s="27">
        <v>2</v>
      </c>
      <c r="C315" s="27">
        <v>0</v>
      </c>
      <c r="D315" s="15">
        <f t="shared" si="45"/>
        <v>2</v>
      </c>
      <c r="E315" s="85">
        <v>3.3333333333333333E-2</v>
      </c>
      <c r="F315" s="85">
        <v>0.66666666666666663</v>
      </c>
      <c r="G315" s="28">
        <f t="shared" si="37"/>
        <v>0.7</v>
      </c>
      <c r="H315" s="85">
        <v>0</v>
      </c>
      <c r="I315" s="85">
        <v>0</v>
      </c>
      <c r="J315" s="28">
        <f t="shared" si="38"/>
        <v>0</v>
      </c>
      <c r="K315" s="28">
        <f t="shared" si="39"/>
        <v>0.7</v>
      </c>
      <c r="L315" s="28" t="s">
        <v>302</v>
      </c>
      <c r="M315" s="26" t="s">
        <v>87</v>
      </c>
      <c r="N315" s="30" t="s">
        <v>227</v>
      </c>
      <c r="O315" s="172" t="s">
        <v>311</v>
      </c>
      <c r="P315" s="172" t="s">
        <v>315</v>
      </c>
      <c r="Q315" s="26" t="s">
        <v>85</v>
      </c>
      <c r="R315" s="96" t="s">
        <v>86</v>
      </c>
    </row>
    <row r="316" spans="1:18" s="32" customFormat="1" ht="15.75" customHeight="1" x14ac:dyDescent="0.25">
      <c r="A316" s="84" t="s">
        <v>238</v>
      </c>
      <c r="B316" s="27">
        <v>2</v>
      </c>
      <c r="C316" s="27">
        <v>0</v>
      </c>
      <c r="D316" s="15">
        <f t="shared" si="45"/>
        <v>2</v>
      </c>
      <c r="E316" s="85">
        <v>3.3333333333333333E-2</v>
      </c>
      <c r="F316" s="85">
        <v>0</v>
      </c>
      <c r="G316" s="28">
        <f t="shared" si="37"/>
        <v>3.3333333333333333E-2</v>
      </c>
      <c r="H316" s="85">
        <v>0</v>
      </c>
      <c r="I316" s="85">
        <v>0</v>
      </c>
      <c r="J316" s="28">
        <f t="shared" si="38"/>
        <v>0</v>
      </c>
      <c r="K316" s="28">
        <f t="shared" si="39"/>
        <v>3.3333333333333333E-2</v>
      </c>
      <c r="L316" s="28" t="s">
        <v>302</v>
      </c>
      <c r="M316" s="26" t="s">
        <v>87</v>
      </c>
      <c r="N316" s="30" t="s">
        <v>227</v>
      </c>
      <c r="O316" s="172" t="s">
        <v>311</v>
      </c>
      <c r="P316" s="172" t="s">
        <v>315</v>
      </c>
      <c r="Q316" s="26" t="s">
        <v>85</v>
      </c>
      <c r="R316" s="96" t="s">
        <v>86</v>
      </c>
    </row>
    <row r="317" spans="1:18" s="40" customFormat="1" ht="15" x14ac:dyDescent="0.25">
      <c r="A317" s="55" t="s">
        <v>230</v>
      </c>
      <c r="B317" s="38">
        <v>146</v>
      </c>
      <c r="C317" s="38">
        <v>138</v>
      </c>
      <c r="D317" s="35">
        <f>SUM(B317:C317)</f>
        <v>284</v>
      </c>
      <c r="E317" s="56">
        <v>4.8666666666666663</v>
      </c>
      <c r="F317" s="56">
        <v>1.622222222222222</v>
      </c>
      <c r="G317" s="36">
        <f t="shared" si="37"/>
        <v>6.488888888888888</v>
      </c>
      <c r="H317" s="56">
        <v>11.383333333333333</v>
      </c>
      <c r="I317" s="56">
        <v>3.7944444444444443</v>
      </c>
      <c r="J317" s="36">
        <f t="shared" si="38"/>
        <v>15.177777777777777</v>
      </c>
      <c r="K317" s="36">
        <f t="shared" si="39"/>
        <v>21.666666666666664</v>
      </c>
      <c r="L317" s="36" t="s">
        <v>302</v>
      </c>
      <c r="M317" s="39" t="s">
        <v>88</v>
      </c>
      <c r="N317" s="53" t="s">
        <v>227</v>
      </c>
      <c r="O317" s="173" t="s">
        <v>311</v>
      </c>
      <c r="P317" s="173" t="s">
        <v>313</v>
      </c>
      <c r="Q317" s="39" t="s">
        <v>89</v>
      </c>
      <c r="R317" s="95" t="s">
        <v>90</v>
      </c>
    </row>
    <row r="318" spans="1:18" s="40" customFormat="1" ht="15" x14ac:dyDescent="0.25">
      <c r="A318" s="55" t="s">
        <v>231</v>
      </c>
      <c r="B318" s="38">
        <v>47</v>
      </c>
      <c r="C318" s="38">
        <v>63</v>
      </c>
      <c r="D318" s="35">
        <f t="shared" ref="D318:D325" si="46">SUM(B318:C318)</f>
        <v>110</v>
      </c>
      <c r="E318" s="56">
        <v>0.78333333333333333</v>
      </c>
      <c r="F318" s="56">
        <v>0.26111111111111113</v>
      </c>
      <c r="G318" s="36">
        <f t="shared" si="37"/>
        <v>1.0444444444444445</v>
      </c>
      <c r="H318" s="56">
        <v>5</v>
      </c>
      <c r="I318" s="56">
        <v>1.6666666666666667</v>
      </c>
      <c r="J318" s="36">
        <f t="shared" si="38"/>
        <v>6.666666666666667</v>
      </c>
      <c r="K318" s="36">
        <f t="shared" si="39"/>
        <v>7.7111111111111112</v>
      </c>
      <c r="L318" s="36" t="s">
        <v>302</v>
      </c>
      <c r="M318" s="39" t="s">
        <v>88</v>
      </c>
      <c r="N318" s="53" t="s">
        <v>227</v>
      </c>
      <c r="O318" s="173" t="s">
        <v>311</v>
      </c>
      <c r="P318" s="173" t="s">
        <v>313</v>
      </c>
      <c r="Q318" s="39" t="s">
        <v>89</v>
      </c>
      <c r="R318" s="95" t="s">
        <v>90</v>
      </c>
    </row>
    <row r="319" spans="1:18" s="40" customFormat="1" ht="15" x14ac:dyDescent="0.25">
      <c r="A319" s="55" t="s">
        <v>232</v>
      </c>
      <c r="B319" s="38">
        <v>0</v>
      </c>
      <c r="C319" s="38">
        <v>0</v>
      </c>
      <c r="D319" s="35">
        <f t="shared" si="46"/>
        <v>0</v>
      </c>
      <c r="E319" s="56">
        <v>0</v>
      </c>
      <c r="F319" s="56">
        <v>0</v>
      </c>
      <c r="G319" s="36">
        <f t="shared" si="37"/>
        <v>0</v>
      </c>
      <c r="H319" s="56">
        <v>0</v>
      </c>
      <c r="I319" s="56">
        <v>0</v>
      </c>
      <c r="J319" s="36">
        <f t="shared" si="38"/>
        <v>0</v>
      </c>
      <c r="K319" s="36">
        <f t="shared" si="39"/>
        <v>0</v>
      </c>
      <c r="L319" s="36" t="s">
        <v>302</v>
      </c>
      <c r="M319" s="39" t="s">
        <v>88</v>
      </c>
      <c r="N319" s="53" t="s">
        <v>227</v>
      </c>
      <c r="O319" s="173" t="s">
        <v>311</v>
      </c>
      <c r="P319" s="173" t="s">
        <v>313</v>
      </c>
      <c r="Q319" s="39" t="s">
        <v>89</v>
      </c>
      <c r="R319" s="95" t="s">
        <v>90</v>
      </c>
    </row>
    <row r="320" spans="1:18" s="40" customFormat="1" ht="15" x14ac:dyDescent="0.25">
      <c r="A320" s="55" t="s">
        <v>233</v>
      </c>
      <c r="B320" s="38">
        <v>0</v>
      </c>
      <c r="C320" s="38">
        <v>0</v>
      </c>
      <c r="D320" s="35">
        <f t="shared" si="46"/>
        <v>0</v>
      </c>
      <c r="E320" s="56">
        <v>0</v>
      </c>
      <c r="F320" s="56">
        <v>0</v>
      </c>
      <c r="G320" s="36">
        <f t="shared" si="37"/>
        <v>0</v>
      </c>
      <c r="H320" s="56">
        <v>0</v>
      </c>
      <c r="I320" s="56">
        <v>0</v>
      </c>
      <c r="J320" s="36">
        <f t="shared" si="38"/>
        <v>0</v>
      </c>
      <c r="K320" s="36">
        <f t="shared" si="39"/>
        <v>0</v>
      </c>
      <c r="L320" s="36" t="s">
        <v>302</v>
      </c>
      <c r="M320" s="39" t="s">
        <v>88</v>
      </c>
      <c r="N320" s="53" t="s">
        <v>227</v>
      </c>
      <c r="O320" s="173" t="s">
        <v>311</v>
      </c>
      <c r="P320" s="173" t="s">
        <v>313</v>
      </c>
      <c r="Q320" s="39" t="s">
        <v>89</v>
      </c>
      <c r="R320" s="95" t="s">
        <v>90</v>
      </c>
    </row>
    <row r="321" spans="1:18" s="40" customFormat="1" ht="15" x14ac:dyDescent="0.25">
      <c r="A321" s="55" t="s">
        <v>234</v>
      </c>
      <c r="B321" s="38">
        <v>301</v>
      </c>
      <c r="C321" s="38">
        <v>123</v>
      </c>
      <c r="D321" s="35">
        <f t="shared" si="46"/>
        <v>424</v>
      </c>
      <c r="E321" s="56">
        <v>225.75</v>
      </c>
      <c r="F321" s="56">
        <v>25.083333333333332</v>
      </c>
      <c r="G321" s="36">
        <f t="shared" si="37"/>
        <v>250.83333333333334</v>
      </c>
      <c r="H321" s="56">
        <v>6.6166666666666663</v>
      </c>
      <c r="I321" s="56">
        <v>11.166666666666666</v>
      </c>
      <c r="J321" s="36">
        <f t="shared" si="38"/>
        <v>17.783333333333331</v>
      </c>
      <c r="K321" s="36">
        <f t="shared" si="39"/>
        <v>268.61666666666667</v>
      </c>
      <c r="L321" s="36" t="s">
        <v>302</v>
      </c>
      <c r="M321" s="39" t="s">
        <v>88</v>
      </c>
      <c r="N321" s="53" t="s">
        <v>227</v>
      </c>
      <c r="O321" s="173" t="s">
        <v>311</v>
      </c>
      <c r="P321" s="173" t="s">
        <v>313</v>
      </c>
      <c r="Q321" s="39" t="s">
        <v>89</v>
      </c>
      <c r="R321" s="95" t="s">
        <v>90</v>
      </c>
    </row>
    <row r="322" spans="1:18" s="40" customFormat="1" ht="15" x14ac:dyDescent="0.25">
      <c r="A322" s="55" t="s">
        <v>235</v>
      </c>
      <c r="B322" s="38">
        <v>1</v>
      </c>
      <c r="C322" s="38">
        <v>0</v>
      </c>
      <c r="D322" s="35">
        <f t="shared" si="46"/>
        <v>1</v>
      </c>
      <c r="E322" s="56">
        <v>4</v>
      </c>
      <c r="F322" s="56">
        <v>2</v>
      </c>
      <c r="G322" s="36">
        <f t="shared" si="37"/>
        <v>6</v>
      </c>
      <c r="H322" s="56">
        <v>0</v>
      </c>
      <c r="I322" s="56">
        <v>0</v>
      </c>
      <c r="J322" s="36">
        <f t="shared" si="38"/>
        <v>0</v>
      </c>
      <c r="K322" s="36">
        <f t="shared" si="39"/>
        <v>6</v>
      </c>
      <c r="L322" s="36" t="s">
        <v>302</v>
      </c>
      <c r="M322" s="39" t="s">
        <v>88</v>
      </c>
      <c r="N322" s="53" t="s">
        <v>227</v>
      </c>
      <c r="O322" s="173" t="s">
        <v>311</v>
      </c>
      <c r="P322" s="173" t="s">
        <v>313</v>
      </c>
      <c r="Q322" s="39" t="s">
        <v>89</v>
      </c>
      <c r="R322" s="95" t="s">
        <v>90</v>
      </c>
    </row>
    <row r="323" spans="1:18" s="40" customFormat="1" ht="15" x14ac:dyDescent="0.25">
      <c r="A323" s="55" t="s">
        <v>236</v>
      </c>
      <c r="B323" s="38">
        <v>106</v>
      </c>
      <c r="C323" s="38">
        <v>8</v>
      </c>
      <c r="D323" s="35">
        <f t="shared" si="46"/>
        <v>114</v>
      </c>
      <c r="E323" s="56">
        <v>95.916666666666671</v>
      </c>
      <c r="F323" s="56">
        <v>48.833333333333336</v>
      </c>
      <c r="G323" s="36">
        <f t="shared" si="37"/>
        <v>144.75</v>
      </c>
      <c r="H323" s="56">
        <v>2.5</v>
      </c>
      <c r="I323" s="56">
        <v>2.5</v>
      </c>
      <c r="J323" s="36">
        <f t="shared" si="38"/>
        <v>5</v>
      </c>
      <c r="K323" s="36">
        <f t="shared" si="39"/>
        <v>149.75</v>
      </c>
      <c r="L323" s="36" t="s">
        <v>302</v>
      </c>
      <c r="M323" s="39" t="s">
        <v>88</v>
      </c>
      <c r="N323" s="53" t="s">
        <v>227</v>
      </c>
      <c r="O323" s="173" t="s">
        <v>311</v>
      </c>
      <c r="P323" s="173" t="s">
        <v>313</v>
      </c>
      <c r="Q323" s="39" t="s">
        <v>89</v>
      </c>
      <c r="R323" s="95" t="s">
        <v>90</v>
      </c>
    </row>
    <row r="324" spans="1:18" s="40" customFormat="1" ht="15" x14ac:dyDescent="0.25">
      <c r="A324" s="55" t="s">
        <v>237</v>
      </c>
      <c r="B324" s="38">
        <v>2</v>
      </c>
      <c r="C324" s="38">
        <v>0</v>
      </c>
      <c r="D324" s="35">
        <f t="shared" si="46"/>
        <v>2</v>
      </c>
      <c r="E324" s="56">
        <v>3.3333333333333333E-2</v>
      </c>
      <c r="F324" s="56">
        <v>0.66666666666666663</v>
      </c>
      <c r="G324" s="36">
        <f t="shared" si="37"/>
        <v>0.7</v>
      </c>
      <c r="H324" s="56">
        <v>0</v>
      </c>
      <c r="I324" s="56">
        <v>0</v>
      </c>
      <c r="J324" s="36">
        <f t="shared" si="38"/>
        <v>0</v>
      </c>
      <c r="K324" s="36">
        <f t="shared" si="39"/>
        <v>0.7</v>
      </c>
      <c r="L324" s="36" t="s">
        <v>302</v>
      </c>
      <c r="M324" s="39" t="s">
        <v>88</v>
      </c>
      <c r="N324" s="53" t="s">
        <v>227</v>
      </c>
      <c r="O324" s="173" t="s">
        <v>311</v>
      </c>
      <c r="P324" s="173" t="s">
        <v>313</v>
      </c>
      <c r="Q324" s="39" t="s">
        <v>89</v>
      </c>
      <c r="R324" s="95" t="s">
        <v>90</v>
      </c>
    </row>
    <row r="325" spans="1:18" s="40" customFormat="1" ht="15" x14ac:dyDescent="0.25">
      <c r="A325" s="55" t="s">
        <v>238</v>
      </c>
      <c r="B325" s="38">
        <v>0</v>
      </c>
      <c r="C325" s="38">
        <v>0</v>
      </c>
      <c r="D325" s="35">
        <f t="shared" si="46"/>
        <v>0</v>
      </c>
      <c r="E325" s="56">
        <v>0</v>
      </c>
      <c r="F325" s="56">
        <v>0</v>
      </c>
      <c r="G325" s="36">
        <f t="shared" ref="G325:G388" si="47">E325+F325</f>
        <v>0</v>
      </c>
      <c r="H325" s="56">
        <v>0</v>
      </c>
      <c r="I325" s="56">
        <v>0</v>
      </c>
      <c r="J325" s="36">
        <f t="shared" ref="J325:J388" si="48">H325+I325</f>
        <v>0</v>
      </c>
      <c r="K325" s="36">
        <f t="shared" ref="K325:K388" si="49">G325+J325</f>
        <v>0</v>
      </c>
      <c r="L325" s="36" t="s">
        <v>302</v>
      </c>
      <c r="M325" s="39" t="s">
        <v>88</v>
      </c>
      <c r="N325" s="53" t="s">
        <v>227</v>
      </c>
      <c r="O325" s="173" t="s">
        <v>311</v>
      </c>
      <c r="P325" s="173" t="s">
        <v>313</v>
      </c>
      <c r="Q325" s="39" t="s">
        <v>89</v>
      </c>
      <c r="R325" s="95" t="s">
        <v>90</v>
      </c>
    </row>
    <row r="326" spans="1:18" s="32" customFormat="1" ht="15" x14ac:dyDescent="0.25">
      <c r="A326" s="84" t="s">
        <v>230</v>
      </c>
      <c r="B326" s="27">
        <v>441</v>
      </c>
      <c r="C326" s="27">
        <v>192</v>
      </c>
      <c r="D326" s="15">
        <f>SUM(B326:C326)</f>
        <v>633</v>
      </c>
      <c r="E326" s="85">
        <v>14.7</v>
      </c>
      <c r="F326" s="85">
        <v>0</v>
      </c>
      <c r="G326" s="28">
        <f t="shared" si="47"/>
        <v>14.7</v>
      </c>
      <c r="H326" s="85">
        <v>18.533333333333335</v>
      </c>
      <c r="I326" s="85">
        <v>0</v>
      </c>
      <c r="J326" s="28">
        <f t="shared" si="48"/>
        <v>18.533333333333335</v>
      </c>
      <c r="K326" s="28">
        <f t="shared" si="49"/>
        <v>33.233333333333334</v>
      </c>
      <c r="L326" s="28" t="s">
        <v>302</v>
      </c>
      <c r="M326" s="26" t="s">
        <v>92</v>
      </c>
      <c r="N326" s="30" t="s">
        <v>227</v>
      </c>
      <c r="O326" s="172" t="s">
        <v>309</v>
      </c>
      <c r="P326" s="172" t="s">
        <v>311</v>
      </c>
      <c r="Q326" s="26" t="s">
        <v>93</v>
      </c>
      <c r="R326" s="96" t="s">
        <v>91</v>
      </c>
    </row>
    <row r="327" spans="1:18" s="32" customFormat="1" ht="15" x14ac:dyDescent="0.25">
      <c r="A327" s="84" t="s">
        <v>231</v>
      </c>
      <c r="B327" s="27">
        <v>232</v>
      </c>
      <c r="C327" s="27">
        <v>98</v>
      </c>
      <c r="D327" s="15">
        <f t="shared" ref="D327:D334" si="50">SUM(B327:C327)</f>
        <v>330</v>
      </c>
      <c r="E327" s="85">
        <v>3.8666666666666667</v>
      </c>
      <c r="F327" s="85">
        <v>0</v>
      </c>
      <c r="G327" s="28">
        <f t="shared" si="47"/>
        <v>3.8666666666666667</v>
      </c>
      <c r="H327" s="85">
        <v>9.0500000000000007</v>
      </c>
      <c r="I327" s="85">
        <v>0</v>
      </c>
      <c r="J327" s="28">
        <f t="shared" si="48"/>
        <v>9.0500000000000007</v>
      </c>
      <c r="K327" s="28">
        <f t="shared" si="49"/>
        <v>12.916666666666668</v>
      </c>
      <c r="L327" s="28" t="s">
        <v>302</v>
      </c>
      <c r="M327" s="26" t="s">
        <v>92</v>
      </c>
      <c r="N327" s="30" t="s">
        <v>227</v>
      </c>
      <c r="O327" s="172" t="s">
        <v>309</v>
      </c>
      <c r="P327" s="172" t="s">
        <v>311</v>
      </c>
      <c r="Q327" s="26" t="s">
        <v>93</v>
      </c>
      <c r="R327" s="96" t="s">
        <v>91</v>
      </c>
    </row>
    <row r="328" spans="1:18" s="32" customFormat="1" ht="15" x14ac:dyDescent="0.25">
      <c r="A328" s="84" t="s">
        <v>232</v>
      </c>
      <c r="B328" s="27">
        <v>0</v>
      </c>
      <c r="C328" s="27">
        <v>0</v>
      </c>
      <c r="D328" s="15">
        <f t="shared" si="50"/>
        <v>0</v>
      </c>
      <c r="E328" s="85">
        <v>0</v>
      </c>
      <c r="F328" s="85">
        <v>0</v>
      </c>
      <c r="G328" s="28">
        <f t="shared" si="47"/>
        <v>0</v>
      </c>
      <c r="H328" s="85">
        <v>0</v>
      </c>
      <c r="I328" s="85">
        <v>0</v>
      </c>
      <c r="J328" s="28">
        <f t="shared" si="48"/>
        <v>0</v>
      </c>
      <c r="K328" s="28">
        <f t="shared" si="49"/>
        <v>0</v>
      </c>
      <c r="L328" s="28" t="s">
        <v>302</v>
      </c>
      <c r="M328" s="26" t="s">
        <v>92</v>
      </c>
      <c r="N328" s="30" t="s">
        <v>227</v>
      </c>
      <c r="O328" s="172" t="s">
        <v>309</v>
      </c>
      <c r="P328" s="172" t="s">
        <v>311</v>
      </c>
      <c r="Q328" s="26" t="s">
        <v>93</v>
      </c>
      <c r="R328" s="96" t="s">
        <v>91</v>
      </c>
    </row>
    <row r="329" spans="1:18" s="32" customFormat="1" ht="15" x14ac:dyDescent="0.25">
      <c r="A329" s="84" t="s">
        <v>233</v>
      </c>
      <c r="B329" s="27">
        <v>0</v>
      </c>
      <c r="C329" s="27">
        <v>0</v>
      </c>
      <c r="D329" s="15">
        <f t="shared" si="50"/>
        <v>0</v>
      </c>
      <c r="E329" s="85">
        <v>0</v>
      </c>
      <c r="F329" s="85">
        <v>0</v>
      </c>
      <c r="G329" s="28">
        <f t="shared" si="47"/>
        <v>0</v>
      </c>
      <c r="H329" s="85">
        <v>0</v>
      </c>
      <c r="I329" s="85">
        <v>0</v>
      </c>
      <c r="J329" s="28">
        <f t="shared" si="48"/>
        <v>0</v>
      </c>
      <c r="K329" s="28">
        <f t="shared" si="49"/>
        <v>0</v>
      </c>
      <c r="L329" s="28" t="s">
        <v>302</v>
      </c>
      <c r="M329" s="26" t="s">
        <v>92</v>
      </c>
      <c r="N329" s="30" t="s">
        <v>227</v>
      </c>
      <c r="O329" s="172" t="s">
        <v>309</v>
      </c>
      <c r="P329" s="172" t="s">
        <v>311</v>
      </c>
      <c r="Q329" s="26" t="s">
        <v>93</v>
      </c>
      <c r="R329" s="96" t="s">
        <v>91</v>
      </c>
    </row>
    <row r="330" spans="1:18" s="32" customFormat="1" ht="15" x14ac:dyDescent="0.25">
      <c r="A330" s="84" t="s">
        <v>234</v>
      </c>
      <c r="B330" s="27">
        <v>659</v>
      </c>
      <c r="C330" s="27">
        <v>253</v>
      </c>
      <c r="D330" s="15">
        <f t="shared" si="50"/>
        <v>912</v>
      </c>
      <c r="E330" s="85">
        <v>54.916666666666664</v>
      </c>
      <c r="F330" s="85">
        <v>54.916666666666664</v>
      </c>
      <c r="G330" s="28">
        <f t="shared" si="47"/>
        <v>109.83333333333333</v>
      </c>
      <c r="H330" s="85">
        <v>19.733333333333334</v>
      </c>
      <c r="I330" s="85">
        <v>30.833333333333332</v>
      </c>
      <c r="J330" s="28">
        <f t="shared" si="48"/>
        <v>50.566666666666663</v>
      </c>
      <c r="K330" s="28">
        <f t="shared" si="49"/>
        <v>160.39999999999998</v>
      </c>
      <c r="L330" s="28" t="s">
        <v>302</v>
      </c>
      <c r="M330" s="26" t="s">
        <v>92</v>
      </c>
      <c r="N330" s="30" t="s">
        <v>227</v>
      </c>
      <c r="O330" s="172" t="s">
        <v>309</v>
      </c>
      <c r="P330" s="172" t="s">
        <v>311</v>
      </c>
      <c r="Q330" s="26" t="s">
        <v>93</v>
      </c>
      <c r="R330" s="96" t="s">
        <v>91</v>
      </c>
    </row>
    <row r="331" spans="1:18" s="32" customFormat="1" ht="15" x14ac:dyDescent="0.25">
      <c r="A331" s="84" t="s">
        <v>235</v>
      </c>
      <c r="B331" s="27">
        <v>5</v>
      </c>
      <c r="C331" s="27">
        <v>0</v>
      </c>
      <c r="D331" s="15">
        <f t="shared" si="50"/>
        <v>5</v>
      </c>
      <c r="E331" s="85">
        <v>0.83333333333333337</v>
      </c>
      <c r="F331" s="85">
        <v>10</v>
      </c>
      <c r="G331" s="28">
        <f t="shared" si="47"/>
        <v>10.833333333333334</v>
      </c>
      <c r="H331" s="85">
        <v>0</v>
      </c>
      <c r="I331" s="85">
        <v>0</v>
      </c>
      <c r="J331" s="28">
        <f t="shared" si="48"/>
        <v>0</v>
      </c>
      <c r="K331" s="28">
        <f t="shared" si="49"/>
        <v>10.833333333333334</v>
      </c>
      <c r="L331" s="28" t="s">
        <v>302</v>
      </c>
      <c r="M331" s="26" t="s">
        <v>92</v>
      </c>
      <c r="N331" s="30" t="s">
        <v>227</v>
      </c>
      <c r="O331" s="172" t="s">
        <v>309</v>
      </c>
      <c r="P331" s="172" t="s">
        <v>311</v>
      </c>
      <c r="Q331" s="26" t="s">
        <v>93</v>
      </c>
      <c r="R331" s="96" t="s">
        <v>91</v>
      </c>
    </row>
    <row r="332" spans="1:18" s="32" customFormat="1" ht="15" x14ac:dyDescent="0.25">
      <c r="A332" s="84" t="s">
        <v>236</v>
      </c>
      <c r="B332" s="27">
        <v>303</v>
      </c>
      <c r="C332" s="27">
        <v>39</v>
      </c>
      <c r="D332" s="15">
        <f t="shared" si="50"/>
        <v>342</v>
      </c>
      <c r="E332" s="85">
        <v>25.25</v>
      </c>
      <c r="F332" s="85">
        <v>50.5</v>
      </c>
      <c r="G332" s="28">
        <f t="shared" si="47"/>
        <v>75.75</v>
      </c>
      <c r="H332" s="85">
        <v>20.333333333333332</v>
      </c>
      <c r="I332" s="85">
        <v>20.333333333333332</v>
      </c>
      <c r="J332" s="28">
        <f t="shared" si="48"/>
        <v>40.666666666666664</v>
      </c>
      <c r="K332" s="28">
        <f t="shared" si="49"/>
        <v>116.41666666666666</v>
      </c>
      <c r="L332" s="28" t="s">
        <v>302</v>
      </c>
      <c r="M332" s="26" t="s">
        <v>92</v>
      </c>
      <c r="N332" s="30" t="s">
        <v>227</v>
      </c>
      <c r="O332" s="172" t="s">
        <v>309</v>
      </c>
      <c r="P332" s="172" t="s">
        <v>311</v>
      </c>
      <c r="Q332" s="26" t="s">
        <v>93</v>
      </c>
      <c r="R332" s="96" t="s">
        <v>91</v>
      </c>
    </row>
    <row r="333" spans="1:18" s="32" customFormat="1" ht="15" x14ac:dyDescent="0.25">
      <c r="A333" s="84" t="s">
        <v>237</v>
      </c>
      <c r="B333" s="27">
        <v>209</v>
      </c>
      <c r="C333" s="27">
        <v>0</v>
      </c>
      <c r="D333" s="15">
        <f t="shared" si="50"/>
        <v>209</v>
      </c>
      <c r="E333" s="85">
        <v>3.4833333333333334</v>
      </c>
      <c r="F333" s="85">
        <v>52.25</v>
      </c>
      <c r="G333" s="28">
        <f t="shared" si="47"/>
        <v>55.733333333333334</v>
      </c>
      <c r="H333" s="85">
        <v>0</v>
      </c>
      <c r="I333" s="85">
        <v>0</v>
      </c>
      <c r="J333" s="28">
        <f t="shared" si="48"/>
        <v>0</v>
      </c>
      <c r="K333" s="28">
        <f t="shared" si="49"/>
        <v>55.733333333333334</v>
      </c>
      <c r="L333" s="28" t="s">
        <v>302</v>
      </c>
      <c r="M333" s="26" t="s">
        <v>92</v>
      </c>
      <c r="N333" s="30" t="s">
        <v>227</v>
      </c>
      <c r="O333" s="172" t="s">
        <v>309</v>
      </c>
      <c r="P333" s="172" t="s">
        <v>311</v>
      </c>
      <c r="Q333" s="26" t="s">
        <v>93</v>
      </c>
      <c r="R333" s="96" t="s">
        <v>91</v>
      </c>
    </row>
    <row r="334" spans="1:18" s="32" customFormat="1" ht="15" x14ac:dyDescent="0.25">
      <c r="A334" s="84" t="s">
        <v>238</v>
      </c>
      <c r="B334" s="27">
        <v>4</v>
      </c>
      <c r="C334" s="27">
        <v>0</v>
      </c>
      <c r="D334" s="15">
        <f t="shared" si="50"/>
        <v>4</v>
      </c>
      <c r="E334" s="85">
        <v>6.6666666666666666E-2</v>
      </c>
      <c r="F334" s="85">
        <v>0</v>
      </c>
      <c r="G334" s="28">
        <f t="shared" si="47"/>
        <v>6.6666666666666666E-2</v>
      </c>
      <c r="H334" s="85">
        <v>0</v>
      </c>
      <c r="I334" s="85">
        <v>0</v>
      </c>
      <c r="J334" s="28">
        <f t="shared" si="48"/>
        <v>0</v>
      </c>
      <c r="K334" s="28">
        <f t="shared" si="49"/>
        <v>6.6666666666666666E-2</v>
      </c>
      <c r="L334" s="28" t="s">
        <v>302</v>
      </c>
      <c r="M334" s="26" t="s">
        <v>92</v>
      </c>
      <c r="N334" s="30" t="s">
        <v>227</v>
      </c>
      <c r="O334" s="172" t="s">
        <v>309</v>
      </c>
      <c r="P334" s="172" t="s">
        <v>311</v>
      </c>
      <c r="Q334" s="26" t="s">
        <v>93</v>
      </c>
      <c r="R334" s="96" t="s">
        <v>91</v>
      </c>
    </row>
    <row r="335" spans="1:18" s="40" customFormat="1" ht="15" x14ac:dyDescent="0.25">
      <c r="A335" s="55" t="s">
        <v>230</v>
      </c>
      <c r="B335" s="38">
        <v>33</v>
      </c>
      <c r="C335" s="38">
        <v>8</v>
      </c>
      <c r="D335" s="35">
        <f>SUM(B335:C335)</f>
        <v>41</v>
      </c>
      <c r="E335" s="56">
        <v>1.1000000000000001</v>
      </c>
      <c r="F335" s="56">
        <v>0.3666666666666667</v>
      </c>
      <c r="G335" s="36">
        <f t="shared" si="47"/>
        <v>1.4666666666666668</v>
      </c>
      <c r="H335" s="56">
        <v>0.4</v>
      </c>
      <c r="I335" s="56">
        <v>0.13333333333333333</v>
      </c>
      <c r="J335" s="36">
        <f t="shared" si="48"/>
        <v>0.53333333333333333</v>
      </c>
      <c r="K335" s="36">
        <f t="shared" si="49"/>
        <v>2</v>
      </c>
      <c r="L335" s="36" t="s">
        <v>302</v>
      </c>
      <c r="M335" s="39"/>
      <c r="N335" s="53" t="s">
        <v>227</v>
      </c>
      <c r="O335" s="173" t="s">
        <v>312</v>
      </c>
      <c r="P335" s="173" t="s">
        <v>310</v>
      </c>
      <c r="Q335" s="39" t="s">
        <v>98</v>
      </c>
      <c r="R335" s="95" t="s">
        <v>97</v>
      </c>
    </row>
    <row r="336" spans="1:18" s="40" customFormat="1" ht="15" x14ac:dyDescent="0.25">
      <c r="A336" s="55" t="s">
        <v>231</v>
      </c>
      <c r="B336" s="38">
        <v>16</v>
      </c>
      <c r="C336" s="38">
        <v>1</v>
      </c>
      <c r="D336" s="35">
        <f t="shared" ref="D336:D343" si="51">SUM(B336:C336)</f>
        <v>17</v>
      </c>
      <c r="E336" s="56">
        <v>0.26666666666666666</v>
      </c>
      <c r="F336" s="56">
        <v>8.8888888888888892E-2</v>
      </c>
      <c r="G336" s="36">
        <f t="shared" si="47"/>
        <v>0.35555555555555557</v>
      </c>
      <c r="H336" s="56">
        <v>0.05</v>
      </c>
      <c r="I336" s="56">
        <v>1.6666666666666666E-2</v>
      </c>
      <c r="J336" s="36">
        <f t="shared" si="48"/>
        <v>6.6666666666666666E-2</v>
      </c>
      <c r="K336" s="36">
        <f t="shared" si="49"/>
        <v>0.42222222222222222</v>
      </c>
      <c r="L336" s="36" t="s">
        <v>302</v>
      </c>
      <c r="M336" s="39"/>
      <c r="N336" s="53" t="s">
        <v>227</v>
      </c>
      <c r="O336" s="173" t="s">
        <v>312</v>
      </c>
      <c r="P336" s="173" t="s">
        <v>310</v>
      </c>
      <c r="Q336" s="39" t="s">
        <v>98</v>
      </c>
      <c r="R336" s="95" t="s">
        <v>97</v>
      </c>
    </row>
    <row r="337" spans="1:18" s="40" customFormat="1" ht="15" x14ac:dyDescent="0.25">
      <c r="A337" s="55" t="s">
        <v>232</v>
      </c>
      <c r="B337" s="38">
        <v>0</v>
      </c>
      <c r="C337" s="38">
        <v>0</v>
      </c>
      <c r="D337" s="35">
        <f t="shared" si="51"/>
        <v>0</v>
      </c>
      <c r="E337" s="56">
        <v>0</v>
      </c>
      <c r="F337" s="56">
        <v>0</v>
      </c>
      <c r="G337" s="36">
        <f t="shared" si="47"/>
        <v>0</v>
      </c>
      <c r="H337" s="56">
        <v>0</v>
      </c>
      <c r="I337" s="56">
        <v>0</v>
      </c>
      <c r="J337" s="36">
        <f t="shared" si="48"/>
        <v>0</v>
      </c>
      <c r="K337" s="36">
        <f t="shared" si="49"/>
        <v>0</v>
      </c>
      <c r="L337" s="36" t="s">
        <v>302</v>
      </c>
      <c r="M337" s="39"/>
      <c r="N337" s="53" t="s">
        <v>227</v>
      </c>
      <c r="O337" s="173" t="s">
        <v>312</v>
      </c>
      <c r="P337" s="173" t="s">
        <v>310</v>
      </c>
      <c r="Q337" s="39" t="s">
        <v>98</v>
      </c>
      <c r="R337" s="95" t="s">
        <v>97</v>
      </c>
    </row>
    <row r="338" spans="1:18" s="40" customFormat="1" ht="15" x14ac:dyDescent="0.25">
      <c r="A338" s="55" t="s">
        <v>233</v>
      </c>
      <c r="B338" s="38">
        <v>0</v>
      </c>
      <c r="C338" s="38">
        <v>0</v>
      </c>
      <c r="D338" s="35">
        <f t="shared" si="51"/>
        <v>0</v>
      </c>
      <c r="E338" s="56">
        <v>0</v>
      </c>
      <c r="F338" s="56">
        <v>0</v>
      </c>
      <c r="G338" s="36">
        <f t="shared" si="47"/>
        <v>0</v>
      </c>
      <c r="H338" s="56">
        <v>0</v>
      </c>
      <c r="I338" s="56">
        <v>0</v>
      </c>
      <c r="J338" s="36">
        <f t="shared" si="48"/>
        <v>0</v>
      </c>
      <c r="K338" s="36">
        <f t="shared" si="49"/>
        <v>0</v>
      </c>
      <c r="L338" s="36" t="s">
        <v>302</v>
      </c>
      <c r="M338" s="39"/>
      <c r="N338" s="53" t="s">
        <v>227</v>
      </c>
      <c r="O338" s="173" t="s">
        <v>312</v>
      </c>
      <c r="P338" s="173" t="s">
        <v>310</v>
      </c>
      <c r="Q338" s="39" t="s">
        <v>98</v>
      </c>
      <c r="R338" s="95" t="s">
        <v>97</v>
      </c>
    </row>
    <row r="339" spans="1:18" s="40" customFormat="1" ht="15" x14ac:dyDescent="0.25">
      <c r="A339" s="55" t="s">
        <v>234</v>
      </c>
      <c r="B339" s="38">
        <v>47</v>
      </c>
      <c r="C339" s="38">
        <v>11</v>
      </c>
      <c r="D339" s="35">
        <f t="shared" si="51"/>
        <v>58</v>
      </c>
      <c r="E339" s="56">
        <v>3.9166666666666665</v>
      </c>
      <c r="F339" s="56">
        <v>3.9166666666666665</v>
      </c>
      <c r="G339" s="36">
        <f t="shared" si="47"/>
        <v>7.833333333333333</v>
      </c>
      <c r="H339" s="56">
        <v>0.55000000000000004</v>
      </c>
      <c r="I339" s="56">
        <v>0.91666666666666663</v>
      </c>
      <c r="J339" s="36">
        <f t="shared" si="48"/>
        <v>1.4666666666666668</v>
      </c>
      <c r="K339" s="36">
        <f t="shared" si="49"/>
        <v>9.3000000000000007</v>
      </c>
      <c r="L339" s="36" t="s">
        <v>302</v>
      </c>
      <c r="M339" s="39"/>
      <c r="N339" s="53" t="s">
        <v>227</v>
      </c>
      <c r="O339" s="173" t="s">
        <v>312</v>
      </c>
      <c r="P339" s="173" t="s">
        <v>310</v>
      </c>
      <c r="Q339" s="39" t="s">
        <v>98</v>
      </c>
      <c r="R339" s="95" t="s">
        <v>97</v>
      </c>
    </row>
    <row r="340" spans="1:18" s="40" customFormat="1" ht="15" x14ac:dyDescent="0.25">
      <c r="A340" s="55" t="s">
        <v>235</v>
      </c>
      <c r="B340" s="38">
        <v>1</v>
      </c>
      <c r="C340" s="38">
        <v>0</v>
      </c>
      <c r="D340" s="35">
        <f t="shared" si="51"/>
        <v>1</v>
      </c>
      <c r="E340" s="56">
        <v>0.16666666666666666</v>
      </c>
      <c r="F340" s="56">
        <v>2</v>
      </c>
      <c r="G340" s="36">
        <f t="shared" si="47"/>
        <v>2.1666666666666665</v>
      </c>
      <c r="H340" s="56">
        <v>0</v>
      </c>
      <c r="I340" s="56">
        <v>0</v>
      </c>
      <c r="J340" s="36">
        <f t="shared" si="48"/>
        <v>0</v>
      </c>
      <c r="K340" s="36">
        <f t="shared" si="49"/>
        <v>2.1666666666666665</v>
      </c>
      <c r="L340" s="36" t="s">
        <v>302</v>
      </c>
      <c r="M340" s="39"/>
      <c r="N340" s="53" t="s">
        <v>227</v>
      </c>
      <c r="O340" s="173" t="s">
        <v>312</v>
      </c>
      <c r="P340" s="173" t="s">
        <v>310</v>
      </c>
      <c r="Q340" s="39" t="s">
        <v>98</v>
      </c>
      <c r="R340" s="95" t="s">
        <v>97</v>
      </c>
    </row>
    <row r="341" spans="1:18" s="40" customFormat="1" ht="15" x14ac:dyDescent="0.25">
      <c r="A341" s="55" t="s">
        <v>236</v>
      </c>
      <c r="B341" s="38">
        <v>6</v>
      </c>
      <c r="C341" s="38">
        <v>2</v>
      </c>
      <c r="D341" s="35">
        <f t="shared" si="51"/>
        <v>8</v>
      </c>
      <c r="E341" s="56">
        <v>0.5</v>
      </c>
      <c r="F341" s="56">
        <v>1</v>
      </c>
      <c r="G341" s="36">
        <f t="shared" si="47"/>
        <v>1.5</v>
      </c>
      <c r="H341" s="56">
        <v>0.5</v>
      </c>
      <c r="I341" s="56">
        <v>0.5</v>
      </c>
      <c r="J341" s="36">
        <f t="shared" si="48"/>
        <v>1</v>
      </c>
      <c r="K341" s="36">
        <f t="shared" si="49"/>
        <v>2.5</v>
      </c>
      <c r="L341" s="36" t="s">
        <v>302</v>
      </c>
      <c r="M341" s="39"/>
      <c r="N341" s="53" t="s">
        <v>227</v>
      </c>
      <c r="O341" s="173" t="s">
        <v>312</v>
      </c>
      <c r="P341" s="173" t="s">
        <v>310</v>
      </c>
      <c r="Q341" s="39" t="s">
        <v>98</v>
      </c>
      <c r="R341" s="95" t="s">
        <v>97</v>
      </c>
    </row>
    <row r="342" spans="1:18" s="40" customFormat="1" ht="15" x14ac:dyDescent="0.25">
      <c r="A342" s="55" t="s">
        <v>237</v>
      </c>
      <c r="B342" s="38">
        <v>3</v>
      </c>
      <c r="C342" s="38">
        <v>0</v>
      </c>
      <c r="D342" s="35">
        <f t="shared" si="51"/>
        <v>3</v>
      </c>
      <c r="E342" s="56">
        <v>0.05</v>
      </c>
      <c r="F342" s="56">
        <v>1</v>
      </c>
      <c r="G342" s="36">
        <f t="shared" si="47"/>
        <v>1.05</v>
      </c>
      <c r="H342" s="56">
        <v>0</v>
      </c>
      <c r="I342" s="56">
        <v>0</v>
      </c>
      <c r="J342" s="36">
        <f t="shared" si="48"/>
        <v>0</v>
      </c>
      <c r="K342" s="36">
        <f t="shared" si="49"/>
        <v>1.05</v>
      </c>
      <c r="L342" s="36" t="s">
        <v>302</v>
      </c>
      <c r="M342" s="39"/>
      <c r="N342" s="53" t="s">
        <v>227</v>
      </c>
      <c r="O342" s="173" t="s">
        <v>312</v>
      </c>
      <c r="P342" s="173" t="s">
        <v>310</v>
      </c>
      <c r="Q342" s="39" t="s">
        <v>98</v>
      </c>
      <c r="R342" s="95" t="s">
        <v>97</v>
      </c>
    </row>
    <row r="343" spans="1:18" s="40" customFormat="1" ht="15" x14ac:dyDescent="0.25">
      <c r="A343" s="55" t="s">
        <v>238</v>
      </c>
      <c r="B343" s="38">
        <v>0</v>
      </c>
      <c r="C343" s="38">
        <v>0</v>
      </c>
      <c r="D343" s="35">
        <f t="shared" si="51"/>
        <v>0</v>
      </c>
      <c r="E343" s="56">
        <v>0</v>
      </c>
      <c r="F343" s="56">
        <v>0</v>
      </c>
      <c r="G343" s="36">
        <f t="shared" si="47"/>
        <v>0</v>
      </c>
      <c r="H343" s="56">
        <v>0</v>
      </c>
      <c r="I343" s="56">
        <v>0</v>
      </c>
      <c r="J343" s="36">
        <f t="shared" si="48"/>
        <v>0</v>
      </c>
      <c r="K343" s="36">
        <f t="shared" si="49"/>
        <v>0</v>
      </c>
      <c r="L343" s="36" t="s">
        <v>302</v>
      </c>
      <c r="M343" s="39"/>
      <c r="N343" s="53" t="s">
        <v>227</v>
      </c>
      <c r="O343" s="173" t="s">
        <v>312</v>
      </c>
      <c r="P343" s="173" t="s">
        <v>310</v>
      </c>
      <c r="Q343" s="39" t="s">
        <v>98</v>
      </c>
      <c r="R343" s="95" t="s">
        <v>97</v>
      </c>
    </row>
    <row r="344" spans="1:18" s="32" customFormat="1" ht="15" x14ac:dyDescent="0.25">
      <c r="A344" s="84" t="s">
        <v>230</v>
      </c>
      <c r="B344" s="27">
        <v>49</v>
      </c>
      <c r="C344" s="27">
        <v>56</v>
      </c>
      <c r="D344" s="15">
        <f>SUM(B344:C344)</f>
        <v>105</v>
      </c>
      <c r="E344" s="85">
        <v>1.6333333333333333</v>
      </c>
      <c r="F344" s="85">
        <v>0.5444444444444444</v>
      </c>
      <c r="G344" s="28">
        <f t="shared" si="47"/>
        <v>2.1777777777777776</v>
      </c>
      <c r="H344" s="85">
        <v>3.0333333333333332</v>
      </c>
      <c r="I344" s="85">
        <v>1.0111111111111111</v>
      </c>
      <c r="J344" s="28">
        <f t="shared" si="48"/>
        <v>4.0444444444444443</v>
      </c>
      <c r="K344" s="28">
        <f t="shared" si="49"/>
        <v>6.2222222222222214</v>
      </c>
      <c r="L344" s="28" t="s">
        <v>302</v>
      </c>
      <c r="M344" s="26"/>
      <c r="N344" s="30" t="s">
        <v>227</v>
      </c>
      <c r="O344" s="172" t="s">
        <v>309</v>
      </c>
      <c r="P344" s="172" t="s">
        <v>311</v>
      </c>
      <c r="Q344" s="26" t="s">
        <v>99</v>
      </c>
      <c r="R344" s="96" t="s">
        <v>100</v>
      </c>
    </row>
    <row r="345" spans="1:18" s="32" customFormat="1" ht="15" x14ac:dyDescent="0.25">
      <c r="A345" s="84" t="s">
        <v>231</v>
      </c>
      <c r="B345" s="27">
        <v>82</v>
      </c>
      <c r="C345" s="27">
        <v>7</v>
      </c>
      <c r="D345" s="15">
        <f t="shared" ref="D345:D352" si="52">SUM(B345:C345)</f>
        <v>89</v>
      </c>
      <c r="E345" s="85">
        <v>1.3666666666666667</v>
      </c>
      <c r="F345" s="85">
        <v>0.45555555555555555</v>
      </c>
      <c r="G345" s="28">
        <f t="shared" si="47"/>
        <v>1.8222222222222222</v>
      </c>
      <c r="H345" s="85">
        <v>0.38333333333333336</v>
      </c>
      <c r="I345" s="85">
        <v>0.1277777777777778</v>
      </c>
      <c r="J345" s="28">
        <f t="shared" si="48"/>
        <v>0.51111111111111118</v>
      </c>
      <c r="K345" s="28">
        <f t="shared" si="49"/>
        <v>2.3333333333333335</v>
      </c>
      <c r="L345" s="28" t="s">
        <v>302</v>
      </c>
      <c r="M345" s="26"/>
      <c r="N345" s="30" t="s">
        <v>227</v>
      </c>
      <c r="O345" s="172" t="s">
        <v>309</v>
      </c>
      <c r="P345" s="172" t="s">
        <v>311</v>
      </c>
      <c r="Q345" s="26" t="s">
        <v>99</v>
      </c>
      <c r="R345" s="96" t="s">
        <v>100</v>
      </c>
    </row>
    <row r="346" spans="1:18" s="32" customFormat="1" ht="15" x14ac:dyDescent="0.25">
      <c r="A346" s="84" t="s">
        <v>232</v>
      </c>
      <c r="B346" s="27">
        <v>0</v>
      </c>
      <c r="C346" s="27">
        <v>0</v>
      </c>
      <c r="D346" s="15">
        <f t="shared" si="52"/>
        <v>0</v>
      </c>
      <c r="E346" s="85">
        <v>0</v>
      </c>
      <c r="F346" s="85">
        <v>0</v>
      </c>
      <c r="G346" s="28">
        <f t="shared" si="47"/>
        <v>0</v>
      </c>
      <c r="H346" s="85">
        <v>0</v>
      </c>
      <c r="I346" s="85">
        <v>0</v>
      </c>
      <c r="J346" s="28">
        <f t="shared" si="48"/>
        <v>0</v>
      </c>
      <c r="K346" s="28">
        <f t="shared" si="49"/>
        <v>0</v>
      </c>
      <c r="L346" s="28" t="s">
        <v>302</v>
      </c>
      <c r="M346" s="26"/>
      <c r="N346" s="30" t="s">
        <v>227</v>
      </c>
      <c r="O346" s="172" t="s">
        <v>309</v>
      </c>
      <c r="P346" s="172" t="s">
        <v>311</v>
      </c>
      <c r="Q346" s="26" t="s">
        <v>99</v>
      </c>
      <c r="R346" s="96" t="s">
        <v>100</v>
      </c>
    </row>
    <row r="347" spans="1:18" s="32" customFormat="1" ht="15" x14ac:dyDescent="0.25">
      <c r="A347" s="84" t="s">
        <v>233</v>
      </c>
      <c r="B347" s="27">
        <v>0</v>
      </c>
      <c r="C347" s="27">
        <v>0</v>
      </c>
      <c r="D347" s="15">
        <f t="shared" si="52"/>
        <v>0</v>
      </c>
      <c r="E347" s="85">
        <v>0</v>
      </c>
      <c r="F347" s="85">
        <v>0</v>
      </c>
      <c r="G347" s="28">
        <f t="shared" si="47"/>
        <v>0</v>
      </c>
      <c r="H347" s="85">
        <v>0</v>
      </c>
      <c r="I347" s="85">
        <v>0</v>
      </c>
      <c r="J347" s="28">
        <f t="shared" si="48"/>
        <v>0</v>
      </c>
      <c r="K347" s="28">
        <f t="shared" si="49"/>
        <v>0</v>
      </c>
      <c r="L347" s="28" t="s">
        <v>302</v>
      </c>
      <c r="M347" s="26"/>
      <c r="N347" s="30" t="s">
        <v>227</v>
      </c>
      <c r="O347" s="172" t="s">
        <v>309</v>
      </c>
      <c r="P347" s="172" t="s">
        <v>311</v>
      </c>
      <c r="Q347" s="26" t="s">
        <v>99</v>
      </c>
      <c r="R347" s="96" t="s">
        <v>100</v>
      </c>
    </row>
    <row r="348" spans="1:18" s="32" customFormat="1" ht="15" x14ac:dyDescent="0.25">
      <c r="A348" s="84" t="s">
        <v>234</v>
      </c>
      <c r="B348" s="27">
        <v>95</v>
      </c>
      <c r="C348" s="27">
        <v>83</v>
      </c>
      <c r="D348" s="15">
        <f t="shared" si="52"/>
        <v>178</v>
      </c>
      <c r="E348" s="85">
        <v>7.916666666666667</v>
      </c>
      <c r="F348" s="85">
        <v>7.916666666666667</v>
      </c>
      <c r="G348" s="28">
        <f t="shared" si="47"/>
        <v>15.833333333333334</v>
      </c>
      <c r="H348" s="85">
        <v>5.4</v>
      </c>
      <c r="I348" s="85">
        <v>8.6666666666666661</v>
      </c>
      <c r="J348" s="28">
        <f t="shared" si="48"/>
        <v>14.066666666666666</v>
      </c>
      <c r="K348" s="28">
        <f t="shared" si="49"/>
        <v>29.9</v>
      </c>
      <c r="L348" s="28" t="s">
        <v>302</v>
      </c>
      <c r="M348" s="26"/>
      <c r="N348" s="30" t="s">
        <v>227</v>
      </c>
      <c r="O348" s="172" t="s">
        <v>309</v>
      </c>
      <c r="P348" s="172" t="s">
        <v>311</v>
      </c>
      <c r="Q348" s="26" t="s">
        <v>99</v>
      </c>
      <c r="R348" s="96" t="s">
        <v>100</v>
      </c>
    </row>
    <row r="349" spans="1:18" s="32" customFormat="1" ht="15" x14ac:dyDescent="0.25">
      <c r="A349" s="84" t="s">
        <v>235</v>
      </c>
      <c r="B349" s="27">
        <v>1</v>
      </c>
      <c r="C349" s="27">
        <v>0</v>
      </c>
      <c r="D349" s="15">
        <f t="shared" si="52"/>
        <v>1</v>
      </c>
      <c r="E349" s="85">
        <v>0</v>
      </c>
      <c r="F349" s="85">
        <v>2</v>
      </c>
      <c r="G349" s="28">
        <f t="shared" si="47"/>
        <v>2</v>
      </c>
      <c r="H349" s="85">
        <v>0</v>
      </c>
      <c r="I349" s="85">
        <v>0</v>
      </c>
      <c r="J349" s="28">
        <f t="shared" si="48"/>
        <v>0</v>
      </c>
      <c r="K349" s="28">
        <f t="shared" si="49"/>
        <v>2</v>
      </c>
      <c r="L349" s="28" t="s">
        <v>302</v>
      </c>
      <c r="M349" s="26"/>
      <c r="N349" s="30" t="s">
        <v>227</v>
      </c>
      <c r="O349" s="172" t="s">
        <v>309</v>
      </c>
      <c r="P349" s="172" t="s">
        <v>311</v>
      </c>
      <c r="Q349" s="26" t="s">
        <v>99</v>
      </c>
      <c r="R349" s="96" t="s">
        <v>100</v>
      </c>
    </row>
    <row r="350" spans="1:18" s="32" customFormat="1" ht="15" x14ac:dyDescent="0.25">
      <c r="A350" s="84" t="s">
        <v>236</v>
      </c>
      <c r="B350" s="27">
        <v>98</v>
      </c>
      <c r="C350" s="27">
        <v>4</v>
      </c>
      <c r="D350" s="15">
        <f t="shared" si="52"/>
        <v>102</v>
      </c>
      <c r="E350" s="85">
        <v>8.1666666666666661</v>
      </c>
      <c r="F350" s="85">
        <v>16.333333333333332</v>
      </c>
      <c r="G350" s="28">
        <f t="shared" si="47"/>
        <v>24.5</v>
      </c>
      <c r="H350" s="85">
        <v>4.333333333333333</v>
      </c>
      <c r="I350" s="85">
        <v>4.333333333333333</v>
      </c>
      <c r="J350" s="28">
        <f t="shared" si="48"/>
        <v>8.6666666666666661</v>
      </c>
      <c r="K350" s="28">
        <f t="shared" si="49"/>
        <v>33.166666666666664</v>
      </c>
      <c r="L350" s="28" t="s">
        <v>302</v>
      </c>
      <c r="M350" s="26"/>
      <c r="N350" s="30" t="s">
        <v>227</v>
      </c>
      <c r="O350" s="172" t="s">
        <v>309</v>
      </c>
      <c r="P350" s="172" t="s">
        <v>311</v>
      </c>
      <c r="Q350" s="26" t="s">
        <v>99</v>
      </c>
      <c r="R350" s="96" t="s">
        <v>100</v>
      </c>
    </row>
    <row r="351" spans="1:18" s="32" customFormat="1" ht="15" x14ac:dyDescent="0.25">
      <c r="A351" s="84" t="s">
        <v>237</v>
      </c>
      <c r="B351" s="27">
        <v>4</v>
      </c>
      <c r="C351" s="27">
        <v>0</v>
      </c>
      <c r="D351" s="15">
        <f t="shared" si="52"/>
        <v>4</v>
      </c>
      <c r="E351" s="85">
        <v>6.6666666666666666E-2</v>
      </c>
      <c r="F351" s="85">
        <v>1.3333333333333333</v>
      </c>
      <c r="G351" s="28">
        <f t="shared" si="47"/>
        <v>1.4</v>
      </c>
      <c r="H351" s="85">
        <v>0</v>
      </c>
      <c r="I351" s="85">
        <v>0</v>
      </c>
      <c r="J351" s="28">
        <f t="shared" si="48"/>
        <v>0</v>
      </c>
      <c r="K351" s="28">
        <f t="shared" si="49"/>
        <v>1.4</v>
      </c>
      <c r="L351" s="28" t="s">
        <v>302</v>
      </c>
      <c r="M351" s="26"/>
      <c r="N351" s="30" t="s">
        <v>227</v>
      </c>
      <c r="O351" s="172" t="s">
        <v>309</v>
      </c>
      <c r="P351" s="172" t="s">
        <v>311</v>
      </c>
      <c r="Q351" s="26" t="s">
        <v>99</v>
      </c>
      <c r="R351" s="96" t="s">
        <v>100</v>
      </c>
    </row>
    <row r="352" spans="1:18" s="32" customFormat="1" ht="15" x14ac:dyDescent="0.25">
      <c r="A352" s="84" t="s">
        <v>238</v>
      </c>
      <c r="B352" s="27">
        <v>8</v>
      </c>
      <c r="C352" s="27">
        <v>0</v>
      </c>
      <c r="D352" s="15">
        <f t="shared" si="52"/>
        <v>8</v>
      </c>
      <c r="E352" s="85">
        <v>0.13333333333333333</v>
      </c>
      <c r="F352" s="85">
        <v>0</v>
      </c>
      <c r="G352" s="28">
        <f t="shared" si="47"/>
        <v>0.13333333333333333</v>
      </c>
      <c r="H352" s="85">
        <v>0</v>
      </c>
      <c r="I352" s="85">
        <v>0</v>
      </c>
      <c r="J352" s="28">
        <f t="shared" si="48"/>
        <v>0</v>
      </c>
      <c r="K352" s="28">
        <f t="shared" si="49"/>
        <v>0.13333333333333333</v>
      </c>
      <c r="L352" s="28" t="s">
        <v>302</v>
      </c>
      <c r="M352" s="26"/>
      <c r="N352" s="30" t="s">
        <v>227</v>
      </c>
      <c r="O352" s="172" t="s">
        <v>309</v>
      </c>
      <c r="P352" s="172" t="s">
        <v>311</v>
      </c>
      <c r="Q352" s="26" t="s">
        <v>99</v>
      </c>
      <c r="R352" s="96" t="s">
        <v>100</v>
      </c>
    </row>
    <row r="353" spans="1:18" s="40" customFormat="1" ht="15" x14ac:dyDescent="0.25">
      <c r="A353" s="55" t="s">
        <v>230</v>
      </c>
      <c r="B353" s="38">
        <v>6</v>
      </c>
      <c r="C353" s="38">
        <v>52</v>
      </c>
      <c r="D353" s="35">
        <f>SUM(B353:C353)</f>
        <v>58</v>
      </c>
      <c r="E353" s="56">
        <v>0.2</v>
      </c>
      <c r="F353" s="56">
        <v>6.6666666666666666E-2</v>
      </c>
      <c r="G353" s="36">
        <f t="shared" si="47"/>
        <v>0.26666666666666666</v>
      </c>
      <c r="H353" s="56">
        <v>2.8166666666666669</v>
      </c>
      <c r="I353" s="56">
        <v>0.93888888888888899</v>
      </c>
      <c r="J353" s="36">
        <f t="shared" si="48"/>
        <v>3.755555555555556</v>
      </c>
      <c r="K353" s="36">
        <f t="shared" si="49"/>
        <v>4.022222222222223</v>
      </c>
      <c r="L353" s="36" t="s">
        <v>302</v>
      </c>
      <c r="M353" s="39"/>
      <c r="N353" s="53" t="s">
        <v>227</v>
      </c>
      <c r="O353" s="173">
        <v>7</v>
      </c>
      <c r="P353" s="173" t="s">
        <v>311</v>
      </c>
      <c r="Q353" s="39" t="s">
        <v>101</v>
      </c>
      <c r="R353" s="95" t="s">
        <v>102</v>
      </c>
    </row>
    <row r="354" spans="1:18" s="40" customFormat="1" ht="15" x14ac:dyDescent="0.25">
      <c r="A354" s="55" t="s">
        <v>231</v>
      </c>
      <c r="B354" s="38">
        <v>1</v>
      </c>
      <c r="C354" s="38">
        <v>24</v>
      </c>
      <c r="D354" s="35">
        <f t="shared" ref="D354:D361" si="53">SUM(B354:C354)</f>
        <v>25</v>
      </c>
      <c r="E354" s="56">
        <v>1.6666666666666666E-2</v>
      </c>
      <c r="F354" s="56">
        <v>5.5555555555555558E-3</v>
      </c>
      <c r="G354" s="36">
        <f t="shared" si="47"/>
        <v>2.2222222222222223E-2</v>
      </c>
      <c r="H354" s="56">
        <v>1.2333333333333334</v>
      </c>
      <c r="I354" s="56">
        <v>0.41111111111111115</v>
      </c>
      <c r="J354" s="36">
        <f t="shared" si="48"/>
        <v>1.6444444444444446</v>
      </c>
      <c r="K354" s="36">
        <f t="shared" si="49"/>
        <v>1.6666666666666667</v>
      </c>
      <c r="L354" s="36" t="s">
        <v>302</v>
      </c>
      <c r="M354" s="39"/>
      <c r="N354" s="53" t="s">
        <v>227</v>
      </c>
      <c r="O354" s="173">
        <v>7</v>
      </c>
      <c r="P354" s="173" t="s">
        <v>311</v>
      </c>
      <c r="Q354" s="39" t="s">
        <v>101</v>
      </c>
      <c r="R354" s="95" t="s">
        <v>102</v>
      </c>
    </row>
    <row r="355" spans="1:18" s="40" customFormat="1" ht="15" x14ac:dyDescent="0.25">
      <c r="A355" s="55" t="s">
        <v>232</v>
      </c>
      <c r="B355" s="38">
        <v>0</v>
      </c>
      <c r="C355" s="38">
        <v>0</v>
      </c>
      <c r="D355" s="35">
        <f t="shared" si="53"/>
        <v>0</v>
      </c>
      <c r="E355" s="56">
        <v>0</v>
      </c>
      <c r="F355" s="56">
        <v>0</v>
      </c>
      <c r="G355" s="36">
        <f t="shared" si="47"/>
        <v>0</v>
      </c>
      <c r="H355" s="56">
        <v>0</v>
      </c>
      <c r="I355" s="56">
        <v>0</v>
      </c>
      <c r="J355" s="36">
        <f t="shared" si="48"/>
        <v>0</v>
      </c>
      <c r="K355" s="36">
        <f t="shared" si="49"/>
        <v>0</v>
      </c>
      <c r="L355" s="36" t="s">
        <v>302</v>
      </c>
      <c r="M355" s="39"/>
      <c r="N355" s="53" t="s">
        <v>227</v>
      </c>
      <c r="O355" s="173">
        <v>7</v>
      </c>
      <c r="P355" s="173" t="s">
        <v>311</v>
      </c>
      <c r="Q355" s="39" t="s">
        <v>101</v>
      </c>
      <c r="R355" s="95" t="s">
        <v>102</v>
      </c>
    </row>
    <row r="356" spans="1:18" s="40" customFormat="1" ht="15" x14ac:dyDescent="0.25">
      <c r="A356" s="55" t="s">
        <v>233</v>
      </c>
      <c r="B356" s="38">
        <v>0</v>
      </c>
      <c r="C356" s="38">
        <v>0</v>
      </c>
      <c r="D356" s="35">
        <f t="shared" si="53"/>
        <v>0</v>
      </c>
      <c r="E356" s="56">
        <v>0</v>
      </c>
      <c r="F356" s="56">
        <v>0</v>
      </c>
      <c r="G356" s="36">
        <f t="shared" si="47"/>
        <v>0</v>
      </c>
      <c r="H356" s="56">
        <v>0</v>
      </c>
      <c r="I356" s="56">
        <v>0</v>
      </c>
      <c r="J356" s="36">
        <f t="shared" si="48"/>
        <v>0</v>
      </c>
      <c r="K356" s="36">
        <f t="shared" si="49"/>
        <v>0</v>
      </c>
      <c r="L356" s="36" t="s">
        <v>302</v>
      </c>
      <c r="M356" s="39"/>
      <c r="N356" s="53" t="s">
        <v>227</v>
      </c>
      <c r="O356" s="173">
        <v>7</v>
      </c>
      <c r="P356" s="173" t="s">
        <v>311</v>
      </c>
      <c r="Q356" s="39" t="s">
        <v>101</v>
      </c>
      <c r="R356" s="95" t="s">
        <v>102</v>
      </c>
    </row>
    <row r="357" spans="1:18" s="40" customFormat="1" ht="15" x14ac:dyDescent="0.25">
      <c r="A357" s="55" t="s">
        <v>234</v>
      </c>
      <c r="B357" s="38">
        <v>12</v>
      </c>
      <c r="C357" s="38">
        <v>83</v>
      </c>
      <c r="D357" s="35">
        <f t="shared" si="53"/>
        <v>95</v>
      </c>
      <c r="E357" s="56">
        <v>1</v>
      </c>
      <c r="F357" s="56">
        <v>1</v>
      </c>
      <c r="G357" s="36">
        <f t="shared" si="47"/>
        <v>2</v>
      </c>
      <c r="H357" s="56">
        <v>4.5333333333333332</v>
      </c>
      <c r="I357" s="56">
        <v>7.75</v>
      </c>
      <c r="J357" s="36">
        <f t="shared" si="48"/>
        <v>12.283333333333333</v>
      </c>
      <c r="K357" s="36">
        <f t="shared" si="49"/>
        <v>14.283333333333333</v>
      </c>
      <c r="L357" s="36" t="s">
        <v>302</v>
      </c>
      <c r="M357" s="39"/>
      <c r="N357" s="53" t="s">
        <v>227</v>
      </c>
      <c r="O357" s="173">
        <v>7</v>
      </c>
      <c r="P357" s="173" t="s">
        <v>311</v>
      </c>
      <c r="Q357" s="39" t="s">
        <v>101</v>
      </c>
      <c r="R357" s="95" t="s">
        <v>102</v>
      </c>
    </row>
    <row r="358" spans="1:18" s="40" customFormat="1" ht="15" x14ac:dyDescent="0.25">
      <c r="A358" s="55" t="s">
        <v>235</v>
      </c>
      <c r="B358" s="38">
        <v>1</v>
      </c>
      <c r="C358" s="38">
        <v>0</v>
      </c>
      <c r="D358" s="35">
        <f t="shared" si="53"/>
        <v>1</v>
      </c>
      <c r="E358" s="56">
        <v>0.16666666666666666</v>
      </c>
      <c r="F358" s="56">
        <v>2</v>
      </c>
      <c r="G358" s="36">
        <f t="shared" si="47"/>
        <v>2.1666666666666665</v>
      </c>
      <c r="H358" s="56">
        <v>0</v>
      </c>
      <c r="I358" s="56">
        <v>0</v>
      </c>
      <c r="J358" s="36">
        <f t="shared" si="48"/>
        <v>0</v>
      </c>
      <c r="K358" s="36">
        <f t="shared" si="49"/>
        <v>2.1666666666666665</v>
      </c>
      <c r="L358" s="36" t="s">
        <v>302</v>
      </c>
      <c r="M358" s="39"/>
      <c r="N358" s="53" t="s">
        <v>227</v>
      </c>
      <c r="O358" s="173">
        <v>7</v>
      </c>
      <c r="P358" s="173" t="s">
        <v>311</v>
      </c>
      <c r="Q358" s="39" t="s">
        <v>101</v>
      </c>
      <c r="R358" s="95" t="s">
        <v>102</v>
      </c>
    </row>
    <row r="359" spans="1:18" s="40" customFormat="1" ht="15" x14ac:dyDescent="0.25">
      <c r="A359" s="55" t="s">
        <v>236</v>
      </c>
      <c r="B359" s="38">
        <v>7</v>
      </c>
      <c r="C359" s="38">
        <v>21</v>
      </c>
      <c r="D359" s="35">
        <f t="shared" si="53"/>
        <v>28</v>
      </c>
      <c r="E359" s="56">
        <v>0.58333333333333337</v>
      </c>
      <c r="F359" s="56">
        <v>1.1666666666666667</v>
      </c>
      <c r="G359" s="36">
        <f t="shared" si="47"/>
        <v>1.75</v>
      </c>
      <c r="H359" s="56">
        <v>20.833333333333332</v>
      </c>
      <c r="I359" s="56">
        <v>20.833333333333332</v>
      </c>
      <c r="J359" s="36">
        <f t="shared" si="48"/>
        <v>41.666666666666664</v>
      </c>
      <c r="K359" s="36">
        <f t="shared" si="49"/>
        <v>43.416666666666664</v>
      </c>
      <c r="L359" s="36" t="s">
        <v>302</v>
      </c>
      <c r="M359" s="39"/>
      <c r="N359" s="53" t="s">
        <v>227</v>
      </c>
      <c r="O359" s="173">
        <v>7</v>
      </c>
      <c r="P359" s="173" t="s">
        <v>311</v>
      </c>
      <c r="Q359" s="39" t="s">
        <v>101</v>
      </c>
      <c r="R359" s="95" t="s">
        <v>102</v>
      </c>
    </row>
    <row r="360" spans="1:18" s="40" customFormat="1" ht="15" x14ac:dyDescent="0.25">
      <c r="A360" s="55" t="s">
        <v>237</v>
      </c>
      <c r="B360" s="38">
        <v>0</v>
      </c>
      <c r="C360" s="38">
        <v>0</v>
      </c>
      <c r="D360" s="35">
        <f t="shared" si="53"/>
        <v>0</v>
      </c>
      <c r="E360" s="56">
        <v>0</v>
      </c>
      <c r="F360" s="56">
        <v>0</v>
      </c>
      <c r="G360" s="36">
        <f t="shared" si="47"/>
        <v>0</v>
      </c>
      <c r="H360" s="56">
        <v>0</v>
      </c>
      <c r="I360" s="56">
        <v>0</v>
      </c>
      <c r="J360" s="36">
        <f t="shared" si="48"/>
        <v>0</v>
      </c>
      <c r="K360" s="36">
        <f t="shared" si="49"/>
        <v>0</v>
      </c>
      <c r="L360" s="36" t="s">
        <v>302</v>
      </c>
      <c r="M360" s="39"/>
      <c r="N360" s="53" t="s">
        <v>227</v>
      </c>
      <c r="O360" s="173">
        <v>7</v>
      </c>
      <c r="P360" s="173" t="s">
        <v>311</v>
      </c>
      <c r="Q360" s="39" t="s">
        <v>101</v>
      </c>
      <c r="R360" s="95" t="s">
        <v>102</v>
      </c>
    </row>
    <row r="361" spans="1:18" s="40" customFormat="1" ht="15" x14ac:dyDescent="0.25">
      <c r="A361" s="55" t="s">
        <v>238</v>
      </c>
      <c r="B361" s="38">
        <v>0</v>
      </c>
      <c r="C361" s="38">
        <v>0</v>
      </c>
      <c r="D361" s="35">
        <f t="shared" si="53"/>
        <v>0</v>
      </c>
      <c r="E361" s="56">
        <v>0</v>
      </c>
      <c r="F361" s="56">
        <v>0</v>
      </c>
      <c r="G361" s="36">
        <f t="shared" si="47"/>
        <v>0</v>
      </c>
      <c r="H361" s="56">
        <v>0</v>
      </c>
      <c r="I361" s="56">
        <v>0</v>
      </c>
      <c r="J361" s="36">
        <f t="shared" si="48"/>
        <v>0</v>
      </c>
      <c r="K361" s="36">
        <f t="shared" si="49"/>
        <v>0</v>
      </c>
      <c r="L361" s="36" t="s">
        <v>302</v>
      </c>
      <c r="M361" s="39"/>
      <c r="N361" s="53" t="s">
        <v>227</v>
      </c>
      <c r="O361" s="173">
        <v>7</v>
      </c>
      <c r="P361" s="173" t="s">
        <v>311</v>
      </c>
      <c r="Q361" s="39" t="s">
        <v>101</v>
      </c>
      <c r="R361" s="95" t="s">
        <v>102</v>
      </c>
    </row>
    <row r="362" spans="1:18" s="32" customFormat="1" ht="15" x14ac:dyDescent="0.25">
      <c r="A362" s="84" t="s">
        <v>230</v>
      </c>
      <c r="B362" s="27">
        <v>350</v>
      </c>
      <c r="C362" s="27">
        <v>95</v>
      </c>
      <c r="D362" s="15">
        <f>SUM(B362:C362)</f>
        <v>445</v>
      </c>
      <c r="E362" s="85">
        <v>11.666666666666666</v>
      </c>
      <c r="F362" s="85">
        <v>3.8888888888888888</v>
      </c>
      <c r="G362" s="28">
        <f t="shared" si="47"/>
        <v>15.555555555555555</v>
      </c>
      <c r="H362" s="85">
        <v>5.9</v>
      </c>
      <c r="I362" s="85">
        <v>1.9666666666666668</v>
      </c>
      <c r="J362" s="28">
        <f t="shared" si="48"/>
        <v>7.8666666666666671</v>
      </c>
      <c r="K362" s="28">
        <f t="shared" si="49"/>
        <v>23.422222222222224</v>
      </c>
      <c r="L362" s="28" t="s">
        <v>302</v>
      </c>
      <c r="M362" s="26"/>
      <c r="N362" s="30" t="s">
        <v>302</v>
      </c>
      <c r="O362" s="172">
        <v>6</v>
      </c>
      <c r="P362" s="172">
        <v>10</v>
      </c>
      <c r="Q362" s="26" t="s">
        <v>105</v>
      </c>
      <c r="R362" s="96" t="s">
        <v>106</v>
      </c>
    </row>
    <row r="363" spans="1:18" s="32" customFormat="1" ht="15" x14ac:dyDescent="0.25">
      <c r="A363" s="84" t="s">
        <v>231</v>
      </c>
      <c r="B363" s="27">
        <v>239</v>
      </c>
      <c r="C363" s="27">
        <v>49</v>
      </c>
      <c r="D363" s="15">
        <f t="shared" ref="D363:D370" si="54">SUM(B363:C363)</f>
        <v>288</v>
      </c>
      <c r="E363" s="85">
        <v>3.9833333333333334</v>
      </c>
      <c r="F363" s="85">
        <v>1.3277777777777777</v>
      </c>
      <c r="G363" s="28">
        <f t="shared" si="47"/>
        <v>5.3111111111111109</v>
      </c>
      <c r="H363" s="85">
        <v>3.8</v>
      </c>
      <c r="I363" s="85">
        <v>1.2666666666666666</v>
      </c>
      <c r="J363" s="28">
        <f t="shared" si="48"/>
        <v>5.0666666666666664</v>
      </c>
      <c r="K363" s="28">
        <f t="shared" si="49"/>
        <v>10.377777777777776</v>
      </c>
      <c r="L363" s="28" t="s">
        <v>302</v>
      </c>
      <c r="M363" s="26"/>
      <c r="N363" s="30" t="s">
        <v>302</v>
      </c>
      <c r="O363" s="172">
        <v>6</v>
      </c>
      <c r="P363" s="172">
        <v>10</v>
      </c>
      <c r="Q363" s="26" t="s">
        <v>105</v>
      </c>
      <c r="R363" s="96" t="s">
        <v>106</v>
      </c>
    </row>
    <row r="364" spans="1:18" s="32" customFormat="1" ht="15" x14ac:dyDescent="0.25">
      <c r="A364" s="84" t="s">
        <v>232</v>
      </c>
      <c r="B364" s="27">
        <v>156</v>
      </c>
      <c r="C364" s="27">
        <v>0</v>
      </c>
      <c r="D364" s="15">
        <f t="shared" si="54"/>
        <v>156</v>
      </c>
      <c r="E364" s="85">
        <v>84</v>
      </c>
      <c r="F364" s="85">
        <v>52</v>
      </c>
      <c r="G364" s="28">
        <f t="shared" si="47"/>
        <v>136</v>
      </c>
      <c r="H364" s="85">
        <v>0</v>
      </c>
      <c r="I364" s="85">
        <v>0</v>
      </c>
      <c r="J364" s="28">
        <f t="shared" si="48"/>
        <v>0</v>
      </c>
      <c r="K364" s="28">
        <f t="shared" si="49"/>
        <v>136</v>
      </c>
      <c r="L364" s="28" t="s">
        <v>302</v>
      </c>
      <c r="M364" s="26"/>
      <c r="N364" s="30" t="s">
        <v>302</v>
      </c>
      <c r="O364" s="172">
        <v>6</v>
      </c>
      <c r="P364" s="172">
        <v>10</v>
      </c>
      <c r="Q364" s="26" t="s">
        <v>105</v>
      </c>
      <c r="R364" s="96" t="s">
        <v>106</v>
      </c>
    </row>
    <row r="365" spans="1:18" s="32" customFormat="1" ht="15" x14ac:dyDescent="0.25">
      <c r="A365" s="84" t="s">
        <v>233</v>
      </c>
      <c r="B365" s="27">
        <v>558</v>
      </c>
      <c r="C365" s="27">
        <v>135</v>
      </c>
      <c r="D365" s="15">
        <f t="shared" si="54"/>
        <v>693</v>
      </c>
      <c r="E365" s="85">
        <v>182.28333333333333</v>
      </c>
      <c r="F365" s="85">
        <v>205.5</v>
      </c>
      <c r="G365" s="28">
        <f t="shared" si="47"/>
        <v>387.7833333333333</v>
      </c>
      <c r="H365" s="85">
        <v>22.833333333333332</v>
      </c>
      <c r="I365" s="85">
        <v>31.416666666666668</v>
      </c>
      <c r="J365" s="28">
        <f t="shared" si="48"/>
        <v>54.25</v>
      </c>
      <c r="K365" s="28">
        <f t="shared" si="49"/>
        <v>442.0333333333333</v>
      </c>
      <c r="L365" s="28" t="s">
        <v>302</v>
      </c>
      <c r="M365" s="26"/>
      <c r="N365" s="30" t="s">
        <v>302</v>
      </c>
      <c r="O365" s="172">
        <v>6</v>
      </c>
      <c r="P365" s="172">
        <v>10</v>
      </c>
      <c r="Q365" s="26" t="s">
        <v>105</v>
      </c>
      <c r="R365" s="96" t="s">
        <v>106</v>
      </c>
    </row>
    <row r="366" spans="1:18" s="32" customFormat="1" ht="15" x14ac:dyDescent="0.25">
      <c r="A366" s="84" t="s">
        <v>234</v>
      </c>
      <c r="B366" s="27">
        <v>0</v>
      </c>
      <c r="C366" s="27">
        <v>0</v>
      </c>
      <c r="D366" s="15">
        <f t="shared" si="54"/>
        <v>0</v>
      </c>
      <c r="E366" s="85">
        <v>0</v>
      </c>
      <c r="F366" s="85">
        <v>0</v>
      </c>
      <c r="G366" s="28">
        <f t="shared" si="47"/>
        <v>0</v>
      </c>
      <c r="H366" s="85">
        <v>0</v>
      </c>
      <c r="I366" s="85">
        <v>0</v>
      </c>
      <c r="J366" s="28">
        <f t="shared" si="48"/>
        <v>0</v>
      </c>
      <c r="K366" s="28">
        <f t="shared" si="49"/>
        <v>0</v>
      </c>
      <c r="L366" s="28" t="s">
        <v>302</v>
      </c>
      <c r="M366" s="26"/>
      <c r="N366" s="30" t="s">
        <v>302</v>
      </c>
      <c r="O366" s="172">
        <v>6</v>
      </c>
      <c r="P366" s="172">
        <v>10</v>
      </c>
      <c r="Q366" s="26" t="s">
        <v>105</v>
      </c>
      <c r="R366" s="96" t="s">
        <v>106</v>
      </c>
    </row>
    <row r="367" spans="1:18" s="32" customFormat="1" ht="15" x14ac:dyDescent="0.25">
      <c r="A367" s="84" t="s">
        <v>235</v>
      </c>
      <c r="B367" s="27">
        <v>1</v>
      </c>
      <c r="C367" s="27">
        <v>0</v>
      </c>
      <c r="D367" s="15">
        <f t="shared" si="54"/>
        <v>1</v>
      </c>
      <c r="E367" s="85">
        <v>0.16666666666666666</v>
      </c>
      <c r="F367" s="85">
        <v>2</v>
      </c>
      <c r="G367" s="28">
        <f t="shared" si="47"/>
        <v>2.1666666666666665</v>
      </c>
      <c r="H367" s="85">
        <v>0</v>
      </c>
      <c r="I367" s="85">
        <v>0</v>
      </c>
      <c r="J367" s="28">
        <f t="shared" si="48"/>
        <v>0</v>
      </c>
      <c r="K367" s="28">
        <f t="shared" si="49"/>
        <v>2.1666666666666665</v>
      </c>
      <c r="L367" s="28" t="s">
        <v>302</v>
      </c>
      <c r="M367" s="26"/>
      <c r="N367" s="30" t="s">
        <v>302</v>
      </c>
      <c r="O367" s="172">
        <v>6</v>
      </c>
      <c r="P367" s="172">
        <v>10</v>
      </c>
      <c r="Q367" s="26" t="s">
        <v>105</v>
      </c>
      <c r="R367" s="96" t="s">
        <v>106</v>
      </c>
    </row>
    <row r="368" spans="1:18" s="32" customFormat="1" ht="15" x14ac:dyDescent="0.25">
      <c r="A368" s="84" t="s">
        <v>236</v>
      </c>
      <c r="B368" s="27">
        <v>259</v>
      </c>
      <c r="C368" s="27">
        <v>34</v>
      </c>
      <c r="D368" s="15">
        <f t="shared" si="54"/>
        <v>293</v>
      </c>
      <c r="E368" s="85">
        <v>1070.9166666666667</v>
      </c>
      <c r="F368" s="85">
        <v>385.33333333333331</v>
      </c>
      <c r="G368" s="28">
        <f t="shared" si="47"/>
        <v>1456.25</v>
      </c>
      <c r="H368" s="85">
        <v>17</v>
      </c>
      <c r="I368" s="85">
        <v>17</v>
      </c>
      <c r="J368" s="28">
        <f t="shared" si="48"/>
        <v>34</v>
      </c>
      <c r="K368" s="28">
        <f t="shared" si="49"/>
        <v>1490.25</v>
      </c>
      <c r="L368" s="28" t="s">
        <v>302</v>
      </c>
      <c r="M368" s="26"/>
      <c r="N368" s="30" t="s">
        <v>302</v>
      </c>
      <c r="O368" s="172">
        <v>6</v>
      </c>
      <c r="P368" s="172">
        <v>10</v>
      </c>
      <c r="Q368" s="26" t="s">
        <v>105</v>
      </c>
      <c r="R368" s="96" t="s">
        <v>106</v>
      </c>
    </row>
    <row r="369" spans="1:18" s="32" customFormat="1" ht="15" x14ac:dyDescent="0.25">
      <c r="A369" s="84" t="s">
        <v>237</v>
      </c>
      <c r="B369" s="27">
        <v>7</v>
      </c>
      <c r="C369" s="27">
        <v>0</v>
      </c>
      <c r="D369" s="15">
        <f t="shared" si="54"/>
        <v>7</v>
      </c>
      <c r="E369" s="85">
        <v>0.11666666666666667</v>
      </c>
      <c r="F369" s="85">
        <v>2.3333333333333335</v>
      </c>
      <c r="G369" s="28">
        <f t="shared" si="47"/>
        <v>2.4500000000000002</v>
      </c>
      <c r="H369" s="85">
        <v>0</v>
      </c>
      <c r="I369" s="85">
        <v>0</v>
      </c>
      <c r="J369" s="28">
        <f t="shared" si="48"/>
        <v>0</v>
      </c>
      <c r="K369" s="28">
        <f t="shared" si="49"/>
        <v>2.4500000000000002</v>
      </c>
      <c r="L369" s="28" t="s">
        <v>302</v>
      </c>
      <c r="M369" s="26"/>
      <c r="N369" s="30" t="s">
        <v>302</v>
      </c>
      <c r="O369" s="172">
        <v>6</v>
      </c>
      <c r="P369" s="172">
        <v>10</v>
      </c>
      <c r="Q369" s="26" t="s">
        <v>105</v>
      </c>
      <c r="R369" s="96" t="s">
        <v>106</v>
      </c>
    </row>
    <row r="370" spans="1:18" s="32" customFormat="1" ht="15" x14ac:dyDescent="0.25">
      <c r="A370" s="84" t="s">
        <v>238</v>
      </c>
      <c r="B370" s="27">
        <v>0</v>
      </c>
      <c r="C370" s="27">
        <v>0</v>
      </c>
      <c r="D370" s="15">
        <f t="shared" si="54"/>
        <v>0</v>
      </c>
      <c r="E370" s="85">
        <v>0</v>
      </c>
      <c r="F370" s="85">
        <v>0</v>
      </c>
      <c r="G370" s="28">
        <f t="shared" si="47"/>
        <v>0</v>
      </c>
      <c r="H370" s="85">
        <v>0</v>
      </c>
      <c r="I370" s="85">
        <v>0</v>
      </c>
      <c r="J370" s="28">
        <f t="shared" si="48"/>
        <v>0</v>
      </c>
      <c r="K370" s="28">
        <f t="shared" si="49"/>
        <v>0</v>
      </c>
      <c r="L370" s="28" t="s">
        <v>302</v>
      </c>
      <c r="M370" s="26"/>
      <c r="N370" s="30" t="s">
        <v>302</v>
      </c>
      <c r="O370" s="172">
        <v>6</v>
      </c>
      <c r="P370" s="172">
        <v>10</v>
      </c>
      <c r="Q370" s="26" t="s">
        <v>105</v>
      </c>
      <c r="R370" s="96" t="s">
        <v>106</v>
      </c>
    </row>
    <row r="371" spans="1:18" s="40" customFormat="1" ht="15" x14ac:dyDescent="0.25">
      <c r="A371" s="55" t="s">
        <v>230</v>
      </c>
      <c r="B371" s="38">
        <v>0</v>
      </c>
      <c r="C371" s="38">
        <v>45</v>
      </c>
      <c r="D371" s="35">
        <f>SUM(B371:C371)</f>
        <v>45</v>
      </c>
      <c r="E371" s="56">
        <v>0</v>
      </c>
      <c r="F371" s="56">
        <v>0</v>
      </c>
      <c r="G371" s="36">
        <f t="shared" si="47"/>
        <v>0</v>
      </c>
      <c r="H371" s="56">
        <v>2.5</v>
      </c>
      <c r="I371" s="56">
        <v>0.83333333333333337</v>
      </c>
      <c r="J371" s="36">
        <f t="shared" si="48"/>
        <v>3.3333333333333335</v>
      </c>
      <c r="K371" s="36">
        <f t="shared" si="49"/>
        <v>3.3333333333333335</v>
      </c>
      <c r="L371" s="36" t="s">
        <v>302</v>
      </c>
      <c r="M371" s="39" t="s">
        <v>241</v>
      </c>
      <c r="N371" s="53" t="s">
        <v>227</v>
      </c>
      <c r="O371" s="173" t="s">
        <v>310</v>
      </c>
      <c r="P371" s="173" t="s">
        <v>311</v>
      </c>
      <c r="Q371" s="39" t="s">
        <v>111</v>
      </c>
      <c r="R371" s="95" t="s">
        <v>112</v>
      </c>
    </row>
    <row r="372" spans="1:18" s="40" customFormat="1" ht="15" x14ac:dyDescent="0.25">
      <c r="A372" s="55" t="s">
        <v>231</v>
      </c>
      <c r="B372" s="38">
        <v>4</v>
      </c>
      <c r="C372" s="38">
        <v>15</v>
      </c>
      <c r="D372" s="35">
        <f t="shared" ref="D372:D379" si="55">SUM(B372:C372)</f>
        <v>19</v>
      </c>
      <c r="E372" s="56">
        <v>6.6666666666666666E-2</v>
      </c>
      <c r="F372" s="56">
        <v>2.2222222222222223E-2</v>
      </c>
      <c r="G372" s="36">
        <f t="shared" si="47"/>
        <v>8.8888888888888892E-2</v>
      </c>
      <c r="H372" s="56">
        <v>0.75</v>
      </c>
      <c r="I372" s="56">
        <v>0.25</v>
      </c>
      <c r="J372" s="36">
        <f t="shared" si="48"/>
        <v>1</v>
      </c>
      <c r="K372" s="36">
        <f t="shared" si="49"/>
        <v>1.0888888888888888</v>
      </c>
      <c r="L372" s="36" t="s">
        <v>302</v>
      </c>
      <c r="M372" s="39" t="s">
        <v>241</v>
      </c>
      <c r="N372" s="53" t="s">
        <v>227</v>
      </c>
      <c r="O372" s="173" t="s">
        <v>310</v>
      </c>
      <c r="P372" s="173" t="s">
        <v>311</v>
      </c>
      <c r="Q372" s="39" t="s">
        <v>111</v>
      </c>
      <c r="R372" s="95" t="s">
        <v>112</v>
      </c>
    </row>
    <row r="373" spans="1:18" s="40" customFormat="1" ht="15" x14ac:dyDescent="0.25">
      <c r="A373" s="55" t="s">
        <v>232</v>
      </c>
      <c r="B373" s="38">
        <v>0</v>
      </c>
      <c r="C373" s="38">
        <v>0</v>
      </c>
      <c r="D373" s="35">
        <f t="shared" si="55"/>
        <v>0</v>
      </c>
      <c r="E373" s="56">
        <v>0</v>
      </c>
      <c r="F373" s="56">
        <v>0</v>
      </c>
      <c r="G373" s="36">
        <f t="shared" si="47"/>
        <v>0</v>
      </c>
      <c r="H373" s="56">
        <v>0</v>
      </c>
      <c r="I373" s="56">
        <v>0</v>
      </c>
      <c r="J373" s="36">
        <f t="shared" si="48"/>
        <v>0</v>
      </c>
      <c r="K373" s="36">
        <f t="shared" si="49"/>
        <v>0</v>
      </c>
      <c r="L373" s="36" t="s">
        <v>302</v>
      </c>
      <c r="M373" s="39"/>
      <c r="N373" s="53" t="s">
        <v>227</v>
      </c>
      <c r="O373" s="173" t="s">
        <v>310</v>
      </c>
      <c r="P373" s="173" t="s">
        <v>311</v>
      </c>
      <c r="Q373" s="39" t="s">
        <v>111</v>
      </c>
      <c r="R373" s="95" t="s">
        <v>112</v>
      </c>
    </row>
    <row r="374" spans="1:18" s="40" customFormat="1" ht="15" x14ac:dyDescent="0.25">
      <c r="A374" s="55" t="s">
        <v>233</v>
      </c>
      <c r="B374" s="38">
        <v>0</v>
      </c>
      <c r="C374" s="38">
        <v>0</v>
      </c>
      <c r="D374" s="35">
        <f t="shared" si="55"/>
        <v>0</v>
      </c>
      <c r="E374" s="56">
        <v>0</v>
      </c>
      <c r="F374" s="56">
        <v>0</v>
      </c>
      <c r="G374" s="36">
        <f t="shared" si="47"/>
        <v>0</v>
      </c>
      <c r="H374" s="56">
        <v>0</v>
      </c>
      <c r="I374" s="56">
        <v>0</v>
      </c>
      <c r="J374" s="36">
        <f t="shared" si="48"/>
        <v>0</v>
      </c>
      <c r="K374" s="36">
        <f t="shared" si="49"/>
        <v>0</v>
      </c>
      <c r="L374" s="36" t="s">
        <v>302</v>
      </c>
      <c r="M374" s="39"/>
      <c r="N374" s="53" t="s">
        <v>227</v>
      </c>
      <c r="O374" s="173" t="s">
        <v>310</v>
      </c>
      <c r="P374" s="173" t="s">
        <v>311</v>
      </c>
      <c r="Q374" s="39" t="s">
        <v>111</v>
      </c>
      <c r="R374" s="95" t="s">
        <v>112</v>
      </c>
    </row>
    <row r="375" spans="1:18" s="40" customFormat="1" ht="15" x14ac:dyDescent="0.25">
      <c r="A375" s="55" t="s">
        <v>234</v>
      </c>
      <c r="B375" s="38">
        <v>3</v>
      </c>
      <c r="C375" s="38">
        <v>60</v>
      </c>
      <c r="D375" s="35">
        <f t="shared" si="55"/>
        <v>63</v>
      </c>
      <c r="E375" s="56">
        <v>0.25</v>
      </c>
      <c r="F375" s="56">
        <v>0.25</v>
      </c>
      <c r="G375" s="36">
        <f t="shared" si="47"/>
        <v>0.5</v>
      </c>
      <c r="H375" s="56">
        <v>3.2</v>
      </c>
      <c r="I375" s="56">
        <v>5.5</v>
      </c>
      <c r="J375" s="36">
        <f t="shared" si="48"/>
        <v>8.6999999999999993</v>
      </c>
      <c r="K375" s="36">
        <f t="shared" si="49"/>
        <v>9.1999999999999993</v>
      </c>
      <c r="L375" s="36" t="s">
        <v>302</v>
      </c>
      <c r="M375" s="39"/>
      <c r="N375" s="53" t="s">
        <v>227</v>
      </c>
      <c r="O375" s="173" t="s">
        <v>310</v>
      </c>
      <c r="P375" s="173" t="s">
        <v>311</v>
      </c>
      <c r="Q375" s="39" t="s">
        <v>111</v>
      </c>
      <c r="R375" s="95" t="s">
        <v>112</v>
      </c>
    </row>
    <row r="376" spans="1:18" s="40" customFormat="1" ht="15" x14ac:dyDescent="0.25">
      <c r="A376" s="55" t="s">
        <v>235</v>
      </c>
      <c r="B376" s="38">
        <v>0</v>
      </c>
      <c r="C376" s="38">
        <v>0</v>
      </c>
      <c r="D376" s="35">
        <f t="shared" si="55"/>
        <v>0</v>
      </c>
      <c r="E376" s="56">
        <v>0</v>
      </c>
      <c r="F376" s="56">
        <v>0</v>
      </c>
      <c r="G376" s="36">
        <f t="shared" si="47"/>
        <v>0</v>
      </c>
      <c r="H376" s="56">
        <v>0</v>
      </c>
      <c r="I376" s="56">
        <v>0</v>
      </c>
      <c r="J376" s="36">
        <f t="shared" si="48"/>
        <v>0</v>
      </c>
      <c r="K376" s="36">
        <f t="shared" si="49"/>
        <v>0</v>
      </c>
      <c r="L376" s="36" t="s">
        <v>302</v>
      </c>
      <c r="M376" s="39"/>
      <c r="N376" s="53" t="s">
        <v>227</v>
      </c>
      <c r="O376" s="173" t="s">
        <v>310</v>
      </c>
      <c r="P376" s="173" t="s">
        <v>311</v>
      </c>
      <c r="Q376" s="39" t="s">
        <v>111</v>
      </c>
      <c r="R376" s="95" t="s">
        <v>112</v>
      </c>
    </row>
    <row r="377" spans="1:18" s="40" customFormat="1" ht="15" x14ac:dyDescent="0.25">
      <c r="A377" s="55" t="s">
        <v>236</v>
      </c>
      <c r="B377" s="38">
        <v>0</v>
      </c>
      <c r="C377" s="38">
        <v>5</v>
      </c>
      <c r="D377" s="35">
        <f t="shared" si="55"/>
        <v>5</v>
      </c>
      <c r="E377" s="56">
        <v>0</v>
      </c>
      <c r="F377" s="56">
        <v>0</v>
      </c>
      <c r="G377" s="36">
        <f t="shared" si="47"/>
        <v>0</v>
      </c>
      <c r="H377" s="56">
        <v>1</v>
      </c>
      <c r="I377" s="56">
        <v>1</v>
      </c>
      <c r="J377" s="36">
        <f t="shared" si="48"/>
        <v>2</v>
      </c>
      <c r="K377" s="36">
        <f t="shared" si="49"/>
        <v>2</v>
      </c>
      <c r="L377" s="36" t="s">
        <v>302</v>
      </c>
      <c r="M377" s="39"/>
      <c r="N377" s="53" t="s">
        <v>227</v>
      </c>
      <c r="O377" s="173" t="s">
        <v>310</v>
      </c>
      <c r="P377" s="173" t="s">
        <v>311</v>
      </c>
      <c r="Q377" s="39" t="s">
        <v>111</v>
      </c>
      <c r="R377" s="95" t="s">
        <v>112</v>
      </c>
    </row>
    <row r="378" spans="1:18" s="40" customFormat="1" ht="15" x14ac:dyDescent="0.25">
      <c r="A378" s="55" t="s">
        <v>237</v>
      </c>
      <c r="B378" s="38">
        <v>3</v>
      </c>
      <c r="C378" s="38">
        <v>0</v>
      </c>
      <c r="D378" s="35">
        <f t="shared" si="55"/>
        <v>3</v>
      </c>
      <c r="E378" s="56">
        <v>0.05</v>
      </c>
      <c r="F378" s="56">
        <v>1</v>
      </c>
      <c r="G378" s="36">
        <f t="shared" si="47"/>
        <v>1.05</v>
      </c>
      <c r="H378" s="56">
        <v>0</v>
      </c>
      <c r="I378" s="56">
        <v>0</v>
      </c>
      <c r="J378" s="36">
        <f t="shared" si="48"/>
        <v>0</v>
      </c>
      <c r="K378" s="36">
        <f t="shared" si="49"/>
        <v>1.05</v>
      </c>
      <c r="L378" s="36" t="s">
        <v>302</v>
      </c>
      <c r="M378" s="39"/>
      <c r="N378" s="53" t="s">
        <v>227</v>
      </c>
      <c r="O378" s="173" t="s">
        <v>310</v>
      </c>
      <c r="P378" s="173" t="s">
        <v>311</v>
      </c>
      <c r="Q378" s="39" t="s">
        <v>111</v>
      </c>
      <c r="R378" s="95" t="s">
        <v>112</v>
      </c>
    </row>
    <row r="379" spans="1:18" s="40" customFormat="1" ht="15" x14ac:dyDescent="0.25">
      <c r="A379" s="55" t="s">
        <v>238</v>
      </c>
      <c r="B379" s="38">
        <v>1</v>
      </c>
      <c r="C379" s="38">
        <v>0</v>
      </c>
      <c r="D379" s="35">
        <f t="shared" si="55"/>
        <v>1</v>
      </c>
      <c r="E379" s="56">
        <v>0</v>
      </c>
      <c r="F379" s="56">
        <v>0</v>
      </c>
      <c r="G379" s="36">
        <f t="shared" si="47"/>
        <v>0</v>
      </c>
      <c r="H379" s="56">
        <v>0</v>
      </c>
      <c r="I379" s="56">
        <v>0</v>
      </c>
      <c r="J379" s="36">
        <f t="shared" si="48"/>
        <v>0</v>
      </c>
      <c r="K379" s="36">
        <f t="shared" si="49"/>
        <v>0</v>
      </c>
      <c r="L379" s="36" t="s">
        <v>302</v>
      </c>
      <c r="M379" s="39"/>
      <c r="N379" s="53" t="s">
        <v>227</v>
      </c>
      <c r="O379" s="173" t="s">
        <v>310</v>
      </c>
      <c r="P379" s="173" t="s">
        <v>311</v>
      </c>
      <c r="Q379" s="39" t="s">
        <v>111</v>
      </c>
      <c r="R379" s="95" t="s">
        <v>112</v>
      </c>
    </row>
    <row r="380" spans="1:18" s="32" customFormat="1" ht="15" x14ac:dyDescent="0.25">
      <c r="A380" s="84" t="s">
        <v>230</v>
      </c>
      <c r="B380" s="27">
        <v>12</v>
      </c>
      <c r="C380" s="27">
        <v>49</v>
      </c>
      <c r="D380" s="15">
        <f>SUM(B380:C380)</f>
        <v>61</v>
      </c>
      <c r="E380" s="85">
        <v>0.4</v>
      </c>
      <c r="F380" s="85">
        <v>0.13333333333333333</v>
      </c>
      <c r="G380" s="28">
        <f t="shared" si="47"/>
        <v>0.53333333333333333</v>
      </c>
      <c r="H380" s="85">
        <v>3.0333333333333332</v>
      </c>
      <c r="I380" s="85">
        <v>0</v>
      </c>
      <c r="J380" s="28">
        <f t="shared" si="48"/>
        <v>3.0333333333333332</v>
      </c>
      <c r="K380" s="28">
        <f t="shared" si="49"/>
        <v>3.5666666666666664</v>
      </c>
      <c r="L380" s="28" t="s">
        <v>302</v>
      </c>
      <c r="M380" s="26"/>
      <c r="N380" s="30" t="s">
        <v>227</v>
      </c>
      <c r="O380" s="172" t="s">
        <v>308</v>
      </c>
      <c r="P380" s="172" t="s">
        <v>311</v>
      </c>
      <c r="Q380" s="26" t="s">
        <v>113</v>
      </c>
      <c r="R380" s="96" t="s">
        <v>114</v>
      </c>
    </row>
    <row r="381" spans="1:18" s="32" customFormat="1" ht="15" x14ac:dyDescent="0.25">
      <c r="A381" s="84" t="s">
        <v>231</v>
      </c>
      <c r="B381" s="27">
        <v>3</v>
      </c>
      <c r="C381" s="27">
        <v>25</v>
      </c>
      <c r="D381" s="15">
        <f t="shared" ref="D381:D388" si="56">SUM(B381:C381)</f>
        <v>28</v>
      </c>
      <c r="E381" s="85">
        <v>0.05</v>
      </c>
      <c r="F381" s="85">
        <v>1.6666666666666666E-2</v>
      </c>
      <c r="G381" s="28">
        <f t="shared" si="47"/>
        <v>6.6666666666666666E-2</v>
      </c>
      <c r="H381" s="85">
        <v>2.9666666666666668</v>
      </c>
      <c r="I381" s="85">
        <v>0</v>
      </c>
      <c r="J381" s="28">
        <f t="shared" si="48"/>
        <v>2.9666666666666668</v>
      </c>
      <c r="K381" s="28">
        <f t="shared" si="49"/>
        <v>3.0333333333333337</v>
      </c>
      <c r="L381" s="28" t="s">
        <v>302</v>
      </c>
      <c r="M381" s="26"/>
      <c r="N381" s="30" t="s">
        <v>227</v>
      </c>
      <c r="O381" s="172" t="s">
        <v>308</v>
      </c>
      <c r="P381" s="172" t="s">
        <v>311</v>
      </c>
      <c r="Q381" s="26" t="s">
        <v>113</v>
      </c>
      <c r="R381" s="96" t="s">
        <v>114</v>
      </c>
    </row>
    <row r="382" spans="1:18" s="32" customFormat="1" ht="15" x14ac:dyDescent="0.25">
      <c r="A382" s="84" t="s">
        <v>232</v>
      </c>
      <c r="B382" s="27">
        <v>28</v>
      </c>
      <c r="C382" s="27">
        <v>0</v>
      </c>
      <c r="D382" s="15">
        <f t="shared" si="56"/>
        <v>28</v>
      </c>
      <c r="E382" s="85">
        <v>9.0833333333333339</v>
      </c>
      <c r="F382" s="85">
        <v>7</v>
      </c>
      <c r="G382" s="28">
        <f t="shared" si="47"/>
        <v>16.083333333333336</v>
      </c>
      <c r="H382" s="85">
        <v>0</v>
      </c>
      <c r="I382" s="85">
        <v>0</v>
      </c>
      <c r="J382" s="28">
        <f t="shared" si="48"/>
        <v>0</v>
      </c>
      <c r="K382" s="28">
        <f t="shared" si="49"/>
        <v>16.083333333333336</v>
      </c>
      <c r="L382" s="28" t="s">
        <v>302</v>
      </c>
      <c r="M382" s="26"/>
      <c r="N382" s="30" t="s">
        <v>227</v>
      </c>
      <c r="O382" s="172" t="s">
        <v>308</v>
      </c>
      <c r="P382" s="172" t="s">
        <v>311</v>
      </c>
      <c r="Q382" s="26" t="s">
        <v>113</v>
      </c>
      <c r="R382" s="96" t="s">
        <v>114</v>
      </c>
    </row>
    <row r="383" spans="1:18" s="32" customFormat="1" ht="15" x14ac:dyDescent="0.25">
      <c r="A383" s="84" t="s">
        <v>233</v>
      </c>
      <c r="B383" s="27">
        <v>0</v>
      </c>
      <c r="C383" s="27">
        <v>0</v>
      </c>
      <c r="D383" s="15">
        <f t="shared" si="56"/>
        <v>0</v>
      </c>
      <c r="E383" s="85">
        <v>0</v>
      </c>
      <c r="F383" s="85">
        <v>0</v>
      </c>
      <c r="G383" s="28">
        <f t="shared" si="47"/>
        <v>0</v>
      </c>
      <c r="H383" s="85">
        <v>0</v>
      </c>
      <c r="I383" s="85">
        <v>0</v>
      </c>
      <c r="J383" s="28">
        <f t="shared" si="48"/>
        <v>0</v>
      </c>
      <c r="K383" s="28">
        <f t="shared" si="49"/>
        <v>0</v>
      </c>
      <c r="L383" s="28" t="s">
        <v>302</v>
      </c>
      <c r="M383" s="26"/>
      <c r="N383" s="30" t="s">
        <v>227</v>
      </c>
      <c r="O383" s="172" t="s">
        <v>308</v>
      </c>
      <c r="P383" s="172" t="s">
        <v>311</v>
      </c>
      <c r="Q383" s="26" t="s">
        <v>113</v>
      </c>
      <c r="R383" s="96" t="s">
        <v>114</v>
      </c>
    </row>
    <row r="384" spans="1:18" s="32" customFormat="1" ht="15" x14ac:dyDescent="0.25">
      <c r="A384" s="84" t="s">
        <v>234</v>
      </c>
      <c r="B384" s="27">
        <v>22</v>
      </c>
      <c r="C384" s="27">
        <v>51</v>
      </c>
      <c r="D384" s="15">
        <f t="shared" si="56"/>
        <v>73</v>
      </c>
      <c r="E384" s="85">
        <v>1.8333333333333333</v>
      </c>
      <c r="F384" s="85">
        <v>1.8333333333333333</v>
      </c>
      <c r="G384" s="28">
        <f t="shared" si="47"/>
        <v>3.6666666666666665</v>
      </c>
      <c r="H384" s="85">
        <v>2.6666666666666665</v>
      </c>
      <c r="I384" s="85">
        <v>4.416666666666667</v>
      </c>
      <c r="J384" s="28">
        <f t="shared" si="48"/>
        <v>7.0833333333333339</v>
      </c>
      <c r="K384" s="28">
        <f t="shared" si="49"/>
        <v>10.75</v>
      </c>
      <c r="L384" s="28" t="s">
        <v>302</v>
      </c>
      <c r="M384" s="26"/>
      <c r="N384" s="30" t="s">
        <v>227</v>
      </c>
      <c r="O384" s="172" t="s">
        <v>308</v>
      </c>
      <c r="P384" s="172" t="s">
        <v>311</v>
      </c>
      <c r="Q384" s="26" t="s">
        <v>113</v>
      </c>
      <c r="R384" s="96" t="s">
        <v>114</v>
      </c>
    </row>
    <row r="385" spans="1:18" s="32" customFormat="1" ht="15" x14ac:dyDescent="0.25">
      <c r="A385" s="84" t="s">
        <v>235</v>
      </c>
      <c r="B385" s="27">
        <v>3</v>
      </c>
      <c r="C385" s="27">
        <v>0</v>
      </c>
      <c r="D385" s="15">
        <f t="shared" si="56"/>
        <v>3</v>
      </c>
      <c r="E385" s="85">
        <v>0</v>
      </c>
      <c r="F385" s="85">
        <v>6</v>
      </c>
      <c r="G385" s="28">
        <f t="shared" si="47"/>
        <v>6</v>
      </c>
      <c r="H385" s="85">
        <v>0</v>
      </c>
      <c r="I385" s="85">
        <v>0</v>
      </c>
      <c r="J385" s="28">
        <f t="shared" si="48"/>
        <v>0</v>
      </c>
      <c r="K385" s="28">
        <f t="shared" si="49"/>
        <v>6</v>
      </c>
      <c r="L385" s="28" t="s">
        <v>302</v>
      </c>
      <c r="M385" s="26"/>
      <c r="N385" s="30" t="s">
        <v>227</v>
      </c>
      <c r="O385" s="172" t="s">
        <v>308</v>
      </c>
      <c r="P385" s="172" t="s">
        <v>311</v>
      </c>
      <c r="Q385" s="26" t="s">
        <v>113</v>
      </c>
      <c r="R385" s="96" t="s">
        <v>114</v>
      </c>
    </row>
    <row r="386" spans="1:18" s="32" customFormat="1" ht="15" x14ac:dyDescent="0.25">
      <c r="A386" s="84" t="s">
        <v>236</v>
      </c>
      <c r="B386" s="27">
        <v>30</v>
      </c>
      <c r="C386" s="27">
        <v>19</v>
      </c>
      <c r="D386" s="15">
        <f t="shared" si="56"/>
        <v>49</v>
      </c>
      <c r="E386" s="85">
        <v>17.083333333333332</v>
      </c>
      <c r="F386" s="85">
        <v>31.166666666666668</v>
      </c>
      <c r="G386" s="28">
        <f t="shared" si="47"/>
        <v>48.25</v>
      </c>
      <c r="H386" s="85">
        <v>17.333333333333332</v>
      </c>
      <c r="I386" s="85">
        <v>17.333333333333332</v>
      </c>
      <c r="J386" s="28">
        <f t="shared" si="48"/>
        <v>34.666666666666664</v>
      </c>
      <c r="K386" s="28">
        <f t="shared" si="49"/>
        <v>82.916666666666657</v>
      </c>
      <c r="L386" s="28" t="s">
        <v>302</v>
      </c>
      <c r="M386" s="26"/>
      <c r="N386" s="30" t="s">
        <v>227</v>
      </c>
      <c r="O386" s="172" t="s">
        <v>308</v>
      </c>
      <c r="P386" s="172" t="s">
        <v>311</v>
      </c>
      <c r="Q386" s="26" t="s">
        <v>113</v>
      </c>
      <c r="R386" s="96" t="s">
        <v>114</v>
      </c>
    </row>
    <row r="387" spans="1:18" s="32" customFormat="1" ht="15" x14ac:dyDescent="0.25">
      <c r="A387" s="84" t="s">
        <v>237</v>
      </c>
      <c r="B387" s="27">
        <v>3</v>
      </c>
      <c r="C387" s="27">
        <v>1</v>
      </c>
      <c r="D387" s="15">
        <f t="shared" si="56"/>
        <v>4</v>
      </c>
      <c r="E387" s="85">
        <v>0.05</v>
      </c>
      <c r="F387" s="85">
        <v>1</v>
      </c>
      <c r="G387" s="28">
        <f t="shared" si="47"/>
        <v>1.05</v>
      </c>
      <c r="H387" s="85">
        <v>0.05</v>
      </c>
      <c r="I387" s="85">
        <v>0.16666666666666666</v>
      </c>
      <c r="J387" s="28">
        <f t="shared" si="48"/>
        <v>0.21666666666666667</v>
      </c>
      <c r="K387" s="28">
        <f t="shared" si="49"/>
        <v>1.2666666666666666</v>
      </c>
      <c r="L387" s="28" t="s">
        <v>302</v>
      </c>
      <c r="M387" s="26"/>
      <c r="N387" s="30" t="s">
        <v>227</v>
      </c>
      <c r="O387" s="172" t="s">
        <v>308</v>
      </c>
      <c r="P387" s="172" t="s">
        <v>311</v>
      </c>
      <c r="Q387" s="26" t="s">
        <v>113</v>
      </c>
      <c r="R387" s="96" t="s">
        <v>114</v>
      </c>
    </row>
    <row r="388" spans="1:18" s="32" customFormat="1" ht="15" x14ac:dyDescent="0.25">
      <c r="A388" s="84" t="s">
        <v>238</v>
      </c>
      <c r="B388" s="27">
        <v>0</v>
      </c>
      <c r="C388" s="27">
        <v>0</v>
      </c>
      <c r="D388" s="15">
        <f t="shared" si="56"/>
        <v>0</v>
      </c>
      <c r="E388" s="85">
        <v>0</v>
      </c>
      <c r="F388" s="85">
        <v>0</v>
      </c>
      <c r="G388" s="28">
        <f t="shared" si="47"/>
        <v>0</v>
      </c>
      <c r="H388" s="85">
        <v>0</v>
      </c>
      <c r="I388" s="85">
        <v>0</v>
      </c>
      <c r="J388" s="28">
        <f t="shared" si="48"/>
        <v>0</v>
      </c>
      <c r="K388" s="28">
        <f t="shared" si="49"/>
        <v>0</v>
      </c>
      <c r="L388" s="28" t="s">
        <v>302</v>
      </c>
      <c r="M388" s="26"/>
      <c r="N388" s="30" t="s">
        <v>227</v>
      </c>
      <c r="O388" s="172" t="s">
        <v>308</v>
      </c>
      <c r="P388" s="172" t="s">
        <v>311</v>
      </c>
      <c r="Q388" s="26" t="s">
        <v>113</v>
      </c>
      <c r="R388" s="96" t="s">
        <v>114</v>
      </c>
    </row>
    <row r="389" spans="1:18" s="32" customFormat="1" ht="15" x14ac:dyDescent="0.25">
      <c r="A389" s="84" t="s">
        <v>230</v>
      </c>
      <c r="B389" s="27">
        <v>4</v>
      </c>
      <c r="C389" s="27">
        <v>27</v>
      </c>
      <c r="D389" s="15">
        <f>SUM(B389:C389)</f>
        <v>31</v>
      </c>
      <c r="E389" s="85">
        <v>0.13333333333333333</v>
      </c>
      <c r="F389" s="85">
        <v>4.4444444444444446E-2</v>
      </c>
      <c r="G389" s="28">
        <f t="shared" ref="G389:G452" si="57">E389+F389</f>
        <v>0.17777777777777778</v>
      </c>
      <c r="H389" s="85">
        <v>1.3833333333333333</v>
      </c>
      <c r="I389" s="85">
        <v>0.46111111111111108</v>
      </c>
      <c r="J389" s="28">
        <f t="shared" ref="J389:J452" si="58">H389+I389</f>
        <v>1.8444444444444443</v>
      </c>
      <c r="K389" s="28">
        <f t="shared" ref="K389:K452" si="59">G389+J389</f>
        <v>2.0222222222222221</v>
      </c>
      <c r="L389" s="28" t="s">
        <v>302</v>
      </c>
      <c r="M389" s="26"/>
      <c r="N389" s="30" t="s">
        <v>302</v>
      </c>
      <c r="O389" s="172" t="s">
        <v>21</v>
      </c>
      <c r="P389" s="172" t="s">
        <v>311</v>
      </c>
      <c r="Q389" s="26" t="s">
        <v>117</v>
      </c>
      <c r="R389" s="96" t="s">
        <v>118</v>
      </c>
    </row>
    <row r="390" spans="1:18" s="32" customFormat="1" ht="15" x14ac:dyDescent="0.25">
      <c r="A390" s="84" t="s">
        <v>231</v>
      </c>
      <c r="B390" s="27">
        <v>1</v>
      </c>
      <c r="C390" s="27">
        <v>1</v>
      </c>
      <c r="D390" s="15">
        <f t="shared" ref="D390:D397" si="60">SUM(B390:C390)</f>
        <v>2</v>
      </c>
      <c r="E390" s="85">
        <v>1.6666666666666666E-2</v>
      </c>
      <c r="F390" s="85">
        <v>5.5555555555555558E-3</v>
      </c>
      <c r="G390" s="28">
        <f t="shared" si="57"/>
        <v>2.2222222222222223E-2</v>
      </c>
      <c r="H390" s="85">
        <v>0.05</v>
      </c>
      <c r="I390" s="85">
        <v>1.6666666666666666E-2</v>
      </c>
      <c r="J390" s="28">
        <f t="shared" si="58"/>
        <v>6.6666666666666666E-2</v>
      </c>
      <c r="K390" s="28">
        <f t="shared" si="59"/>
        <v>8.8888888888888892E-2</v>
      </c>
      <c r="L390" s="28" t="s">
        <v>302</v>
      </c>
      <c r="M390" s="26"/>
      <c r="N390" s="30" t="s">
        <v>302</v>
      </c>
      <c r="O390" s="172" t="s">
        <v>21</v>
      </c>
      <c r="P390" s="172" t="s">
        <v>311</v>
      </c>
      <c r="Q390" s="26" t="s">
        <v>117</v>
      </c>
      <c r="R390" s="96" t="s">
        <v>118</v>
      </c>
    </row>
    <row r="391" spans="1:18" s="32" customFormat="1" ht="15" x14ac:dyDescent="0.25">
      <c r="A391" s="84" t="s">
        <v>232</v>
      </c>
      <c r="B391" s="27">
        <v>0</v>
      </c>
      <c r="C391" s="27">
        <v>0</v>
      </c>
      <c r="D391" s="15">
        <f t="shared" si="60"/>
        <v>0</v>
      </c>
      <c r="E391" s="85">
        <v>0</v>
      </c>
      <c r="F391" s="85">
        <v>0</v>
      </c>
      <c r="G391" s="28">
        <f t="shared" si="57"/>
        <v>0</v>
      </c>
      <c r="H391" s="85">
        <v>0</v>
      </c>
      <c r="I391" s="85">
        <v>0</v>
      </c>
      <c r="J391" s="28">
        <f t="shared" si="58"/>
        <v>0</v>
      </c>
      <c r="K391" s="28">
        <f t="shared" si="59"/>
        <v>0</v>
      </c>
      <c r="L391" s="28" t="s">
        <v>302</v>
      </c>
      <c r="M391" s="26"/>
      <c r="N391" s="30" t="s">
        <v>302</v>
      </c>
      <c r="O391" s="172" t="s">
        <v>21</v>
      </c>
      <c r="P391" s="172" t="s">
        <v>311</v>
      </c>
      <c r="Q391" s="26" t="s">
        <v>117</v>
      </c>
      <c r="R391" s="96" t="s">
        <v>118</v>
      </c>
    </row>
    <row r="392" spans="1:18" s="32" customFormat="1" ht="15" x14ac:dyDescent="0.25">
      <c r="A392" s="84" t="s">
        <v>233</v>
      </c>
      <c r="B392" s="27">
        <v>1</v>
      </c>
      <c r="C392" s="27">
        <v>18</v>
      </c>
      <c r="D392" s="15">
        <f t="shared" si="60"/>
        <v>19</v>
      </c>
      <c r="E392" s="85">
        <v>2.5</v>
      </c>
      <c r="F392" s="85">
        <v>1</v>
      </c>
      <c r="G392" s="28">
        <f t="shared" si="57"/>
        <v>3.5</v>
      </c>
      <c r="H392" s="85">
        <v>1.8</v>
      </c>
      <c r="I392" s="85">
        <v>3</v>
      </c>
      <c r="J392" s="28">
        <f t="shared" si="58"/>
        <v>4.8</v>
      </c>
      <c r="K392" s="28">
        <f t="shared" si="59"/>
        <v>8.3000000000000007</v>
      </c>
      <c r="L392" s="28" t="s">
        <v>302</v>
      </c>
      <c r="M392" s="26"/>
      <c r="N392" s="30" t="s">
        <v>302</v>
      </c>
      <c r="O392" s="172" t="s">
        <v>21</v>
      </c>
      <c r="P392" s="172" t="s">
        <v>311</v>
      </c>
      <c r="Q392" s="26" t="s">
        <v>117</v>
      </c>
      <c r="R392" s="96" t="s">
        <v>118</v>
      </c>
    </row>
    <row r="393" spans="1:18" s="32" customFormat="1" ht="15" x14ac:dyDescent="0.25">
      <c r="A393" s="84" t="s">
        <v>234</v>
      </c>
      <c r="B393" s="27">
        <v>0</v>
      </c>
      <c r="C393" s="27">
        <v>0</v>
      </c>
      <c r="D393" s="15">
        <f t="shared" si="60"/>
        <v>0</v>
      </c>
      <c r="E393" s="85">
        <v>0</v>
      </c>
      <c r="F393" s="85">
        <v>0</v>
      </c>
      <c r="G393" s="28">
        <f t="shared" si="57"/>
        <v>0</v>
      </c>
      <c r="H393" s="85">
        <v>0</v>
      </c>
      <c r="I393" s="85">
        <v>0</v>
      </c>
      <c r="J393" s="28">
        <f t="shared" si="58"/>
        <v>0</v>
      </c>
      <c r="K393" s="28">
        <f t="shared" si="59"/>
        <v>0</v>
      </c>
      <c r="L393" s="28" t="s">
        <v>302</v>
      </c>
      <c r="M393" s="26"/>
      <c r="N393" s="30" t="s">
        <v>302</v>
      </c>
      <c r="O393" s="172" t="s">
        <v>21</v>
      </c>
      <c r="P393" s="172" t="s">
        <v>311</v>
      </c>
      <c r="Q393" s="26" t="s">
        <v>117</v>
      </c>
      <c r="R393" s="96" t="s">
        <v>118</v>
      </c>
    </row>
    <row r="394" spans="1:18" s="32" customFormat="1" ht="15" x14ac:dyDescent="0.25">
      <c r="A394" s="84" t="s">
        <v>235</v>
      </c>
      <c r="B394" s="27">
        <v>1</v>
      </c>
      <c r="C394" s="27">
        <v>0</v>
      </c>
      <c r="D394" s="15">
        <f t="shared" si="60"/>
        <v>1</v>
      </c>
      <c r="E394" s="85">
        <v>0.16666666666666666</v>
      </c>
      <c r="F394" s="85">
        <v>2</v>
      </c>
      <c r="G394" s="28">
        <f t="shared" si="57"/>
        <v>2.1666666666666665</v>
      </c>
      <c r="H394" s="85">
        <v>0</v>
      </c>
      <c r="I394" s="85">
        <v>0</v>
      </c>
      <c r="J394" s="28">
        <f t="shared" si="58"/>
        <v>0</v>
      </c>
      <c r="K394" s="28">
        <f t="shared" si="59"/>
        <v>2.1666666666666665</v>
      </c>
      <c r="L394" s="28" t="s">
        <v>302</v>
      </c>
      <c r="M394" s="26"/>
      <c r="N394" s="30" t="s">
        <v>302</v>
      </c>
      <c r="O394" s="172" t="s">
        <v>21</v>
      </c>
      <c r="P394" s="172" t="s">
        <v>311</v>
      </c>
      <c r="Q394" s="26" t="s">
        <v>117</v>
      </c>
      <c r="R394" s="96" t="s">
        <v>118</v>
      </c>
    </row>
    <row r="395" spans="1:18" s="32" customFormat="1" ht="15" x14ac:dyDescent="0.25">
      <c r="A395" s="84" t="s">
        <v>236</v>
      </c>
      <c r="B395" s="27">
        <v>12</v>
      </c>
      <c r="C395" s="27">
        <v>8</v>
      </c>
      <c r="D395" s="15">
        <f t="shared" si="60"/>
        <v>20</v>
      </c>
      <c r="E395" s="85">
        <v>70.666666666666671</v>
      </c>
      <c r="F395" s="85">
        <v>26.833333333333332</v>
      </c>
      <c r="G395" s="28">
        <f t="shared" si="57"/>
        <v>97.5</v>
      </c>
      <c r="H395" s="85">
        <v>3.1666666666666665</v>
      </c>
      <c r="I395" s="85">
        <v>3.1666666666666665</v>
      </c>
      <c r="J395" s="28">
        <f t="shared" si="58"/>
        <v>6.333333333333333</v>
      </c>
      <c r="K395" s="28">
        <f t="shared" si="59"/>
        <v>103.83333333333333</v>
      </c>
      <c r="L395" s="28" t="s">
        <v>302</v>
      </c>
      <c r="M395" s="26"/>
      <c r="N395" s="30" t="s">
        <v>302</v>
      </c>
      <c r="O395" s="172" t="s">
        <v>21</v>
      </c>
      <c r="P395" s="172" t="s">
        <v>311</v>
      </c>
      <c r="Q395" s="26" t="s">
        <v>117</v>
      </c>
      <c r="R395" s="96" t="s">
        <v>118</v>
      </c>
    </row>
    <row r="396" spans="1:18" s="32" customFormat="1" ht="15" x14ac:dyDescent="0.25">
      <c r="A396" s="84" t="s">
        <v>237</v>
      </c>
      <c r="B396" s="27">
        <v>0</v>
      </c>
      <c r="C396" s="27">
        <v>0</v>
      </c>
      <c r="D396" s="15">
        <f t="shared" si="60"/>
        <v>0</v>
      </c>
      <c r="E396" s="85">
        <v>0</v>
      </c>
      <c r="F396" s="85">
        <v>0</v>
      </c>
      <c r="G396" s="28">
        <f t="shared" si="57"/>
        <v>0</v>
      </c>
      <c r="H396" s="85">
        <v>0</v>
      </c>
      <c r="I396" s="85">
        <v>0</v>
      </c>
      <c r="J396" s="28">
        <f t="shared" si="58"/>
        <v>0</v>
      </c>
      <c r="K396" s="28">
        <f t="shared" si="59"/>
        <v>0</v>
      </c>
      <c r="L396" s="28" t="s">
        <v>302</v>
      </c>
      <c r="M396" s="26"/>
      <c r="N396" s="30" t="s">
        <v>302</v>
      </c>
      <c r="O396" s="172" t="s">
        <v>21</v>
      </c>
      <c r="P396" s="172" t="s">
        <v>311</v>
      </c>
      <c r="Q396" s="26" t="s">
        <v>117</v>
      </c>
      <c r="R396" s="96" t="s">
        <v>118</v>
      </c>
    </row>
    <row r="397" spans="1:18" s="32" customFormat="1" ht="15" x14ac:dyDescent="0.25">
      <c r="A397" s="84" t="s">
        <v>238</v>
      </c>
      <c r="B397" s="27">
        <v>0</v>
      </c>
      <c r="C397" s="27">
        <v>0</v>
      </c>
      <c r="D397" s="15">
        <f t="shared" si="60"/>
        <v>0</v>
      </c>
      <c r="E397" s="85">
        <v>0</v>
      </c>
      <c r="F397" s="85">
        <v>0</v>
      </c>
      <c r="G397" s="28">
        <f t="shared" si="57"/>
        <v>0</v>
      </c>
      <c r="H397" s="85">
        <v>0</v>
      </c>
      <c r="I397" s="85">
        <v>0</v>
      </c>
      <c r="J397" s="28">
        <f t="shared" si="58"/>
        <v>0</v>
      </c>
      <c r="K397" s="28">
        <f t="shared" si="59"/>
        <v>0</v>
      </c>
      <c r="L397" s="28" t="s">
        <v>302</v>
      </c>
      <c r="M397" s="26"/>
      <c r="N397" s="30" t="s">
        <v>302</v>
      </c>
      <c r="O397" s="172" t="s">
        <v>21</v>
      </c>
      <c r="P397" s="172" t="s">
        <v>311</v>
      </c>
      <c r="Q397" s="26" t="s">
        <v>117</v>
      </c>
      <c r="R397" s="96" t="s">
        <v>118</v>
      </c>
    </row>
    <row r="398" spans="1:18" s="40" customFormat="1" ht="15" x14ac:dyDescent="0.25">
      <c r="A398" s="55" t="s">
        <v>230</v>
      </c>
      <c r="B398" s="38">
        <v>15</v>
      </c>
      <c r="C398" s="38">
        <v>27</v>
      </c>
      <c r="D398" s="35">
        <f>SUM(B398:C398)</f>
        <v>42</v>
      </c>
      <c r="E398" s="56">
        <v>0.5</v>
      </c>
      <c r="F398" s="56">
        <v>0.16666666666666666</v>
      </c>
      <c r="G398" s="36">
        <f t="shared" si="57"/>
        <v>0.66666666666666663</v>
      </c>
      <c r="H398" s="56">
        <v>1.3833333333333333</v>
      </c>
      <c r="I398" s="56">
        <v>0.46111111111111108</v>
      </c>
      <c r="J398" s="36">
        <f t="shared" si="58"/>
        <v>1.8444444444444443</v>
      </c>
      <c r="K398" s="36">
        <f t="shared" si="59"/>
        <v>2.5111111111111111</v>
      </c>
      <c r="L398" s="36" t="s">
        <v>302</v>
      </c>
      <c r="M398" s="39" t="s">
        <v>119</v>
      </c>
      <c r="N398" s="53" t="s">
        <v>302</v>
      </c>
      <c r="O398" s="173" t="s">
        <v>21</v>
      </c>
      <c r="P398" s="173" t="s">
        <v>311</v>
      </c>
      <c r="Q398" s="39" t="s">
        <v>117</v>
      </c>
      <c r="R398" s="95" t="s">
        <v>118</v>
      </c>
    </row>
    <row r="399" spans="1:18" s="40" customFormat="1" ht="15" x14ac:dyDescent="0.25">
      <c r="A399" s="55" t="s">
        <v>231</v>
      </c>
      <c r="B399" s="38">
        <v>12</v>
      </c>
      <c r="C399" s="38">
        <v>4</v>
      </c>
      <c r="D399" s="35">
        <f t="shared" ref="D399:D406" si="61">SUM(B399:C399)</f>
        <v>16</v>
      </c>
      <c r="E399" s="56">
        <v>0.2</v>
      </c>
      <c r="F399" s="56">
        <v>6.6666666666666666E-2</v>
      </c>
      <c r="G399" s="36">
        <f t="shared" si="57"/>
        <v>0.26666666666666666</v>
      </c>
      <c r="H399" s="56">
        <v>0.35</v>
      </c>
      <c r="I399" s="56">
        <v>0.11666666666666665</v>
      </c>
      <c r="J399" s="36">
        <f t="shared" si="58"/>
        <v>0.46666666666666662</v>
      </c>
      <c r="K399" s="36">
        <f t="shared" si="59"/>
        <v>0.73333333333333328</v>
      </c>
      <c r="L399" s="36" t="s">
        <v>302</v>
      </c>
      <c r="M399" s="39" t="s">
        <v>119</v>
      </c>
      <c r="N399" s="53" t="s">
        <v>302</v>
      </c>
      <c r="O399" s="173" t="s">
        <v>21</v>
      </c>
      <c r="P399" s="173" t="s">
        <v>311</v>
      </c>
      <c r="Q399" s="39" t="s">
        <v>117</v>
      </c>
      <c r="R399" s="95" t="s">
        <v>118</v>
      </c>
    </row>
    <row r="400" spans="1:18" s="40" customFormat="1" ht="15" x14ac:dyDescent="0.25">
      <c r="A400" s="55" t="s">
        <v>232</v>
      </c>
      <c r="B400" s="38">
        <v>12</v>
      </c>
      <c r="C400" s="38">
        <v>0</v>
      </c>
      <c r="D400" s="35">
        <f t="shared" si="61"/>
        <v>12</v>
      </c>
      <c r="E400" s="56">
        <v>7.583333333333333</v>
      </c>
      <c r="F400" s="56">
        <v>4</v>
      </c>
      <c r="G400" s="36">
        <f t="shared" si="57"/>
        <v>11.583333333333332</v>
      </c>
      <c r="H400" s="56">
        <v>0</v>
      </c>
      <c r="I400" s="56">
        <v>0</v>
      </c>
      <c r="J400" s="36">
        <f t="shared" si="58"/>
        <v>0</v>
      </c>
      <c r="K400" s="36">
        <f t="shared" si="59"/>
        <v>11.583333333333332</v>
      </c>
      <c r="L400" s="36" t="s">
        <v>302</v>
      </c>
      <c r="M400" s="39" t="s">
        <v>119</v>
      </c>
      <c r="N400" s="53" t="s">
        <v>302</v>
      </c>
      <c r="O400" s="173" t="s">
        <v>21</v>
      </c>
      <c r="P400" s="173" t="s">
        <v>311</v>
      </c>
      <c r="Q400" s="39" t="s">
        <v>117</v>
      </c>
      <c r="R400" s="95" t="s">
        <v>118</v>
      </c>
    </row>
    <row r="401" spans="1:18" s="40" customFormat="1" ht="15" x14ac:dyDescent="0.25">
      <c r="A401" s="55" t="s">
        <v>233</v>
      </c>
      <c r="B401" s="38">
        <v>20</v>
      </c>
      <c r="C401" s="38">
        <v>24</v>
      </c>
      <c r="D401" s="35">
        <f t="shared" si="61"/>
        <v>44</v>
      </c>
      <c r="E401" s="56">
        <v>10.666666666666666</v>
      </c>
      <c r="F401" s="56">
        <v>5</v>
      </c>
      <c r="G401" s="36">
        <f t="shared" si="57"/>
        <v>15.666666666666666</v>
      </c>
      <c r="H401" s="56">
        <v>2.4</v>
      </c>
      <c r="I401" s="56">
        <v>4</v>
      </c>
      <c r="J401" s="36">
        <f t="shared" si="58"/>
        <v>6.4</v>
      </c>
      <c r="K401" s="36">
        <f t="shared" si="59"/>
        <v>22.066666666666666</v>
      </c>
      <c r="L401" s="36" t="s">
        <v>302</v>
      </c>
      <c r="M401" s="39" t="s">
        <v>119</v>
      </c>
      <c r="N401" s="53" t="s">
        <v>302</v>
      </c>
      <c r="O401" s="173" t="s">
        <v>21</v>
      </c>
      <c r="P401" s="173" t="s">
        <v>311</v>
      </c>
      <c r="Q401" s="39" t="s">
        <v>117</v>
      </c>
      <c r="R401" s="95" t="s">
        <v>118</v>
      </c>
    </row>
    <row r="402" spans="1:18" s="40" customFormat="1" ht="15" x14ac:dyDescent="0.25">
      <c r="A402" s="55" t="s">
        <v>234</v>
      </c>
      <c r="B402" s="38">
        <v>0</v>
      </c>
      <c r="C402" s="38">
        <v>0</v>
      </c>
      <c r="D402" s="35">
        <f t="shared" si="61"/>
        <v>0</v>
      </c>
      <c r="E402" s="56">
        <v>0</v>
      </c>
      <c r="F402" s="56">
        <v>0</v>
      </c>
      <c r="G402" s="36">
        <f t="shared" si="57"/>
        <v>0</v>
      </c>
      <c r="H402" s="56">
        <v>0</v>
      </c>
      <c r="I402" s="56">
        <v>0</v>
      </c>
      <c r="J402" s="36">
        <f t="shared" si="58"/>
        <v>0</v>
      </c>
      <c r="K402" s="36">
        <f t="shared" si="59"/>
        <v>0</v>
      </c>
      <c r="L402" s="36" t="s">
        <v>302</v>
      </c>
      <c r="M402" s="39" t="s">
        <v>119</v>
      </c>
      <c r="N402" s="53" t="s">
        <v>302</v>
      </c>
      <c r="O402" s="173" t="s">
        <v>21</v>
      </c>
      <c r="P402" s="173" t="s">
        <v>311</v>
      </c>
      <c r="Q402" s="39" t="s">
        <v>117</v>
      </c>
      <c r="R402" s="95" t="s">
        <v>118</v>
      </c>
    </row>
    <row r="403" spans="1:18" s="40" customFormat="1" ht="15" x14ac:dyDescent="0.25">
      <c r="A403" s="55" t="s">
        <v>235</v>
      </c>
      <c r="B403" s="38">
        <v>2</v>
      </c>
      <c r="C403" s="38">
        <v>0</v>
      </c>
      <c r="D403" s="35">
        <f t="shared" si="61"/>
        <v>2</v>
      </c>
      <c r="E403" s="56">
        <v>0.33333333333333331</v>
      </c>
      <c r="F403" s="56">
        <v>4</v>
      </c>
      <c r="G403" s="36">
        <f t="shared" si="57"/>
        <v>4.333333333333333</v>
      </c>
      <c r="H403" s="56">
        <v>0</v>
      </c>
      <c r="I403" s="56">
        <v>0</v>
      </c>
      <c r="J403" s="36">
        <f t="shared" si="58"/>
        <v>0</v>
      </c>
      <c r="K403" s="36">
        <f t="shared" si="59"/>
        <v>4.333333333333333</v>
      </c>
      <c r="L403" s="36" t="s">
        <v>302</v>
      </c>
      <c r="M403" s="39" t="s">
        <v>119</v>
      </c>
      <c r="N403" s="53" t="s">
        <v>302</v>
      </c>
      <c r="O403" s="173" t="s">
        <v>21</v>
      </c>
      <c r="P403" s="173" t="s">
        <v>311</v>
      </c>
      <c r="Q403" s="39" t="s">
        <v>117</v>
      </c>
      <c r="R403" s="95" t="s">
        <v>118</v>
      </c>
    </row>
    <row r="404" spans="1:18" s="40" customFormat="1" ht="15" x14ac:dyDescent="0.25">
      <c r="A404" s="55" t="s">
        <v>236</v>
      </c>
      <c r="B404" s="38">
        <v>24</v>
      </c>
      <c r="C404" s="38">
        <v>8</v>
      </c>
      <c r="D404" s="35">
        <f t="shared" si="61"/>
        <v>32</v>
      </c>
      <c r="E404" s="56">
        <v>78</v>
      </c>
      <c r="F404" s="56">
        <v>31</v>
      </c>
      <c r="G404" s="36">
        <f t="shared" si="57"/>
        <v>109</v>
      </c>
      <c r="H404" s="56">
        <v>3.1666666666666665</v>
      </c>
      <c r="I404" s="56">
        <v>3.1666666666666665</v>
      </c>
      <c r="J404" s="36">
        <f t="shared" si="58"/>
        <v>6.333333333333333</v>
      </c>
      <c r="K404" s="36">
        <f t="shared" si="59"/>
        <v>115.33333333333333</v>
      </c>
      <c r="L404" s="36" t="s">
        <v>302</v>
      </c>
      <c r="M404" s="39" t="s">
        <v>119</v>
      </c>
      <c r="N404" s="53" t="s">
        <v>302</v>
      </c>
      <c r="O404" s="173" t="s">
        <v>21</v>
      </c>
      <c r="P404" s="173" t="s">
        <v>311</v>
      </c>
      <c r="Q404" s="39" t="s">
        <v>117</v>
      </c>
      <c r="R404" s="95" t="s">
        <v>118</v>
      </c>
    </row>
    <row r="405" spans="1:18" s="40" customFormat="1" ht="15" x14ac:dyDescent="0.25">
      <c r="A405" s="55" t="s">
        <v>237</v>
      </c>
      <c r="B405" s="38">
        <v>0</v>
      </c>
      <c r="C405" s="38">
        <v>0</v>
      </c>
      <c r="D405" s="35">
        <f t="shared" si="61"/>
        <v>0</v>
      </c>
      <c r="E405" s="56">
        <v>0</v>
      </c>
      <c r="F405" s="56">
        <v>0</v>
      </c>
      <c r="G405" s="36">
        <f t="shared" si="57"/>
        <v>0</v>
      </c>
      <c r="H405" s="56">
        <v>0</v>
      </c>
      <c r="I405" s="56">
        <v>0</v>
      </c>
      <c r="J405" s="36">
        <f t="shared" si="58"/>
        <v>0</v>
      </c>
      <c r="K405" s="36">
        <f t="shared" si="59"/>
        <v>0</v>
      </c>
      <c r="L405" s="36" t="s">
        <v>302</v>
      </c>
      <c r="M405" s="39" t="s">
        <v>119</v>
      </c>
      <c r="N405" s="53" t="s">
        <v>302</v>
      </c>
      <c r="O405" s="173" t="s">
        <v>21</v>
      </c>
      <c r="P405" s="173" t="s">
        <v>311</v>
      </c>
      <c r="Q405" s="39" t="s">
        <v>117</v>
      </c>
      <c r="R405" s="95" t="s">
        <v>118</v>
      </c>
    </row>
    <row r="406" spans="1:18" s="40" customFormat="1" ht="15" x14ac:dyDescent="0.25">
      <c r="A406" s="55" t="s">
        <v>238</v>
      </c>
      <c r="B406" s="38">
        <v>0</v>
      </c>
      <c r="C406" s="38">
        <v>0</v>
      </c>
      <c r="D406" s="35">
        <f t="shared" si="61"/>
        <v>0</v>
      </c>
      <c r="E406" s="56">
        <v>0</v>
      </c>
      <c r="F406" s="56">
        <v>0</v>
      </c>
      <c r="G406" s="36">
        <f t="shared" si="57"/>
        <v>0</v>
      </c>
      <c r="H406" s="56">
        <v>0</v>
      </c>
      <c r="I406" s="56">
        <v>0</v>
      </c>
      <c r="J406" s="36">
        <f t="shared" si="58"/>
        <v>0</v>
      </c>
      <c r="K406" s="36">
        <f t="shared" si="59"/>
        <v>0</v>
      </c>
      <c r="L406" s="36" t="s">
        <v>302</v>
      </c>
      <c r="M406" s="39" t="s">
        <v>119</v>
      </c>
      <c r="N406" s="53" t="s">
        <v>302</v>
      </c>
      <c r="O406" s="173" t="s">
        <v>21</v>
      </c>
      <c r="P406" s="173" t="s">
        <v>311</v>
      </c>
      <c r="Q406" s="39" t="s">
        <v>117</v>
      </c>
      <c r="R406" s="95" t="s">
        <v>118</v>
      </c>
    </row>
    <row r="407" spans="1:18" s="32" customFormat="1" ht="15" x14ac:dyDescent="0.25">
      <c r="A407" s="84" t="s">
        <v>230</v>
      </c>
      <c r="B407" s="27">
        <v>9</v>
      </c>
      <c r="C407" s="27">
        <v>29</v>
      </c>
      <c r="D407" s="15">
        <f>SUM(B407:C407)</f>
        <v>38</v>
      </c>
      <c r="E407" s="85">
        <v>0.3</v>
      </c>
      <c r="F407" s="85">
        <v>9.9999999999999992E-2</v>
      </c>
      <c r="G407" s="28">
        <f t="shared" si="57"/>
        <v>0.39999999999999997</v>
      </c>
      <c r="H407" s="85">
        <v>1.4833333333333334</v>
      </c>
      <c r="I407" s="85">
        <v>0.49444444444444446</v>
      </c>
      <c r="J407" s="28">
        <f t="shared" si="58"/>
        <v>1.9777777777777779</v>
      </c>
      <c r="K407" s="28">
        <f t="shared" si="59"/>
        <v>2.3777777777777778</v>
      </c>
      <c r="L407" s="28" t="s">
        <v>302</v>
      </c>
      <c r="M407" s="26"/>
      <c r="N407" s="30" t="s">
        <v>227</v>
      </c>
      <c r="O407" s="172">
        <v>7</v>
      </c>
      <c r="P407" s="172" t="s">
        <v>311</v>
      </c>
      <c r="Q407" s="26" t="s">
        <v>127</v>
      </c>
      <c r="R407" s="96" t="s">
        <v>126</v>
      </c>
    </row>
    <row r="408" spans="1:18" s="32" customFormat="1" ht="15" x14ac:dyDescent="0.25">
      <c r="A408" s="84" t="s">
        <v>231</v>
      </c>
      <c r="B408" s="27">
        <v>4</v>
      </c>
      <c r="C408" s="27">
        <v>7</v>
      </c>
      <c r="D408" s="15">
        <f t="shared" ref="D408:D415" si="62">SUM(B408:C408)</f>
        <v>11</v>
      </c>
      <c r="E408" s="85">
        <v>6.6666666666666666E-2</v>
      </c>
      <c r="F408" s="85">
        <v>2.2222222222222223E-2</v>
      </c>
      <c r="G408" s="28">
        <f t="shared" si="57"/>
        <v>8.8888888888888892E-2</v>
      </c>
      <c r="H408" s="85">
        <v>0.41666666666666669</v>
      </c>
      <c r="I408" s="85">
        <v>0.1388888888888889</v>
      </c>
      <c r="J408" s="28">
        <f t="shared" si="58"/>
        <v>0.55555555555555558</v>
      </c>
      <c r="K408" s="28">
        <f t="shared" si="59"/>
        <v>0.64444444444444449</v>
      </c>
      <c r="L408" s="28" t="s">
        <v>302</v>
      </c>
      <c r="M408" s="26"/>
      <c r="N408" s="30" t="s">
        <v>227</v>
      </c>
      <c r="O408" s="172">
        <v>7</v>
      </c>
      <c r="P408" s="172" t="s">
        <v>311</v>
      </c>
      <c r="Q408" s="26" t="s">
        <v>127</v>
      </c>
      <c r="R408" s="96" t="s">
        <v>126</v>
      </c>
    </row>
    <row r="409" spans="1:18" s="32" customFormat="1" ht="15" x14ac:dyDescent="0.25">
      <c r="A409" s="84" t="s">
        <v>232</v>
      </c>
      <c r="B409" s="27">
        <v>0</v>
      </c>
      <c r="C409" s="27">
        <v>0</v>
      </c>
      <c r="D409" s="15">
        <f t="shared" si="62"/>
        <v>0</v>
      </c>
      <c r="E409" s="85">
        <v>0</v>
      </c>
      <c r="F409" s="85">
        <v>0</v>
      </c>
      <c r="G409" s="28">
        <f t="shared" si="57"/>
        <v>0</v>
      </c>
      <c r="H409" s="85">
        <v>0</v>
      </c>
      <c r="I409" s="85">
        <v>0</v>
      </c>
      <c r="J409" s="28">
        <f t="shared" si="58"/>
        <v>0</v>
      </c>
      <c r="K409" s="28">
        <f t="shared" si="59"/>
        <v>0</v>
      </c>
      <c r="L409" s="28" t="s">
        <v>302</v>
      </c>
      <c r="M409" s="26"/>
      <c r="N409" s="30" t="s">
        <v>227</v>
      </c>
      <c r="O409" s="172">
        <v>7</v>
      </c>
      <c r="P409" s="172" t="s">
        <v>311</v>
      </c>
      <c r="Q409" s="26" t="s">
        <v>127</v>
      </c>
      <c r="R409" s="96" t="s">
        <v>126</v>
      </c>
    </row>
    <row r="410" spans="1:18" s="32" customFormat="1" ht="15" x14ac:dyDescent="0.25">
      <c r="A410" s="84" t="s">
        <v>233</v>
      </c>
      <c r="B410" s="27">
        <v>0</v>
      </c>
      <c r="C410" s="27">
        <v>0</v>
      </c>
      <c r="D410" s="15">
        <f t="shared" si="62"/>
        <v>0</v>
      </c>
      <c r="E410" s="85">
        <v>0</v>
      </c>
      <c r="F410" s="85">
        <v>0</v>
      </c>
      <c r="G410" s="28">
        <f t="shared" si="57"/>
        <v>0</v>
      </c>
      <c r="H410" s="85">
        <v>0</v>
      </c>
      <c r="I410" s="85">
        <v>0</v>
      </c>
      <c r="J410" s="28">
        <f t="shared" si="58"/>
        <v>0</v>
      </c>
      <c r="K410" s="28">
        <f t="shared" si="59"/>
        <v>0</v>
      </c>
      <c r="L410" s="28" t="s">
        <v>302</v>
      </c>
      <c r="M410" s="26"/>
      <c r="N410" s="30" t="s">
        <v>227</v>
      </c>
      <c r="O410" s="172">
        <v>7</v>
      </c>
      <c r="P410" s="172" t="s">
        <v>311</v>
      </c>
      <c r="Q410" s="26" t="s">
        <v>127</v>
      </c>
      <c r="R410" s="96" t="s">
        <v>126</v>
      </c>
    </row>
    <row r="411" spans="1:18" s="32" customFormat="1" ht="15" x14ac:dyDescent="0.25">
      <c r="A411" s="84" t="s">
        <v>234</v>
      </c>
      <c r="B411" s="27">
        <v>12</v>
      </c>
      <c r="C411" s="27">
        <v>33</v>
      </c>
      <c r="D411" s="15">
        <f t="shared" si="62"/>
        <v>45</v>
      </c>
      <c r="E411" s="85">
        <v>1</v>
      </c>
      <c r="F411" s="85">
        <v>1</v>
      </c>
      <c r="G411" s="28">
        <f t="shared" si="57"/>
        <v>2</v>
      </c>
      <c r="H411" s="85">
        <v>1.6833333333333333</v>
      </c>
      <c r="I411" s="85">
        <v>2.8333333333333335</v>
      </c>
      <c r="J411" s="28">
        <f t="shared" si="58"/>
        <v>4.5166666666666666</v>
      </c>
      <c r="K411" s="28">
        <f t="shared" si="59"/>
        <v>6.5166666666666666</v>
      </c>
      <c r="L411" s="28" t="s">
        <v>302</v>
      </c>
      <c r="M411" s="26"/>
      <c r="N411" s="30" t="s">
        <v>227</v>
      </c>
      <c r="O411" s="172">
        <v>7</v>
      </c>
      <c r="P411" s="172" t="s">
        <v>311</v>
      </c>
      <c r="Q411" s="26" t="s">
        <v>127</v>
      </c>
      <c r="R411" s="96" t="s">
        <v>126</v>
      </c>
    </row>
    <row r="412" spans="1:18" s="32" customFormat="1" ht="15" x14ac:dyDescent="0.25">
      <c r="A412" s="84" t="s">
        <v>235</v>
      </c>
      <c r="B412" s="27">
        <v>1</v>
      </c>
      <c r="C412" s="27">
        <v>0</v>
      </c>
      <c r="D412" s="15">
        <f t="shared" si="62"/>
        <v>1</v>
      </c>
      <c r="E412" s="85">
        <v>0.16666666666666666</v>
      </c>
      <c r="F412" s="85">
        <v>2</v>
      </c>
      <c r="G412" s="28">
        <f t="shared" si="57"/>
        <v>2.1666666666666665</v>
      </c>
      <c r="H412" s="85">
        <v>0</v>
      </c>
      <c r="I412" s="85">
        <v>0</v>
      </c>
      <c r="J412" s="28">
        <f t="shared" si="58"/>
        <v>0</v>
      </c>
      <c r="K412" s="28">
        <f t="shared" si="59"/>
        <v>2.1666666666666665</v>
      </c>
      <c r="L412" s="28" t="s">
        <v>302</v>
      </c>
      <c r="M412" s="26"/>
      <c r="N412" s="30" t="s">
        <v>227</v>
      </c>
      <c r="O412" s="172">
        <v>7</v>
      </c>
      <c r="P412" s="172" t="s">
        <v>311</v>
      </c>
      <c r="Q412" s="26" t="s">
        <v>127</v>
      </c>
      <c r="R412" s="96" t="s">
        <v>126</v>
      </c>
    </row>
    <row r="413" spans="1:18" s="32" customFormat="1" ht="15" x14ac:dyDescent="0.25">
      <c r="A413" s="84" t="s">
        <v>236</v>
      </c>
      <c r="B413" s="27">
        <v>11</v>
      </c>
      <c r="C413" s="27">
        <v>8</v>
      </c>
      <c r="D413" s="15">
        <f t="shared" si="62"/>
        <v>19</v>
      </c>
      <c r="E413" s="85">
        <v>0</v>
      </c>
      <c r="F413" s="85">
        <v>1.8333333333333333</v>
      </c>
      <c r="G413" s="28">
        <f t="shared" si="57"/>
        <v>1.8333333333333333</v>
      </c>
      <c r="H413" s="85">
        <v>8</v>
      </c>
      <c r="I413" s="85">
        <v>8</v>
      </c>
      <c r="J413" s="28">
        <f t="shared" si="58"/>
        <v>16</v>
      </c>
      <c r="K413" s="28">
        <f t="shared" si="59"/>
        <v>17.833333333333332</v>
      </c>
      <c r="L413" s="28" t="s">
        <v>302</v>
      </c>
      <c r="M413" s="26"/>
      <c r="N413" s="30" t="s">
        <v>227</v>
      </c>
      <c r="O413" s="172">
        <v>7</v>
      </c>
      <c r="P413" s="172" t="s">
        <v>311</v>
      </c>
      <c r="Q413" s="26" t="s">
        <v>127</v>
      </c>
      <c r="R413" s="96" t="s">
        <v>126</v>
      </c>
    </row>
    <row r="414" spans="1:18" s="32" customFormat="1" ht="15" x14ac:dyDescent="0.25">
      <c r="A414" s="84" t="s">
        <v>237</v>
      </c>
      <c r="B414" s="27">
        <v>1</v>
      </c>
      <c r="C414" s="27">
        <v>0</v>
      </c>
      <c r="D414" s="15">
        <f t="shared" si="62"/>
        <v>1</v>
      </c>
      <c r="E414" s="85">
        <v>1.6666666666666666E-2</v>
      </c>
      <c r="F414" s="85">
        <v>0.33333333333333331</v>
      </c>
      <c r="G414" s="28">
        <f t="shared" si="57"/>
        <v>0.35</v>
      </c>
      <c r="H414" s="85">
        <v>0</v>
      </c>
      <c r="I414" s="85">
        <v>0</v>
      </c>
      <c r="J414" s="28">
        <f t="shared" si="58"/>
        <v>0</v>
      </c>
      <c r="K414" s="28">
        <f t="shared" si="59"/>
        <v>0.35</v>
      </c>
      <c r="L414" s="28" t="s">
        <v>302</v>
      </c>
      <c r="M414" s="26"/>
      <c r="N414" s="30" t="s">
        <v>227</v>
      </c>
      <c r="O414" s="172">
        <v>7</v>
      </c>
      <c r="P414" s="172" t="s">
        <v>311</v>
      </c>
      <c r="Q414" s="26" t="s">
        <v>127</v>
      </c>
      <c r="R414" s="96" t="s">
        <v>126</v>
      </c>
    </row>
    <row r="415" spans="1:18" s="32" customFormat="1" ht="15" x14ac:dyDescent="0.25">
      <c r="A415" s="84" t="s">
        <v>238</v>
      </c>
      <c r="B415" s="27">
        <v>0</v>
      </c>
      <c r="C415" s="27">
        <v>0</v>
      </c>
      <c r="D415" s="15">
        <f t="shared" si="62"/>
        <v>0</v>
      </c>
      <c r="E415" s="85">
        <v>0</v>
      </c>
      <c r="F415" s="85">
        <v>0</v>
      </c>
      <c r="G415" s="28">
        <f t="shared" si="57"/>
        <v>0</v>
      </c>
      <c r="H415" s="85">
        <v>0</v>
      </c>
      <c r="I415" s="85">
        <v>0</v>
      </c>
      <c r="J415" s="28">
        <f t="shared" si="58"/>
        <v>0</v>
      </c>
      <c r="K415" s="28">
        <f t="shared" si="59"/>
        <v>0</v>
      </c>
      <c r="L415" s="28" t="s">
        <v>302</v>
      </c>
      <c r="M415" s="26"/>
      <c r="N415" s="30" t="s">
        <v>227</v>
      </c>
      <c r="O415" s="172">
        <v>7</v>
      </c>
      <c r="P415" s="172" t="s">
        <v>311</v>
      </c>
      <c r="Q415" s="26" t="s">
        <v>127</v>
      </c>
      <c r="R415" s="96" t="s">
        <v>126</v>
      </c>
    </row>
    <row r="416" spans="1:18" s="40" customFormat="1" ht="15" x14ac:dyDescent="0.25">
      <c r="A416" s="55" t="s">
        <v>230</v>
      </c>
      <c r="B416" s="38">
        <v>31</v>
      </c>
      <c r="C416" s="38">
        <v>134</v>
      </c>
      <c r="D416" s="35">
        <f>SUM(B416:C416)</f>
        <v>165</v>
      </c>
      <c r="E416" s="56">
        <v>1.0333333333333334</v>
      </c>
      <c r="F416" s="56">
        <v>0.3444444444444445</v>
      </c>
      <c r="G416" s="36">
        <f t="shared" si="57"/>
        <v>1.377777777777778</v>
      </c>
      <c r="H416" s="56">
        <v>14.8</v>
      </c>
      <c r="I416" s="56">
        <v>4.9333333333333336</v>
      </c>
      <c r="J416" s="36">
        <f t="shared" si="58"/>
        <v>19.733333333333334</v>
      </c>
      <c r="K416" s="36">
        <f t="shared" si="59"/>
        <v>21.111111111111111</v>
      </c>
      <c r="L416" s="36" t="s">
        <v>302</v>
      </c>
      <c r="M416" s="39" t="s">
        <v>130</v>
      </c>
      <c r="N416" s="53" t="s">
        <v>227</v>
      </c>
      <c r="O416" s="173" t="s">
        <v>310</v>
      </c>
      <c r="P416" s="173" t="s">
        <v>310</v>
      </c>
      <c r="Q416" s="39" t="s">
        <v>129</v>
      </c>
      <c r="R416" s="95" t="s">
        <v>128</v>
      </c>
    </row>
    <row r="417" spans="1:18" s="40" customFormat="1" ht="15" x14ac:dyDescent="0.25">
      <c r="A417" s="55" t="s">
        <v>231</v>
      </c>
      <c r="B417" s="38">
        <v>16</v>
      </c>
      <c r="C417" s="38">
        <v>94</v>
      </c>
      <c r="D417" s="35">
        <f t="shared" ref="D417:D424" si="63">SUM(B417:C417)</f>
        <v>110</v>
      </c>
      <c r="E417" s="56">
        <v>0.26666666666666666</v>
      </c>
      <c r="F417" s="56">
        <v>8.8888888888888892E-2</v>
      </c>
      <c r="G417" s="36">
        <f t="shared" si="57"/>
        <v>0.35555555555555557</v>
      </c>
      <c r="H417" s="56">
        <v>15.4</v>
      </c>
      <c r="I417" s="56">
        <v>5.1333333333333337</v>
      </c>
      <c r="J417" s="36">
        <f t="shared" si="58"/>
        <v>20.533333333333335</v>
      </c>
      <c r="K417" s="36">
        <f t="shared" si="59"/>
        <v>20.888888888888889</v>
      </c>
      <c r="L417" s="36" t="s">
        <v>302</v>
      </c>
      <c r="M417" s="39" t="s">
        <v>130</v>
      </c>
      <c r="N417" s="53" t="s">
        <v>227</v>
      </c>
      <c r="O417" s="173" t="s">
        <v>310</v>
      </c>
      <c r="P417" s="173" t="s">
        <v>310</v>
      </c>
      <c r="Q417" s="39" t="s">
        <v>129</v>
      </c>
      <c r="R417" s="95" t="s">
        <v>128</v>
      </c>
    </row>
    <row r="418" spans="1:18" s="40" customFormat="1" ht="15" x14ac:dyDescent="0.25">
      <c r="A418" s="55" t="s">
        <v>232</v>
      </c>
      <c r="B418" s="38">
        <v>0</v>
      </c>
      <c r="C418" s="38">
        <v>0</v>
      </c>
      <c r="D418" s="35">
        <f t="shared" si="63"/>
        <v>0</v>
      </c>
      <c r="E418" s="56">
        <v>0</v>
      </c>
      <c r="F418" s="56">
        <v>0</v>
      </c>
      <c r="G418" s="36">
        <f t="shared" si="57"/>
        <v>0</v>
      </c>
      <c r="H418" s="56">
        <v>0</v>
      </c>
      <c r="I418" s="56">
        <v>0</v>
      </c>
      <c r="J418" s="36">
        <f t="shared" si="58"/>
        <v>0</v>
      </c>
      <c r="K418" s="36">
        <f t="shared" si="59"/>
        <v>0</v>
      </c>
      <c r="L418" s="36" t="s">
        <v>302</v>
      </c>
      <c r="M418" s="39" t="s">
        <v>130</v>
      </c>
      <c r="N418" s="53" t="s">
        <v>227</v>
      </c>
      <c r="O418" s="173" t="s">
        <v>310</v>
      </c>
      <c r="P418" s="173" t="s">
        <v>310</v>
      </c>
      <c r="Q418" s="39" t="s">
        <v>129</v>
      </c>
      <c r="R418" s="95" t="s">
        <v>128</v>
      </c>
    </row>
    <row r="419" spans="1:18" s="40" customFormat="1" ht="15" x14ac:dyDescent="0.25">
      <c r="A419" s="55" t="s">
        <v>233</v>
      </c>
      <c r="B419" s="38">
        <v>0</v>
      </c>
      <c r="C419" s="38">
        <v>0</v>
      </c>
      <c r="D419" s="35">
        <f t="shared" si="63"/>
        <v>0</v>
      </c>
      <c r="E419" s="56">
        <v>0</v>
      </c>
      <c r="F419" s="56">
        <v>0</v>
      </c>
      <c r="G419" s="36">
        <f t="shared" si="57"/>
        <v>0</v>
      </c>
      <c r="H419" s="56">
        <v>0</v>
      </c>
      <c r="I419" s="56">
        <v>0</v>
      </c>
      <c r="J419" s="36">
        <f t="shared" si="58"/>
        <v>0</v>
      </c>
      <c r="K419" s="36">
        <f t="shared" si="59"/>
        <v>0</v>
      </c>
      <c r="L419" s="36" t="s">
        <v>302</v>
      </c>
      <c r="M419" s="39" t="s">
        <v>130</v>
      </c>
      <c r="N419" s="53" t="s">
        <v>227</v>
      </c>
      <c r="O419" s="173" t="s">
        <v>310</v>
      </c>
      <c r="P419" s="173" t="s">
        <v>310</v>
      </c>
      <c r="Q419" s="39" t="s">
        <v>129</v>
      </c>
      <c r="R419" s="95" t="s">
        <v>128</v>
      </c>
    </row>
    <row r="420" spans="1:18" s="40" customFormat="1" ht="15" x14ac:dyDescent="0.25">
      <c r="A420" s="55" t="s">
        <v>234</v>
      </c>
      <c r="B420" s="38">
        <v>47</v>
      </c>
      <c r="C420" s="38">
        <v>185</v>
      </c>
      <c r="D420" s="35">
        <f t="shared" si="63"/>
        <v>232</v>
      </c>
      <c r="E420" s="56">
        <v>3.9166666666666665</v>
      </c>
      <c r="F420" s="56">
        <v>3.9166666666666665</v>
      </c>
      <c r="G420" s="36">
        <f t="shared" si="57"/>
        <v>7.833333333333333</v>
      </c>
      <c r="H420" s="56">
        <v>18.333333333333332</v>
      </c>
      <c r="I420" s="56">
        <v>27.333333333333332</v>
      </c>
      <c r="J420" s="36">
        <f t="shared" si="58"/>
        <v>45.666666666666664</v>
      </c>
      <c r="K420" s="36">
        <f t="shared" si="59"/>
        <v>53.5</v>
      </c>
      <c r="L420" s="36" t="s">
        <v>302</v>
      </c>
      <c r="M420" s="39" t="s">
        <v>130</v>
      </c>
      <c r="N420" s="53" t="s">
        <v>227</v>
      </c>
      <c r="O420" s="173" t="s">
        <v>310</v>
      </c>
      <c r="P420" s="173" t="s">
        <v>310</v>
      </c>
      <c r="Q420" s="39" t="s">
        <v>129</v>
      </c>
      <c r="R420" s="95" t="s">
        <v>128</v>
      </c>
    </row>
    <row r="421" spans="1:18" s="40" customFormat="1" ht="15" x14ac:dyDescent="0.25">
      <c r="A421" s="55" t="s">
        <v>235</v>
      </c>
      <c r="B421" s="38">
        <v>1</v>
      </c>
      <c r="C421" s="38">
        <v>1</v>
      </c>
      <c r="D421" s="35">
        <f t="shared" si="63"/>
        <v>2</v>
      </c>
      <c r="E421" s="56">
        <v>0.16666666666666666</v>
      </c>
      <c r="F421" s="56">
        <v>2</v>
      </c>
      <c r="G421" s="36">
        <f t="shared" si="57"/>
        <v>2.1666666666666665</v>
      </c>
      <c r="H421" s="56">
        <v>0.16666666666666666</v>
      </c>
      <c r="I421" s="56">
        <v>8.3333333333333329E-2</v>
      </c>
      <c r="J421" s="36">
        <f t="shared" si="58"/>
        <v>0.25</v>
      </c>
      <c r="K421" s="36">
        <f t="shared" si="59"/>
        <v>2.4166666666666665</v>
      </c>
      <c r="L421" s="36" t="s">
        <v>302</v>
      </c>
      <c r="M421" s="39" t="s">
        <v>130</v>
      </c>
      <c r="N421" s="53" t="s">
        <v>227</v>
      </c>
      <c r="O421" s="173" t="s">
        <v>310</v>
      </c>
      <c r="P421" s="173" t="s">
        <v>310</v>
      </c>
      <c r="Q421" s="39" t="s">
        <v>129</v>
      </c>
      <c r="R421" s="95" t="s">
        <v>128</v>
      </c>
    </row>
    <row r="422" spans="1:18" s="40" customFormat="1" ht="15" x14ac:dyDescent="0.25">
      <c r="A422" s="55" t="s">
        <v>236</v>
      </c>
      <c r="B422" s="38">
        <v>18</v>
      </c>
      <c r="C422" s="38">
        <v>24</v>
      </c>
      <c r="D422" s="35">
        <f t="shared" si="63"/>
        <v>42</v>
      </c>
      <c r="E422" s="56">
        <v>1.5</v>
      </c>
      <c r="F422" s="56">
        <v>3</v>
      </c>
      <c r="G422" s="36">
        <f t="shared" si="57"/>
        <v>4.5</v>
      </c>
      <c r="H422" s="56">
        <v>13</v>
      </c>
      <c r="I422" s="56">
        <v>13</v>
      </c>
      <c r="J422" s="36">
        <f t="shared" si="58"/>
        <v>26</v>
      </c>
      <c r="K422" s="36">
        <f t="shared" si="59"/>
        <v>30.5</v>
      </c>
      <c r="L422" s="36" t="s">
        <v>302</v>
      </c>
      <c r="M422" s="39" t="s">
        <v>130</v>
      </c>
      <c r="N422" s="53" t="s">
        <v>227</v>
      </c>
      <c r="O422" s="173" t="s">
        <v>310</v>
      </c>
      <c r="P422" s="173" t="s">
        <v>310</v>
      </c>
      <c r="Q422" s="39" t="s">
        <v>129</v>
      </c>
      <c r="R422" s="95" t="s">
        <v>128</v>
      </c>
    </row>
    <row r="423" spans="1:18" s="40" customFormat="1" ht="15" x14ac:dyDescent="0.25">
      <c r="A423" s="55" t="s">
        <v>237</v>
      </c>
      <c r="B423" s="38">
        <v>2</v>
      </c>
      <c r="C423" s="38">
        <v>0</v>
      </c>
      <c r="D423" s="35">
        <f t="shared" si="63"/>
        <v>2</v>
      </c>
      <c r="E423" s="56">
        <v>3.3333333333333333E-2</v>
      </c>
      <c r="F423" s="56">
        <v>0.66666666666666663</v>
      </c>
      <c r="G423" s="36">
        <f t="shared" si="57"/>
        <v>0.7</v>
      </c>
      <c r="H423" s="56">
        <v>0</v>
      </c>
      <c r="I423" s="56">
        <v>0</v>
      </c>
      <c r="J423" s="36">
        <f t="shared" si="58"/>
        <v>0</v>
      </c>
      <c r="K423" s="36">
        <f t="shared" si="59"/>
        <v>0.7</v>
      </c>
      <c r="L423" s="36" t="s">
        <v>302</v>
      </c>
      <c r="M423" s="39" t="s">
        <v>130</v>
      </c>
      <c r="N423" s="53" t="s">
        <v>227</v>
      </c>
      <c r="O423" s="173" t="s">
        <v>310</v>
      </c>
      <c r="P423" s="173" t="s">
        <v>310</v>
      </c>
      <c r="Q423" s="39" t="s">
        <v>129</v>
      </c>
      <c r="R423" s="95" t="s">
        <v>128</v>
      </c>
    </row>
    <row r="424" spans="1:18" s="40" customFormat="1" ht="15" x14ac:dyDescent="0.25">
      <c r="A424" s="55" t="s">
        <v>238</v>
      </c>
      <c r="B424" s="38">
        <v>4</v>
      </c>
      <c r="C424" s="38">
        <v>0</v>
      </c>
      <c r="D424" s="35">
        <f t="shared" si="63"/>
        <v>4</v>
      </c>
      <c r="E424" s="56">
        <v>6.6666666666666666E-2</v>
      </c>
      <c r="F424" s="56">
        <v>0</v>
      </c>
      <c r="G424" s="36">
        <f t="shared" si="57"/>
        <v>6.6666666666666666E-2</v>
      </c>
      <c r="H424" s="56">
        <v>0</v>
      </c>
      <c r="I424" s="56">
        <v>0</v>
      </c>
      <c r="J424" s="36">
        <f t="shared" si="58"/>
        <v>0</v>
      </c>
      <c r="K424" s="36">
        <f t="shared" si="59"/>
        <v>6.6666666666666666E-2</v>
      </c>
      <c r="L424" s="36" t="s">
        <v>302</v>
      </c>
      <c r="M424" s="39" t="s">
        <v>130</v>
      </c>
      <c r="N424" s="53" t="s">
        <v>227</v>
      </c>
      <c r="O424" s="173" t="s">
        <v>310</v>
      </c>
      <c r="P424" s="173" t="s">
        <v>310</v>
      </c>
      <c r="Q424" s="39" t="s">
        <v>129</v>
      </c>
      <c r="R424" s="95" t="s">
        <v>128</v>
      </c>
    </row>
    <row r="425" spans="1:18" s="32" customFormat="1" ht="15" x14ac:dyDescent="0.25">
      <c r="A425" s="84" t="s">
        <v>230</v>
      </c>
      <c r="B425" s="27">
        <v>20</v>
      </c>
      <c r="C425" s="27">
        <v>158</v>
      </c>
      <c r="D425" s="15">
        <f>SUM(B425:C425)</f>
        <v>178</v>
      </c>
      <c r="E425" s="85">
        <v>0.66666666666666663</v>
      </c>
      <c r="F425" s="85">
        <v>0.22222222222222221</v>
      </c>
      <c r="G425" s="28">
        <f t="shared" si="57"/>
        <v>0.88888888888888884</v>
      </c>
      <c r="H425" s="85">
        <v>17.183333333333334</v>
      </c>
      <c r="I425" s="85">
        <v>5.7277777777777779</v>
      </c>
      <c r="J425" s="28">
        <f t="shared" si="58"/>
        <v>22.911111111111111</v>
      </c>
      <c r="K425" s="28">
        <f t="shared" si="59"/>
        <v>23.8</v>
      </c>
      <c r="L425" s="28" t="s">
        <v>302</v>
      </c>
      <c r="M425" s="26" t="s">
        <v>132</v>
      </c>
      <c r="N425" s="30" t="s">
        <v>227</v>
      </c>
      <c r="O425" s="172" t="s">
        <v>310</v>
      </c>
      <c r="P425" s="172" t="s">
        <v>310</v>
      </c>
      <c r="Q425" s="26" t="s">
        <v>129</v>
      </c>
      <c r="R425" s="96" t="s">
        <v>131</v>
      </c>
    </row>
    <row r="426" spans="1:18" s="32" customFormat="1" ht="15" x14ac:dyDescent="0.25">
      <c r="A426" s="84" t="s">
        <v>231</v>
      </c>
      <c r="B426" s="27">
        <v>7</v>
      </c>
      <c r="C426" s="27">
        <v>110</v>
      </c>
      <c r="D426" s="15">
        <f t="shared" ref="D426:D433" si="64">SUM(B426:C426)</f>
        <v>117</v>
      </c>
      <c r="E426" s="85">
        <v>0.11666666666666667</v>
      </c>
      <c r="F426" s="85">
        <v>3.888888888888889E-2</v>
      </c>
      <c r="G426" s="28">
        <f t="shared" si="57"/>
        <v>0.15555555555555556</v>
      </c>
      <c r="H426" s="85">
        <v>16.283333333333335</v>
      </c>
      <c r="I426" s="85">
        <v>5.427777777777778</v>
      </c>
      <c r="J426" s="28">
        <f t="shared" si="58"/>
        <v>21.711111111111112</v>
      </c>
      <c r="K426" s="28">
        <f t="shared" si="59"/>
        <v>21.866666666666667</v>
      </c>
      <c r="L426" s="28" t="s">
        <v>302</v>
      </c>
      <c r="M426" s="26" t="s">
        <v>132</v>
      </c>
      <c r="N426" s="30" t="s">
        <v>227</v>
      </c>
      <c r="O426" s="172" t="s">
        <v>310</v>
      </c>
      <c r="P426" s="172" t="s">
        <v>310</v>
      </c>
      <c r="Q426" s="26" t="s">
        <v>129</v>
      </c>
      <c r="R426" s="96" t="s">
        <v>131</v>
      </c>
    </row>
    <row r="427" spans="1:18" s="32" customFormat="1" ht="15" x14ac:dyDescent="0.25">
      <c r="A427" s="84" t="s">
        <v>232</v>
      </c>
      <c r="B427" s="27">
        <v>0</v>
      </c>
      <c r="C427" s="27">
        <v>0</v>
      </c>
      <c r="D427" s="15">
        <f t="shared" si="64"/>
        <v>0</v>
      </c>
      <c r="E427" s="85">
        <v>0</v>
      </c>
      <c r="F427" s="85">
        <v>0</v>
      </c>
      <c r="G427" s="28">
        <f t="shared" si="57"/>
        <v>0</v>
      </c>
      <c r="H427" s="85">
        <v>0</v>
      </c>
      <c r="I427" s="85">
        <v>0</v>
      </c>
      <c r="J427" s="28">
        <f t="shared" si="58"/>
        <v>0</v>
      </c>
      <c r="K427" s="28">
        <f t="shared" si="59"/>
        <v>0</v>
      </c>
      <c r="L427" s="28" t="s">
        <v>302</v>
      </c>
      <c r="M427" s="26" t="s">
        <v>132</v>
      </c>
      <c r="N427" s="30" t="s">
        <v>227</v>
      </c>
      <c r="O427" s="172" t="s">
        <v>310</v>
      </c>
      <c r="P427" s="172" t="s">
        <v>310</v>
      </c>
      <c r="Q427" s="26" t="s">
        <v>129</v>
      </c>
      <c r="R427" s="96" t="s">
        <v>131</v>
      </c>
    </row>
    <row r="428" spans="1:18" s="32" customFormat="1" ht="15" x14ac:dyDescent="0.25">
      <c r="A428" s="84" t="s">
        <v>233</v>
      </c>
      <c r="B428" s="27">
        <v>0</v>
      </c>
      <c r="C428" s="27">
        <v>0</v>
      </c>
      <c r="D428" s="15">
        <f t="shared" si="64"/>
        <v>0</v>
      </c>
      <c r="E428" s="85">
        <v>0</v>
      </c>
      <c r="F428" s="85">
        <v>0</v>
      </c>
      <c r="G428" s="28">
        <f t="shared" si="57"/>
        <v>0</v>
      </c>
      <c r="H428" s="85">
        <v>0</v>
      </c>
      <c r="I428" s="85">
        <v>0</v>
      </c>
      <c r="J428" s="28">
        <f t="shared" si="58"/>
        <v>0</v>
      </c>
      <c r="K428" s="28">
        <f t="shared" si="59"/>
        <v>0</v>
      </c>
      <c r="L428" s="28" t="s">
        <v>302</v>
      </c>
      <c r="M428" s="26" t="s">
        <v>132</v>
      </c>
      <c r="N428" s="30" t="s">
        <v>227</v>
      </c>
      <c r="O428" s="172" t="s">
        <v>310</v>
      </c>
      <c r="P428" s="172" t="s">
        <v>310</v>
      </c>
      <c r="Q428" s="26" t="s">
        <v>129</v>
      </c>
      <c r="R428" s="96" t="s">
        <v>131</v>
      </c>
    </row>
    <row r="429" spans="1:18" s="32" customFormat="1" ht="15" x14ac:dyDescent="0.25">
      <c r="A429" s="84" t="s">
        <v>234</v>
      </c>
      <c r="B429" s="27">
        <v>30</v>
      </c>
      <c r="C429" s="27">
        <v>196</v>
      </c>
      <c r="D429" s="15">
        <f t="shared" si="64"/>
        <v>226</v>
      </c>
      <c r="E429" s="85">
        <v>2.5</v>
      </c>
      <c r="F429" s="85">
        <v>2.5</v>
      </c>
      <c r="G429" s="28">
        <f t="shared" si="57"/>
        <v>5</v>
      </c>
      <c r="H429" s="85">
        <v>17.616666666666667</v>
      </c>
      <c r="I429" s="85">
        <v>26.916666666666668</v>
      </c>
      <c r="J429" s="28">
        <f t="shared" si="58"/>
        <v>44.533333333333331</v>
      </c>
      <c r="K429" s="28">
        <f t="shared" si="59"/>
        <v>49.533333333333331</v>
      </c>
      <c r="L429" s="28" t="s">
        <v>302</v>
      </c>
      <c r="M429" s="26" t="s">
        <v>132</v>
      </c>
      <c r="N429" s="30" t="s">
        <v>227</v>
      </c>
      <c r="O429" s="172" t="s">
        <v>310</v>
      </c>
      <c r="P429" s="172" t="s">
        <v>310</v>
      </c>
      <c r="Q429" s="26" t="s">
        <v>129</v>
      </c>
      <c r="R429" s="96" t="s">
        <v>131</v>
      </c>
    </row>
    <row r="430" spans="1:18" s="32" customFormat="1" ht="15" x14ac:dyDescent="0.25">
      <c r="A430" s="84" t="s">
        <v>235</v>
      </c>
      <c r="B430" s="27">
        <v>1</v>
      </c>
      <c r="C430" s="27">
        <v>1</v>
      </c>
      <c r="D430" s="15">
        <f t="shared" si="64"/>
        <v>2</v>
      </c>
      <c r="E430" s="85">
        <v>0.16666666666666666</v>
      </c>
      <c r="F430" s="85">
        <v>2</v>
      </c>
      <c r="G430" s="28">
        <f t="shared" si="57"/>
        <v>2.1666666666666665</v>
      </c>
      <c r="H430" s="85">
        <v>0.16666666666666666</v>
      </c>
      <c r="I430" s="85">
        <v>8.3333333333333329E-2</v>
      </c>
      <c r="J430" s="28">
        <f t="shared" si="58"/>
        <v>0.25</v>
      </c>
      <c r="K430" s="28">
        <f t="shared" si="59"/>
        <v>2.4166666666666665</v>
      </c>
      <c r="L430" s="28" t="s">
        <v>302</v>
      </c>
      <c r="M430" s="26" t="s">
        <v>132</v>
      </c>
      <c r="N430" s="30" t="s">
        <v>227</v>
      </c>
      <c r="O430" s="172" t="s">
        <v>310</v>
      </c>
      <c r="P430" s="172" t="s">
        <v>310</v>
      </c>
      <c r="Q430" s="26" t="s">
        <v>129</v>
      </c>
      <c r="R430" s="96" t="s">
        <v>131</v>
      </c>
    </row>
    <row r="431" spans="1:18" s="32" customFormat="1" ht="15" x14ac:dyDescent="0.25">
      <c r="A431" s="84" t="s">
        <v>236</v>
      </c>
      <c r="B431" s="27">
        <v>1</v>
      </c>
      <c r="C431" s="27">
        <v>40</v>
      </c>
      <c r="D431" s="15">
        <f t="shared" si="64"/>
        <v>41</v>
      </c>
      <c r="E431" s="85">
        <v>8.3333333333333329E-2</v>
      </c>
      <c r="F431" s="85">
        <v>0.16666666666666666</v>
      </c>
      <c r="G431" s="28">
        <f t="shared" si="57"/>
        <v>0.25</v>
      </c>
      <c r="H431" s="85">
        <v>14.833333333333334</v>
      </c>
      <c r="I431" s="85">
        <v>14.833333333333334</v>
      </c>
      <c r="J431" s="28">
        <f t="shared" si="58"/>
        <v>29.666666666666668</v>
      </c>
      <c r="K431" s="28">
        <f t="shared" si="59"/>
        <v>29.916666666666668</v>
      </c>
      <c r="L431" s="28" t="s">
        <v>302</v>
      </c>
      <c r="M431" s="26" t="s">
        <v>132</v>
      </c>
      <c r="N431" s="30" t="s">
        <v>227</v>
      </c>
      <c r="O431" s="172" t="s">
        <v>310</v>
      </c>
      <c r="P431" s="172" t="s">
        <v>310</v>
      </c>
      <c r="Q431" s="26" t="s">
        <v>129</v>
      </c>
      <c r="R431" s="96" t="s">
        <v>131</v>
      </c>
    </row>
    <row r="432" spans="1:18" s="32" customFormat="1" ht="15" x14ac:dyDescent="0.25">
      <c r="A432" s="84" t="s">
        <v>237</v>
      </c>
      <c r="B432" s="27">
        <v>0</v>
      </c>
      <c r="C432" s="27">
        <v>3</v>
      </c>
      <c r="D432" s="15">
        <f t="shared" si="64"/>
        <v>3</v>
      </c>
      <c r="E432" s="85">
        <v>0</v>
      </c>
      <c r="F432" s="85">
        <v>0</v>
      </c>
      <c r="G432" s="28">
        <f t="shared" si="57"/>
        <v>0</v>
      </c>
      <c r="H432" s="85">
        <v>0.18333333333333332</v>
      </c>
      <c r="I432" s="85">
        <v>0.5</v>
      </c>
      <c r="J432" s="28">
        <f t="shared" si="58"/>
        <v>0.68333333333333335</v>
      </c>
      <c r="K432" s="28">
        <f t="shared" si="59"/>
        <v>0.68333333333333335</v>
      </c>
      <c r="L432" s="28" t="s">
        <v>302</v>
      </c>
      <c r="M432" s="26" t="s">
        <v>132</v>
      </c>
      <c r="N432" s="30" t="s">
        <v>227</v>
      </c>
      <c r="O432" s="172" t="s">
        <v>310</v>
      </c>
      <c r="P432" s="172" t="s">
        <v>310</v>
      </c>
      <c r="Q432" s="26" t="s">
        <v>129</v>
      </c>
      <c r="R432" s="96" t="s">
        <v>131</v>
      </c>
    </row>
    <row r="433" spans="1:18" s="32" customFormat="1" ht="15" x14ac:dyDescent="0.25">
      <c r="A433" s="84" t="s">
        <v>238</v>
      </c>
      <c r="B433" s="27">
        <v>0</v>
      </c>
      <c r="C433" s="27">
        <v>0</v>
      </c>
      <c r="D433" s="15">
        <f t="shared" si="64"/>
        <v>0</v>
      </c>
      <c r="E433" s="85">
        <v>0</v>
      </c>
      <c r="F433" s="85">
        <v>0</v>
      </c>
      <c r="G433" s="28">
        <f t="shared" si="57"/>
        <v>0</v>
      </c>
      <c r="H433" s="85">
        <v>0</v>
      </c>
      <c r="I433" s="85">
        <v>0</v>
      </c>
      <c r="J433" s="28">
        <f t="shared" si="58"/>
        <v>0</v>
      </c>
      <c r="K433" s="28">
        <f t="shared" si="59"/>
        <v>0</v>
      </c>
      <c r="L433" s="28" t="s">
        <v>302</v>
      </c>
      <c r="M433" s="26" t="s">
        <v>132</v>
      </c>
      <c r="N433" s="30" t="s">
        <v>227</v>
      </c>
      <c r="O433" s="172" t="s">
        <v>310</v>
      </c>
      <c r="P433" s="172" t="s">
        <v>310</v>
      </c>
      <c r="Q433" s="26" t="s">
        <v>129</v>
      </c>
      <c r="R433" s="96" t="s">
        <v>131</v>
      </c>
    </row>
    <row r="434" spans="1:18" s="40" customFormat="1" ht="15" x14ac:dyDescent="0.25">
      <c r="A434" s="55" t="s">
        <v>230</v>
      </c>
      <c r="B434" s="38">
        <v>100</v>
      </c>
      <c r="C434" s="38">
        <v>374</v>
      </c>
      <c r="D434" s="35">
        <f>SUM(B434:C434)</f>
        <v>474</v>
      </c>
      <c r="E434" s="56">
        <v>3.3333333333333335</v>
      </c>
      <c r="F434" s="56">
        <v>1.1111111111111112</v>
      </c>
      <c r="G434" s="36">
        <f t="shared" si="57"/>
        <v>4.4444444444444446</v>
      </c>
      <c r="H434" s="56">
        <v>23.883333333333333</v>
      </c>
      <c r="I434" s="56">
        <v>7.9611111111111112</v>
      </c>
      <c r="J434" s="36">
        <f t="shared" si="58"/>
        <v>31.844444444444445</v>
      </c>
      <c r="K434" s="36">
        <f t="shared" si="59"/>
        <v>36.288888888888891</v>
      </c>
      <c r="L434" s="36" t="s">
        <v>302</v>
      </c>
      <c r="M434" s="39" t="s">
        <v>221</v>
      </c>
      <c r="N434" s="53" t="s">
        <v>227</v>
      </c>
      <c r="O434" s="173" t="s">
        <v>310</v>
      </c>
      <c r="P434" s="173" t="s">
        <v>310</v>
      </c>
      <c r="Q434" s="39" t="s">
        <v>134</v>
      </c>
      <c r="R434" s="95" t="s">
        <v>133</v>
      </c>
    </row>
    <row r="435" spans="1:18" s="40" customFormat="1" ht="15" x14ac:dyDescent="0.25">
      <c r="A435" s="55" t="s">
        <v>231</v>
      </c>
      <c r="B435" s="38">
        <v>60</v>
      </c>
      <c r="C435" s="38">
        <v>156</v>
      </c>
      <c r="D435" s="35">
        <f t="shared" ref="D435:D442" si="65">SUM(B435:C435)</f>
        <v>216</v>
      </c>
      <c r="E435" s="56">
        <v>1</v>
      </c>
      <c r="F435" s="56">
        <v>0.33333333333333331</v>
      </c>
      <c r="G435" s="36">
        <f t="shared" si="57"/>
        <v>1.3333333333333333</v>
      </c>
      <c r="H435" s="56">
        <v>13.116666666666667</v>
      </c>
      <c r="I435" s="56">
        <v>4.3722222222222227</v>
      </c>
      <c r="J435" s="36">
        <f t="shared" si="58"/>
        <v>17.488888888888891</v>
      </c>
      <c r="K435" s="36">
        <f t="shared" si="59"/>
        <v>18.822222222222223</v>
      </c>
      <c r="L435" s="36" t="s">
        <v>302</v>
      </c>
      <c r="M435" s="39" t="s">
        <v>221</v>
      </c>
      <c r="N435" s="53" t="s">
        <v>227</v>
      </c>
      <c r="O435" s="173" t="s">
        <v>310</v>
      </c>
      <c r="P435" s="173" t="s">
        <v>310</v>
      </c>
      <c r="Q435" s="39" t="s">
        <v>134</v>
      </c>
      <c r="R435" s="95" t="s">
        <v>133</v>
      </c>
    </row>
    <row r="436" spans="1:18" s="40" customFormat="1" ht="15" x14ac:dyDescent="0.25">
      <c r="A436" s="55" t="s">
        <v>232</v>
      </c>
      <c r="B436" s="38">
        <v>0</v>
      </c>
      <c r="C436" s="38">
        <v>0</v>
      </c>
      <c r="D436" s="35">
        <f t="shared" si="65"/>
        <v>0</v>
      </c>
      <c r="E436" s="56">
        <v>0</v>
      </c>
      <c r="F436" s="56">
        <v>0</v>
      </c>
      <c r="G436" s="36">
        <f t="shared" si="57"/>
        <v>0</v>
      </c>
      <c r="H436" s="56">
        <v>0</v>
      </c>
      <c r="I436" s="56">
        <v>0</v>
      </c>
      <c r="J436" s="36">
        <f t="shared" si="58"/>
        <v>0</v>
      </c>
      <c r="K436" s="36">
        <f t="shared" si="59"/>
        <v>0</v>
      </c>
      <c r="L436" s="36" t="s">
        <v>302</v>
      </c>
      <c r="M436" s="39" t="s">
        <v>221</v>
      </c>
      <c r="N436" s="53" t="s">
        <v>227</v>
      </c>
      <c r="O436" s="173" t="s">
        <v>310</v>
      </c>
      <c r="P436" s="173" t="s">
        <v>310</v>
      </c>
      <c r="Q436" s="39" t="s">
        <v>134</v>
      </c>
      <c r="R436" s="95" t="s">
        <v>133</v>
      </c>
    </row>
    <row r="437" spans="1:18" s="40" customFormat="1" ht="15" x14ac:dyDescent="0.25">
      <c r="A437" s="55" t="s">
        <v>233</v>
      </c>
      <c r="B437" s="38">
        <v>0</v>
      </c>
      <c r="C437" s="38">
        <v>0</v>
      </c>
      <c r="D437" s="35">
        <f t="shared" si="65"/>
        <v>0</v>
      </c>
      <c r="E437" s="56">
        <v>0</v>
      </c>
      <c r="F437" s="56">
        <v>0</v>
      </c>
      <c r="G437" s="36">
        <f t="shared" si="57"/>
        <v>0</v>
      </c>
      <c r="H437" s="56">
        <v>0</v>
      </c>
      <c r="I437" s="56">
        <v>0</v>
      </c>
      <c r="J437" s="36">
        <f t="shared" si="58"/>
        <v>0</v>
      </c>
      <c r="K437" s="36">
        <f t="shared" si="59"/>
        <v>0</v>
      </c>
      <c r="L437" s="36" t="s">
        <v>302</v>
      </c>
      <c r="M437" s="39" t="s">
        <v>221</v>
      </c>
      <c r="N437" s="53" t="s">
        <v>227</v>
      </c>
      <c r="O437" s="173" t="s">
        <v>310</v>
      </c>
      <c r="P437" s="173" t="s">
        <v>310</v>
      </c>
      <c r="Q437" s="39" t="s">
        <v>134</v>
      </c>
      <c r="R437" s="95" t="s">
        <v>133</v>
      </c>
    </row>
    <row r="438" spans="1:18" s="40" customFormat="1" ht="15" x14ac:dyDescent="0.25">
      <c r="A438" s="55" t="s">
        <v>234</v>
      </c>
      <c r="B438" s="38">
        <v>158</v>
      </c>
      <c r="C438" s="38">
        <v>411</v>
      </c>
      <c r="D438" s="35">
        <f t="shared" si="65"/>
        <v>569</v>
      </c>
      <c r="E438" s="56">
        <v>13.166666666666666</v>
      </c>
      <c r="F438" s="56">
        <v>13.166666666666666</v>
      </c>
      <c r="G438" s="36">
        <f t="shared" si="57"/>
        <v>26.333333333333332</v>
      </c>
      <c r="H438" s="56">
        <v>25.866666666666667</v>
      </c>
      <c r="I438" s="56">
        <v>42.833333333333336</v>
      </c>
      <c r="J438" s="36">
        <f t="shared" si="58"/>
        <v>68.7</v>
      </c>
      <c r="K438" s="36">
        <f t="shared" si="59"/>
        <v>95.033333333333331</v>
      </c>
      <c r="L438" s="36" t="s">
        <v>302</v>
      </c>
      <c r="M438" s="39" t="s">
        <v>221</v>
      </c>
      <c r="N438" s="53" t="s">
        <v>227</v>
      </c>
      <c r="O438" s="173" t="s">
        <v>310</v>
      </c>
      <c r="P438" s="173" t="s">
        <v>310</v>
      </c>
      <c r="Q438" s="39" t="s">
        <v>134</v>
      </c>
      <c r="R438" s="95" t="s">
        <v>133</v>
      </c>
    </row>
    <row r="439" spans="1:18" s="40" customFormat="1" ht="15" x14ac:dyDescent="0.25">
      <c r="A439" s="55" t="s">
        <v>235</v>
      </c>
      <c r="B439" s="38">
        <v>1</v>
      </c>
      <c r="C439" s="38">
        <v>1</v>
      </c>
      <c r="D439" s="35">
        <f t="shared" si="65"/>
        <v>2</v>
      </c>
      <c r="E439" s="56">
        <v>0.16666666666666666</v>
      </c>
      <c r="F439" s="56">
        <v>2</v>
      </c>
      <c r="G439" s="36">
        <f t="shared" si="57"/>
        <v>2.1666666666666665</v>
      </c>
      <c r="H439" s="56">
        <v>0.33333333333333331</v>
      </c>
      <c r="I439" s="56">
        <v>0.16666666666666666</v>
      </c>
      <c r="J439" s="36">
        <f t="shared" si="58"/>
        <v>0.5</v>
      </c>
      <c r="K439" s="36">
        <f t="shared" si="59"/>
        <v>2.6666666666666665</v>
      </c>
      <c r="L439" s="36" t="s">
        <v>302</v>
      </c>
      <c r="M439" s="39" t="s">
        <v>221</v>
      </c>
      <c r="N439" s="53" t="s">
        <v>227</v>
      </c>
      <c r="O439" s="173" t="s">
        <v>310</v>
      </c>
      <c r="P439" s="173" t="s">
        <v>310</v>
      </c>
      <c r="Q439" s="39" t="s">
        <v>134</v>
      </c>
      <c r="R439" s="95" t="s">
        <v>133</v>
      </c>
    </row>
    <row r="440" spans="1:18" s="40" customFormat="1" ht="15" x14ac:dyDescent="0.25">
      <c r="A440" s="55" t="s">
        <v>236</v>
      </c>
      <c r="B440" s="38">
        <v>36</v>
      </c>
      <c r="C440" s="38">
        <v>44</v>
      </c>
      <c r="D440" s="35">
        <f t="shared" si="65"/>
        <v>80</v>
      </c>
      <c r="E440" s="56">
        <v>3</v>
      </c>
      <c r="F440" s="56">
        <v>6</v>
      </c>
      <c r="G440" s="36">
        <f t="shared" si="57"/>
        <v>9</v>
      </c>
      <c r="H440" s="56">
        <v>20.333333333333332</v>
      </c>
      <c r="I440" s="56">
        <v>20.333333333333332</v>
      </c>
      <c r="J440" s="36">
        <f t="shared" si="58"/>
        <v>40.666666666666664</v>
      </c>
      <c r="K440" s="36">
        <f t="shared" si="59"/>
        <v>49.666666666666664</v>
      </c>
      <c r="L440" s="36" t="s">
        <v>302</v>
      </c>
      <c r="M440" s="39" t="s">
        <v>221</v>
      </c>
      <c r="N440" s="53" t="s">
        <v>227</v>
      </c>
      <c r="O440" s="173" t="s">
        <v>310</v>
      </c>
      <c r="P440" s="173" t="s">
        <v>310</v>
      </c>
      <c r="Q440" s="39" t="s">
        <v>134</v>
      </c>
      <c r="R440" s="95" t="s">
        <v>133</v>
      </c>
    </row>
    <row r="441" spans="1:18" s="40" customFormat="1" ht="15" x14ac:dyDescent="0.25">
      <c r="A441" s="55" t="s">
        <v>237</v>
      </c>
      <c r="B441" s="38">
        <v>6</v>
      </c>
      <c r="C441" s="38">
        <v>2</v>
      </c>
      <c r="D441" s="35">
        <f t="shared" si="65"/>
        <v>8</v>
      </c>
      <c r="E441" s="56">
        <v>0.1</v>
      </c>
      <c r="F441" s="56">
        <v>2</v>
      </c>
      <c r="G441" s="36">
        <f t="shared" si="57"/>
        <v>2.1</v>
      </c>
      <c r="H441" s="56">
        <v>0.1</v>
      </c>
      <c r="I441" s="56">
        <v>0.33333333333333331</v>
      </c>
      <c r="J441" s="36">
        <f t="shared" si="58"/>
        <v>0.43333333333333335</v>
      </c>
      <c r="K441" s="36">
        <f t="shared" si="59"/>
        <v>2.5333333333333332</v>
      </c>
      <c r="L441" s="36" t="s">
        <v>302</v>
      </c>
      <c r="M441" s="39" t="s">
        <v>221</v>
      </c>
      <c r="N441" s="53" t="s">
        <v>227</v>
      </c>
      <c r="O441" s="173" t="s">
        <v>310</v>
      </c>
      <c r="P441" s="173" t="s">
        <v>310</v>
      </c>
      <c r="Q441" s="39" t="s">
        <v>134</v>
      </c>
      <c r="R441" s="95" t="s">
        <v>133</v>
      </c>
    </row>
    <row r="442" spans="1:18" s="40" customFormat="1" ht="15" x14ac:dyDescent="0.25">
      <c r="A442" s="55" t="s">
        <v>238</v>
      </c>
      <c r="B442" s="38">
        <v>17</v>
      </c>
      <c r="C442" s="38">
        <v>2</v>
      </c>
      <c r="D442" s="35">
        <f t="shared" si="65"/>
        <v>19</v>
      </c>
      <c r="E442" s="56">
        <v>0.28333333333333333</v>
      </c>
      <c r="F442" s="56">
        <v>0</v>
      </c>
      <c r="G442" s="36">
        <f t="shared" si="57"/>
        <v>0.28333333333333333</v>
      </c>
      <c r="H442" s="56">
        <v>0.1</v>
      </c>
      <c r="I442" s="56">
        <v>0</v>
      </c>
      <c r="J442" s="36">
        <f t="shared" si="58"/>
        <v>0.1</v>
      </c>
      <c r="K442" s="36">
        <f t="shared" si="59"/>
        <v>0.3833333333333333</v>
      </c>
      <c r="L442" s="36" t="s">
        <v>302</v>
      </c>
      <c r="M442" s="39" t="s">
        <v>221</v>
      </c>
      <c r="N442" s="53" t="s">
        <v>227</v>
      </c>
      <c r="O442" s="173" t="s">
        <v>310</v>
      </c>
      <c r="P442" s="173" t="s">
        <v>310</v>
      </c>
      <c r="Q442" s="39" t="s">
        <v>134</v>
      </c>
      <c r="R442" s="95" t="s">
        <v>133</v>
      </c>
    </row>
    <row r="443" spans="1:18" s="32" customFormat="1" ht="15" x14ac:dyDescent="0.25">
      <c r="A443" s="84" t="s">
        <v>230</v>
      </c>
      <c r="B443" s="27">
        <v>71</v>
      </c>
      <c r="C443" s="27">
        <v>364</v>
      </c>
      <c r="D443" s="15">
        <f>SUM(B443:C443)</f>
        <v>435</v>
      </c>
      <c r="E443" s="85">
        <v>2.3666666666666667</v>
      </c>
      <c r="F443" s="85">
        <v>0.78888888888888886</v>
      </c>
      <c r="G443" s="28">
        <f t="shared" si="57"/>
        <v>3.1555555555555554</v>
      </c>
      <c r="H443" s="85">
        <v>26.783333333333335</v>
      </c>
      <c r="I443" s="85">
        <v>8.9277777777777789</v>
      </c>
      <c r="J443" s="28">
        <f t="shared" si="58"/>
        <v>35.711111111111116</v>
      </c>
      <c r="K443" s="28">
        <f t="shared" si="59"/>
        <v>38.866666666666674</v>
      </c>
      <c r="L443" s="28" t="s">
        <v>302</v>
      </c>
      <c r="M443" s="26" t="s">
        <v>222</v>
      </c>
      <c r="N443" s="30" t="s">
        <v>227</v>
      </c>
      <c r="O443" s="172" t="s">
        <v>310</v>
      </c>
      <c r="P443" s="173" t="s">
        <v>310</v>
      </c>
      <c r="Q443" s="26" t="s">
        <v>134</v>
      </c>
      <c r="R443" s="96" t="s">
        <v>133</v>
      </c>
    </row>
    <row r="444" spans="1:18" s="32" customFormat="1" ht="15" x14ac:dyDescent="0.25">
      <c r="A444" s="84" t="s">
        <v>231</v>
      </c>
      <c r="B444" s="27">
        <v>26</v>
      </c>
      <c r="C444" s="27">
        <v>177</v>
      </c>
      <c r="D444" s="15">
        <f t="shared" ref="D444:D451" si="66">SUM(B444:C444)</f>
        <v>203</v>
      </c>
      <c r="E444" s="85">
        <v>0.43333333333333335</v>
      </c>
      <c r="F444" s="85">
        <v>0.14444444444444446</v>
      </c>
      <c r="G444" s="28">
        <f t="shared" si="57"/>
        <v>0.57777777777777783</v>
      </c>
      <c r="H444" s="85">
        <v>20.2</v>
      </c>
      <c r="I444" s="85">
        <v>6.7333333333333334</v>
      </c>
      <c r="J444" s="28">
        <f t="shared" si="58"/>
        <v>26.933333333333334</v>
      </c>
      <c r="K444" s="28">
        <f t="shared" si="59"/>
        <v>27.511111111111113</v>
      </c>
      <c r="L444" s="28" t="s">
        <v>302</v>
      </c>
      <c r="M444" s="26" t="s">
        <v>222</v>
      </c>
      <c r="N444" s="30" t="s">
        <v>227</v>
      </c>
      <c r="O444" s="172" t="s">
        <v>310</v>
      </c>
      <c r="P444" s="173" t="s">
        <v>310</v>
      </c>
      <c r="Q444" s="26" t="s">
        <v>134</v>
      </c>
      <c r="R444" s="96" t="s">
        <v>133</v>
      </c>
    </row>
    <row r="445" spans="1:18" s="32" customFormat="1" ht="15" x14ac:dyDescent="0.25">
      <c r="A445" s="84" t="s">
        <v>232</v>
      </c>
      <c r="B445" s="27">
        <v>0</v>
      </c>
      <c r="C445" s="27">
        <v>0</v>
      </c>
      <c r="D445" s="15">
        <f t="shared" si="66"/>
        <v>0</v>
      </c>
      <c r="E445" s="85">
        <v>0</v>
      </c>
      <c r="F445" s="85">
        <v>0</v>
      </c>
      <c r="G445" s="28">
        <f t="shared" si="57"/>
        <v>0</v>
      </c>
      <c r="H445" s="85">
        <v>0</v>
      </c>
      <c r="I445" s="85">
        <v>0</v>
      </c>
      <c r="J445" s="28">
        <f t="shared" si="58"/>
        <v>0</v>
      </c>
      <c r="K445" s="28">
        <f t="shared" si="59"/>
        <v>0</v>
      </c>
      <c r="L445" s="28" t="s">
        <v>302</v>
      </c>
      <c r="M445" s="26" t="s">
        <v>222</v>
      </c>
      <c r="N445" s="30" t="s">
        <v>227</v>
      </c>
      <c r="O445" s="172" t="s">
        <v>310</v>
      </c>
      <c r="P445" s="173" t="s">
        <v>310</v>
      </c>
      <c r="Q445" s="26" t="s">
        <v>134</v>
      </c>
      <c r="R445" s="96" t="s">
        <v>133</v>
      </c>
    </row>
    <row r="446" spans="1:18" s="32" customFormat="1" ht="15" x14ac:dyDescent="0.25">
      <c r="A446" s="84" t="s">
        <v>233</v>
      </c>
      <c r="B446" s="27">
        <v>0</v>
      </c>
      <c r="C446" s="27">
        <v>0</v>
      </c>
      <c r="D446" s="15">
        <f t="shared" si="66"/>
        <v>0</v>
      </c>
      <c r="E446" s="85">
        <v>0</v>
      </c>
      <c r="F446" s="85">
        <v>0</v>
      </c>
      <c r="G446" s="28">
        <f t="shared" si="57"/>
        <v>0</v>
      </c>
      <c r="H446" s="85">
        <v>0</v>
      </c>
      <c r="I446" s="85">
        <v>0</v>
      </c>
      <c r="J446" s="28">
        <f t="shared" si="58"/>
        <v>0</v>
      </c>
      <c r="K446" s="28">
        <f t="shared" si="59"/>
        <v>0</v>
      </c>
      <c r="L446" s="28" t="s">
        <v>302</v>
      </c>
      <c r="M446" s="26" t="s">
        <v>222</v>
      </c>
      <c r="N446" s="30" t="s">
        <v>227</v>
      </c>
      <c r="O446" s="172" t="s">
        <v>310</v>
      </c>
      <c r="P446" s="173" t="s">
        <v>310</v>
      </c>
      <c r="Q446" s="26" t="s">
        <v>134</v>
      </c>
      <c r="R446" s="96" t="s">
        <v>133</v>
      </c>
    </row>
    <row r="447" spans="1:18" s="32" customFormat="1" ht="15" x14ac:dyDescent="0.25">
      <c r="A447" s="84" t="s">
        <v>234</v>
      </c>
      <c r="B447" s="27">
        <v>92</v>
      </c>
      <c r="C447" s="27">
        <v>441</v>
      </c>
      <c r="D447" s="15">
        <f t="shared" si="66"/>
        <v>533</v>
      </c>
      <c r="E447" s="85">
        <v>7.666666666666667</v>
      </c>
      <c r="F447" s="85">
        <v>7.666666666666667</v>
      </c>
      <c r="G447" s="28">
        <f t="shared" si="57"/>
        <v>15.333333333333334</v>
      </c>
      <c r="H447" s="85">
        <v>35.166666666666664</v>
      </c>
      <c r="I447" s="85">
        <v>53.166666666666664</v>
      </c>
      <c r="J447" s="28">
        <f t="shared" si="58"/>
        <v>88.333333333333329</v>
      </c>
      <c r="K447" s="28">
        <f t="shared" si="59"/>
        <v>103.66666666666666</v>
      </c>
      <c r="L447" s="28" t="s">
        <v>302</v>
      </c>
      <c r="M447" s="26" t="s">
        <v>222</v>
      </c>
      <c r="N447" s="30" t="s">
        <v>227</v>
      </c>
      <c r="O447" s="172" t="s">
        <v>310</v>
      </c>
      <c r="P447" s="173" t="s">
        <v>310</v>
      </c>
      <c r="Q447" s="26" t="s">
        <v>134</v>
      </c>
      <c r="R447" s="96" t="s">
        <v>133</v>
      </c>
    </row>
    <row r="448" spans="1:18" s="32" customFormat="1" ht="15" x14ac:dyDescent="0.25">
      <c r="A448" s="84" t="s">
        <v>235</v>
      </c>
      <c r="B448" s="27">
        <v>1</v>
      </c>
      <c r="C448" s="27">
        <v>1</v>
      </c>
      <c r="D448" s="15">
        <f t="shared" si="66"/>
        <v>2</v>
      </c>
      <c r="E448" s="85">
        <v>0.16666666666666666</v>
      </c>
      <c r="F448" s="85">
        <v>2</v>
      </c>
      <c r="G448" s="28">
        <f t="shared" si="57"/>
        <v>2.1666666666666665</v>
      </c>
      <c r="H448" s="85">
        <v>0.16666666666666666</v>
      </c>
      <c r="I448" s="85">
        <v>8.3333333333333329E-2</v>
      </c>
      <c r="J448" s="28">
        <f t="shared" si="58"/>
        <v>0.25</v>
      </c>
      <c r="K448" s="28">
        <f t="shared" si="59"/>
        <v>2.4166666666666665</v>
      </c>
      <c r="L448" s="28" t="s">
        <v>302</v>
      </c>
      <c r="M448" s="26" t="s">
        <v>222</v>
      </c>
      <c r="N448" s="30" t="s">
        <v>227</v>
      </c>
      <c r="O448" s="172" t="s">
        <v>310</v>
      </c>
      <c r="P448" s="173" t="s">
        <v>310</v>
      </c>
      <c r="Q448" s="26" t="s">
        <v>134</v>
      </c>
      <c r="R448" s="96" t="s">
        <v>133</v>
      </c>
    </row>
    <row r="449" spans="1:18" s="32" customFormat="1" ht="15" x14ac:dyDescent="0.25">
      <c r="A449" s="84" t="s">
        <v>236</v>
      </c>
      <c r="B449" s="27">
        <v>31</v>
      </c>
      <c r="C449" s="27">
        <v>68</v>
      </c>
      <c r="D449" s="15">
        <f t="shared" si="66"/>
        <v>99</v>
      </c>
      <c r="E449" s="85">
        <v>2.5833333333333335</v>
      </c>
      <c r="F449" s="85">
        <v>5.166666666666667</v>
      </c>
      <c r="G449" s="28">
        <f t="shared" si="57"/>
        <v>7.75</v>
      </c>
      <c r="H449" s="85">
        <v>25.333333333333332</v>
      </c>
      <c r="I449" s="85">
        <v>25.333333333333332</v>
      </c>
      <c r="J449" s="28">
        <f t="shared" si="58"/>
        <v>50.666666666666664</v>
      </c>
      <c r="K449" s="28">
        <f t="shared" si="59"/>
        <v>58.416666666666664</v>
      </c>
      <c r="L449" s="28" t="s">
        <v>302</v>
      </c>
      <c r="M449" s="26" t="s">
        <v>222</v>
      </c>
      <c r="N449" s="30" t="s">
        <v>227</v>
      </c>
      <c r="O449" s="172" t="s">
        <v>310</v>
      </c>
      <c r="P449" s="173" t="s">
        <v>310</v>
      </c>
      <c r="Q449" s="26" t="s">
        <v>134</v>
      </c>
      <c r="R449" s="96" t="s">
        <v>133</v>
      </c>
    </row>
    <row r="450" spans="1:18" s="32" customFormat="1" ht="15" x14ac:dyDescent="0.25">
      <c r="A450" s="84" t="s">
        <v>237</v>
      </c>
      <c r="B450" s="27">
        <v>2</v>
      </c>
      <c r="C450" s="27">
        <v>0</v>
      </c>
      <c r="D450" s="15">
        <f t="shared" si="66"/>
        <v>2</v>
      </c>
      <c r="E450" s="85">
        <v>3.3333333333333333E-2</v>
      </c>
      <c r="F450" s="85">
        <v>0.66666666666666663</v>
      </c>
      <c r="G450" s="28">
        <f t="shared" si="57"/>
        <v>0.7</v>
      </c>
      <c r="H450" s="85">
        <v>0</v>
      </c>
      <c r="I450" s="85">
        <v>0</v>
      </c>
      <c r="J450" s="28">
        <f t="shared" si="58"/>
        <v>0</v>
      </c>
      <c r="K450" s="28">
        <f t="shared" si="59"/>
        <v>0.7</v>
      </c>
      <c r="L450" s="28" t="s">
        <v>302</v>
      </c>
      <c r="M450" s="26" t="s">
        <v>222</v>
      </c>
      <c r="N450" s="30" t="s">
        <v>227</v>
      </c>
      <c r="O450" s="172" t="s">
        <v>310</v>
      </c>
      <c r="P450" s="173" t="s">
        <v>310</v>
      </c>
      <c r="Q450" s="26" t="s">
        <v>134</v>
      </c>
      <c r="R450" s="96" t="s">
        <v>133</v>
      </c>
    </row>
    <row r="451" spans="1:18" s="32" customFormat="1" ht="15" x14ac:dyDescent="0.25">
      <c r="A451" s="84" t="s">
        <v>238</v>
      </c>
      <c r="B451" s="27">
        <v>14</v>
      </c>
      <c r="C451" s="27">
        <v>2</v>
      </c>
      <c r="D451" s="15">
        <f t="shared" si="66"/>
        <v>16</v>
      </c>
      <c r="E451" s="85">
        <v>0.23333333333333334</v>
      </c>
      <c r="F451" s="85">
        <v>0</v>
      </c>
      <c r="G451" s="28">
        <f t="shared" si="57"/>
        <v>0.23333333333333334</v>
      </c>
      <c r="H451" s="85">
        <v>1</v>
      </c>
      <c r="I451" s="85">
        <v>0</v>
      </c>
      <c r="J451" s="28">
        <f t="shared" si="58"/>
        <v>1</v>
      </c>
      <c r="K451" s="28">
        <f t="shared" si="59"/>
        <v>1.2333333333333334</v>
      </c>
      <c r="L451" s="28" t="s">
        <v>302</v>
      </c>
      <c r="M451" s="26" t="s">
        <v>222</v>
      </c>
      <c r="N451" s="30" t="s">
        <v>227</v>
      </c>
      <c r="O451" s="172" t="s">
        <v>310</v>
      </c>
      <c r="P451" s="173" t="s">
        <v>310</v>
      </c>
      <c r="Q451" s="26" t="s">
        <v>134</v>
      </c>
      <c r="R451" s="96" t="s">
        <v>133</v>
      </c>
    </row>
    <row r="452" spans="1:18" s="40" customFormat="1" ht="15" x14ac:dyDescent="0.25">
      <c r="A452" s="55" t="s">
        <v>230</v>
      </c>
      <c r="B452" s="38">
        <v>15</v>
      </c>
      <c r="C452" s="38">
        <v>194</v>
      </c>
      <c r="D452" s="35">
        <f>SUM(B452:C452)</f>
        <v>209</v>
      </c>
      <c r="E452" s="56">
        <v>0.5</v>
      </c>
      <c r="F452" s="56">
        <v>0.16666666666666666</v>
      </c>
      <c r="G452" s="36">
        <f t="shared" si="57"/>
        <v>0.66666666666666663</v>
      </c>
      <c r="H452" s="56">
        <v>19.616666666666667</v>
      </c>
      <c r="I452" s="56">
        <v>6.5388888888888888</v>
      </c>
      <c r="J452" s="36">
        <f t="shared" si="58"/>
        <v>26.155555555555555</v>
      </c>
      <c r="K452" s="36">
        <f t="shared" si="59"/>
        <v>26.822222222222223</v>
      </c>
      <c r="L452" s="36" t="s">
        <v>302</v>
      </c>
      <c r="M452" s="39" t="s">
        <v>223</v>
      </c>
      <c r="N452" s="53" t="s">
        <v>227</v>
      </c>
      <c r="O452" s="173" t="s">
        <v>310</v>
      </c>
      <c r="P452" s="173" t="s">
        <v>310</v>
      </c>
      <c r="Q452" s="39" t="s">
        <v>134</v>
      </c>
      <c r="R452" s="95" t="s">
        <v>133</v>
      </c>
    </row>
    <row r="453" spans="1:18" s="40" customFormat="1" ht="15" x14ac:dyDescent="0.25">
      <c r="A453" s="55" t="s">
        <v>231</v>
      </c>
      <c r="B453" s="38">
        <v>4</v>
      </c>
      <c r="C453" s="38">
        <v>111</v>
      </c>
      <c r="D453" s="35">
        <f t="shared" ref="D453:D460" si="67">SUM(B453:C453)</f>
        <v>115</v>
      </c>
      <c r="E453" s="56">
        <v>6.6666666666666666E-2</v>
      </c>
      <c r="F453" s="56">
        <v>2.2222222222222223E-2</v>
      </c>
      <c r="G453" s="36">
        <f t="shared" ref="G453:G516" si="68">E453+F453</f>
        <v>8.8888888888888892E-2</v>
      </c>
      <c r="H453" s="56">
        <v>17.55</v>
      </c>
      <c r="I453" s="56">
        <v>5.8500000000000005</v>
      </c>
      <c r="J453" s="36">
        <f t="shared" ref="J453:J516" si="69">H453+I453</f>
        <v>23.400000000000002</v>
      </c>
      <c r="K453" s="36">
        <f t="shared" ref="K453:K516" si="70">G453+J453</f>
        <v>23.488888888888891</v>
      </c>
      <c r="L453" s="36" t="s">
        <v>302</v>
      </c>
      <c r="M453" s="39" t="s">
        <v>223</v>
      </c>
      <c r="N453" s="53" t="s">
        <v>227</v>
      </c>
      <c r="O453" s="173" t="s">
        <v>310</v>
      </c>
      <c r="P453" s="173" t="s">
        <v>310</v>
      </c>
      <c r="Q453" s="39" t="s">
        <v>134</v>
      </c>
      <c r="R453" s="95" t="s">
        <v>133</v>
      </c>
    </row>
    <row r="454" spans="1:18" s="40" customFormat="1" ht="15" x14ac:dyDescent="0.25">
      <c r="A454" s="55" t="s">
        <v>232</v>
      </c>
      <c r="B454" s="38">
        <v>0</v>
      </c>
      <c r="C454" s="38">
        <v>0</v>
      </c>
      <c r="D454" s="35">
        <f t="shared" si="67"/>
        <v>0</v>
      </c>
      <c r="E454" s="56">
        <v>0</v>
      </c>
      <c r="F454" s="56">
        <v>0</v>
      </c>
      <c r="G454" s="36">
        <f t="shared" si="68"/>
        <v>0</v>
      </c>
      <c r="H454" s="56">
        <v>0</v>
      </c>
      <c r="I454" s="56">
        <v>0</v>
      </c>
      <c r="J454" s="36">
        <f t="shared" si="69"/>
        <v>0</v>
      </c>
      <c r="K454" s="36">
        <f t="shared" si="70"/>
        <v>0</v>
      </c>
      <c r="L454" s="36" t="s">
        <v>302</v>
      </c>
      <c r="M454" s="39" t="s">
        <v>223</v>
      </c>
      <c r="N454" s="53" t="s">
        <v>227</v>
      </c>
      <c r="O454" s="173" t="s">
        <v>310</v>
      </c>
      <c r="P454" s="173" t="s">
        <v>310</v>
      </c>
      <c r="Q454" s="39" t="s">
        <v>134</v>
      </c>
      <c r="R454" s="95" t="s">
        <v>133</v>
      </c>
    </row>
    <row r="455" spans="1:18" s="40" customFormat="1" ht="15" x14ac:dyDescent="0.25">
      <c r="A455" s="55" t="s">
        <v>233</v>
      </c>
      <c r="B455" s="38">
        <v>0</v>
      </c>
      <c r="C455" s="38">
        <v>0</v>
      </c>
      <c r="D455" s="35">
        <f t="shared" si="67"/>
        <v>0</v>
      </c>
      <c r="E455" s="56">
        <v>0</v>
      </c>
      <c r="F455" s="56">
        <v>0</v>
      </c>
      <c r="G455" s="36">
        <f t="shared" si="68"/>
        <v>0</v>
      </c>
      <c r="H455" s="56">
        <v>0</v>
      </c>
      <c r="I455" s="56">
        <v>0</v>
      </c>
      <c r="J455" s="36">
        <f t="shared" si="69"/>
        <v>0</v>
      </c>
      <c r="K455" s="36">
        <f t="shared" si="70"/>
        <v>0</v>
      </c>
      <c r="L455" s="36" t="s">
        <v>302</v>
      </c>
      <c r="M455" s="39" t="s">
        <v>223</v>
      </c>
      <c r="N455" s="53" t="s">
        <v>227</v>
      </c>
      <c r="O455" s="173" t="s">
        <v>310</v>
      </c>
      <c r="P455" s="173" t="s">
        <v>310</v>
      </c>
      <c r="Q455" s="39" t="s">
        <v>134</v>
      </c>
      <c r="R455" s="95" t="s">
        <v>133</v>
      </c>
    </row>
    <row r="456" spans="1:18" s="40" customFormat="1" ht="15" x14ac:dyDescent="0.25">
      <c r="A456" s="55" t="s">
        <v>234</v>
      </c>
      <c r="B456" s="38">
        <v>20</v>
      </c>
      <c r="C456" s="38">
        <v>251</v>
      </c>
      <c r="D456" s="35">
        <f t="shared" si="67"/>
        <v>271</v>
      </c>
      <c r="E456" s="56">
        <v>1.6666666666666667</v>
      </c>
      <c r="F456" s="56">
        <v>1.6666666666666667</v>
      </c>
      <c r="G456" s="36">
        <f t="shared" si="68"/>
        <v>3.3333333333333335</v>
      </c>
      <c r="H456" s="56">
        <v>21.2</v>
      </c>
      <c r="I456" s="56">
        <v>33.583333333333336</v>
      </c>
      <c r="J456" s="36">
        <f t="shared" si="69"/>
        <v>54.783333333333331</v>
      </c>
      <c r="K456" s="36">
        <f t="shared" si="70"/>
        <v>58.116666666666667</v>
      </c>
      <c r="L456" s="36" t="s">
        <v>302</v>
      </c>
      <c r="M456" s="39" t="s">
        <v>223</v>
      </c>
      <c r="N456" s="53" t="s">
        <v>227</v>
      </c>
      <c r="O456" s="173" t="s">
        <v>310</v>
      </c>
      <c r="P456" s="173" t="s">
        <v>310</v>
      </c>
      <c r="Q456" s="39" t="s">
        <v>134</v>
      </c>
      <c r="R456" s="95" t="s">
        <v>133</v>
      </c>
    </row>
    <row r="457" spans="1:18" s="40" customFormat="1" ht="15" x14ac:dyDescent="0.25">
      <c r="A457" s="55" t="s">
        <v>235</v>
      </c>
      <c r="B457" s="38">
        <v>1</v>
      </c>
      <c r="C457" s="38">
        <v>1</v>
      </c>
      <c r="D457" s="35">
        <f t="shared" si="67"/>
        <v>2</v>
      </c>
      <c r="E457" s="56">
        <v>0.16666666666666666</v>
      </c>
      <c r="F457" s="56">
        <v>2</v>
      </c>
      <c r="G457" s="36">
        <f t="shared" si="68"/>
        <v>2.1666666666666665</v>
      </c>
      <c r="H457" s="56">
        <v>0.16666666666666666</v>
      </c>
      <c r="I457" s="56">
        <v>8.3333333333333329E-2</v>
      </c>
      <c r="J457" s="36">
        <f t="shared" si="69"/>
        <v>0.25</v>
      </c>
      <c r="K457" s="36">
        <f t="shared" si="70"/>
        <v>2.4166666666666665</v>
      </c>
      <c r="L457" s="36" t="s">
        <v>302</v>
      </c>
      <c r="M457" s="39" t="s">
        <v>223</v>
      </c>
      <c r="N457" s="53" t="s">
        <v>227</v>
      </c>
      <c r="O457" s="173" t="s">
        <v>310</v>
      </c>
      <c r="P457" s="173" t="s">
        <v>310</v>
      </c>
      <c r="Q457" s="39" t="s">
        <v>134</v>
      </c>
      <c r="R457" s="95" t="s">
        <v>133</v>
      </c>
    </row>
    <row r="458" spans="1:18" s="40" customFormat="1" ht="15" x14ac:dyDescent="0.25">
      <c r="A458" s="55" t="s">
        <v>236</v>
      </c>
      <c r="B458" s="38">
        <v>1</v>
      </c>
      <c r="C458" s="38">
        <v>40</v>
      </c>
      <c r="D458" s="35">
        <f t="shared" si="67"/>
        <v>41</v>
      </c>
      <c r="E458" s="56">
        <v>8.3333333333333329E-2</v>
      </c>
      <c r="F458" s="56">
        <v>0.16666666666666666</v>
      </c>
      <c r="G458" s="36">
        <f t="shared" si="68"/>
        <v>0.25</v>
      </c>
      <c r="H458" s="56">
        <v>15.833333333333334</v>
      </c>
      <c r="I458" s="56">
        <v>15.833333333333334</v>
      </c>
      <c r="J458" s="36">
        <f t="shared" si="69"/>
        <v>31.666666666666668</v>
      </c>
      <c r="K458" s="36">
        <f t="shared" si="70"/>
        <v>31.916666666666668</v>
      </c>
      <c r="L458" s="36" t="s">
        <v>302</v>
      </c>
      <c r="M458" s="39" t="s">
        <v>223</v>
      </c>
      <c r="N458" s="53" t="s">
        <v>227</v>
      </c>
      <c r="O458" s="173" t="s">
        <v>310</v>
      </c>
      <c r="P458" s="173" t="s">
        <v>310</v>
      </c>
      <c r="Q458" s="39" t="s">
        <v>134</v>
      </c>
      <c r="R458" s="95" t="s">
        <v>133</v>
      </c>
    </row>
    <row r="459" spans="1:18" s="40" customFormat="1" ht="15" x14ac:dyDescent="0.25">
      <c r="A459" s="55" t="s">
        <v>237</v>
      </c>
      <c r="B459" s="38">
        <v>0</v>
      </c>
      <c r="C459" s="38">
        <v>4</v>
      </c>
      <c r="D459" s="35">
        <f t="shared" si="67"/>
        <v>4</v>
      </c>
      <c r="E459" s="56">
        <v>0</v>
      </c>
      <c r="F459" s="56">
        <v>0</v>
      </c>
      <c r="G459" s="36">
        <f t="shared" si="68"/>
        <v>0</v>
      </c>
      <c r="H459" s="56">
        <v>0.23333333333333334</v>
      </c>
      <c r="I459" s="56">
        <v>0.66666666666666663</v>
      </c>
      <c r="J459" s="36">
        <f t="shared" si="69"/>
        <v>0.89999999999999991</v>
      </c>
      <c r="K459" s="36">
        <f t="shared" si="70"/>
        <v>0.89999999999999991</v>
      </c>
      <c r="L459" s="36" t="s">
        <v>302</v>
      </c>
      <c r="M459" s="39" t="s">
        <v>223</v>
      </c>
      <c r="N459" s="53" t="s">
        <v>227</v>
      </c>
      <c r="O459" s="173" t="s">
        <v>310</v>
      </c>
      <c r="P459" s="173" t="s">
        <v>310</v>
      </c>
      <c r="Q459" s="39" t="s">
        <v>134</v>
      </c>
      <c r="R459" s="95" t="s">
        <v>133</v>
      </c>
    </row>
    <row r="460" spans="1:18" s="40" customFormat="1" ht="15" x14ac:dyDescent="0.25">
      <c r="A460" s="55" t="s">
        <v>238</v>
      </c>
      <c r="B460" s="38">
        <v>0</v>
      </c>
      <c r="C460" s="38">
        <v>0</v>
      </c>
      <c r="D460" s="35">
        <f t="shared" si="67"/>
        <v>0</v>
      </c>
      <c r="E460" s="56">
        <v>0</v>
      </c>
      <c r="F460" s="56">
        <v>0</v>
      </c>
      <c r="G460" s="36">
        <f t="shared" si="68"/>
        <v>0</v>
      </c>
      <c r="H460" s="56">
        <v>0</v>
      </c>
      <c r="I460" s="56">
        <v>0</v>
      </c>
      <c r="J460" s="36">
        <f t="shared" si="69"/>
        <v>0</v>
      </c>
      <c r="K460" s="36">
        <f t="shared" si="70"/>
        <v>0</v>
      </c>
      <c r="L460" s="36" t="s">
        <v>302</v>
      </c>
      <c r="M460" s="39" t="s">
        <v>223</v>
      </c>
      <c r="N460" s="53" t="s">
        <v>227</v>
      </c>
      <c r="O460" s="173" t="s">
        <v>310</v>
      </c>
      <c r="P460" s="173" t="s">
        <v>310</v>
      </c>
      <c r="Q460" s="39" t="s">
        <v>134</v>
      </c>
      <c r="R460" s="95" t="s">
        <v>133</v>
      </c>
    </row>
    <row r="461" spans="1:18" s="32" customFormat="1" ht="15" x14ac:dyDescent="0.25">
      <c r="A461" s="84" t="s">
        <v>230</v>
      </c>
      <c r="B461" s="27">
        <v>360</v>
      </c>
      <c r="C461" s="27">
        <v>24</v>
      </c>
      <c r="D461" s="15">
        <f>SUM(B461:C461)</f>
        <v>384</v>
      </c>
      <c r="E461" s="85">
        <v>6</v>
      </c>
      <c r="F461" s="85">
        <v>2</v>
      </c>
      <c r="G461" s="28">
        <f t="shared" si="68"/>
        <v>8</v>
      </c>
      <c r="H461" s="85">
        <v>2.4666666666666668</v>
      </c>
      <c r="I461" s="85">
        <v>0.8222222222222223</v>
      </c>
      <c r="J461" s="28">
        <f t="shared" si="69"/>
        <v>3.2888888888888892</v>
      </c>
      <c r="K461" s="28">
        <f t="shared" si="70"/>
        <v>11.28888888888889</v>
      </c>
      <c r="L461" s="28" t="s">
        <v>302</v>
      </c>
      <c r="M461" s="26" t="s">
        <v>136</v>
      </c>
      <c r="N461" s="30" t="s">
        <v>227</v>
      </c>
      <c r="O461" s="172" t="s">
        <v>309</v>
      </c>
      <c r="P461" s="172" t="s">
        <v>309</v>
      </c>
      <c r="Q461" s="26" t="s">
        <v>135</v>
      </c>
      <c r="R461" s="96" t="s">
        <v>137</v>
      </c>
    </row>
    <row r="462" spans="1:18" s="32" customFormat="1" ht="15" x14ac:dyDescent="0.25">
      <c r="A462" s="84" t="s">
        <v>231</v>
      </c>
      <c r="B462" s="27">
        <v>172</v>
      </c>
      <c r="C462" s="27">
        <v>6</v>
      </c>
      <c r="D462" s="15">
        <f t="shared" ref="D462:D469" si="71">SUM(B462:C462)</f>
        <v>178</v>
      </c>
      <c r="E462" s="85">
        <v>2.8666666666666667</v>
      </c>
      <c r="F462" s="85">
        <v>0.9555555555555556</v>
      </c>
      <c r="G462" s="28">
        <f t="shared" si="68"/>
        <v>3.8222222222222224</v>
      </c>
      <c r="H462" s="85">
        <v>1.2166666666666666</v>
      </c>
      <c r="I462" s="85">
        <v>0.4055555555555555</v>
      </c>
      <c r="J462" s="28">
        <f t="shared" si="69"/>
        <v>1.622222222222222</v>
      </c>
      <c r="K462" s="28">
        <f t="shared" si="70"/>
        <v>5.4444444444444446</v>
      </c>
      <c r="L462" s="28" t="s">
        <v>302</v>
      </c>
      <c r="M462" s="26" t="s">
        <v>136</v>
      </c>
      <c r="N462" s="30" t="s">
        <v>227</v>
      </c>
      <c r="O462" s="172" t="s">
        <v>309</v>
      </c>
      <c r="P462" s="172" t="s">
        <v>309</v>
      </c>
      <c r="Q462" s="26" t="s">
        <v>135</v>
      </c>
      <c r="R462" s="96" t="s">
        <v>137</v>
      </c>
    </row>
    <row r="463" spans="1:18" s="32" customFormat="1" ht="15" x14ac:dyDescent="0.25">
      <c r="A463" s="84" t="s">
        <v>232</v>
      </c>
      <c r="B463" s="27">
        <v>0</v>
      </c>
      <c r="C463" s="27">
        <v>0</v>
      </c>
      <c r="D463" s="15">
        <f t="shared" si="71"/>
        <v>0</v>
      </c>
      <c r="E463" s="85">
        <v>0</v>
      </c>
      <c r="F463" s="85">
        <v>0</v>
      </c>
      <c r="G463" s="28">
        <f t="shared" si="68"/>
        <v>0</v>
      </c>
      <c r="H463" s="85">
        <v>0</v>
      </c>
      <c r="I463" s="85">
        <v>0</v>
      </c>
      <c r="J463" s="28">
        <f t="shared" si="69"/>
        <v>0</v>
      </c>
      <c r="K463" s="28">
        <f t="shared" si="70"/>
        <v>0</v>
      </c>
      <c r="L463" s="28" t="s">
        <v>302</v>
      </c>
      <c r="M463" s="26" t="s">
        <v>136</v>
      </c>
      <c r="N463" s="30" t="s">
        <v>227</v>
      </c>
      <c r="O463" s="172" t="s">
        <v>309</v>
      </c>
      <c r="P463" s="172" t="s">
        <v>309</v>
      </c>
      <c r="Q463" s="26" t="s">
        <v>135</v>
      </c>
      <c r="R463" s="96" t="s">
        <v>137</v>
      </c>
    </row>
    <row r="464" spans="1:18" s="32" customFormat="1" ht="15" x14ac:dyDescent="0.25">
      <c r="A464" s="84" t="s">
        <v>233</v>
      </c>
      <c r="B464" s="27">
        <v>0</v>
      </c>
      <c r="C464" s="27">
        <v>0</v>
      </c>
      <c r="D464" s="15">
        <f t="shared" si="71"/>
        <v>0</v>
      </c>
      <c r="E464" s="85">
        <v>0</v>
      </c>
      <c r="F464" s="85">
        <v>0</v>
      </c>
      <c r="G464" s="28">
        <f t="shared" si="68"/>
        <v>0</v>
      </c>
      <c r="H464" s="85">
        <v>0</v>
      </c>
      <c r="I464" s="85">
        <v>0</v>
      </c>
      <c r="J464" s="28">
        <f t="shared" si="69"/>
        <v>0</v>
      </c>
      <c r="K464" s="28">
        <f t="shared" si="70"/>
        <v>0</v>
      </c>
      <c r="L464" s="28" t="s">
        <v>302</v>
      </c>
      <c r="M464" s="26" t="s">
        <v>136</v>
      </c>
      <c r="N464" s="30" t="s">
        <v>227</v>
      </c>
      <c r="O464" s="172" t="s">
        <v>309</v>
      </c>
      <c r="P464" s="172" t="s">
        <v>309</v>
      </c>
      <c r="Q464" s="26" t="s">
        <v>135</v>
      </c>
      <c r="R464" s="96" t="s">
        <v>137</v>
      </c>
    </row>
    <row r="465" spans="1:18" s="32" customFormat="1" ht="15" x14ac:dyDescent="0.25">
      <c r="A465" s="84" t="s">
        <v>234</v>
      </c>
      <c r="B465" s="27">
        <v>445</v>
      </c>
      <c r="C465" s="27">
        <v>12</v>
      </c>
      <c r="D465" s="15">
        <f t="shared" si="71"/>
        <v>457</v>
      </c>
      <c r="E465" s="85">
        <v>7.416666666666667</v>
      </c>
      <c r="F465" s="85">
        <v>0</v>
      </c>
      <c r="G465" s="28">
        <f t="shared" si="68"/>
        <v>7.416666666666667</v>
      </c>
      <c r="H465" s="85">
        <v>1.4666666666666666</v>
      </c>
      <c r="I465" s="85">
        <v>1</v>
      </c>
      <c r="J465" s="28">
        <f t="shared" si="69"/>
        <v>2.4666666666666668</v>
      </c>
      <c r="K465" s="28">
        <f t="shared" si="70"/>
        <v>9.8833333333333329</v>
      </c>
      <c r="L465" s="28" t="s">
        <v>302</v>
      </c>
      <c r="M465" s="26" t="s">
        <v>136</v>
      </c>
      <c r="N465" s="30" t="s">
        <v>227</v>
      </c>
      <c r="O465" s="172" t="s">
        <v>309</v>
      </c>
      <c r="P465" s="172" t="s">
        <v>309</v>
      </c>
      <c r="Q465" s="26" t="s">
        <v>135</v>
      </c>
      <c r="R465" s="96" t="s">
        <v>137</v>
      </c>
    </row>
    <row r="466" spans="1:18" s="32" customFormat="1" ht="15" x14ac:dyDescent="0.25">
      <c r="A466" s="84" t="s">
        <v>235</v>
      </c>
      <c r="B466" s="27">
        <v>1</v>
      </c>
      <c r="C466" s="27">
        <v>0</v>
      </c>
      <c r="D466" s="15">
        <f t="shared" si="71"/>
        <v>1</v>
      </c>
      <c r="E466" s="85">
        <v>1.6666666666666666E-2</v>
      </c>
      <c r="F466" s="85">
        <v>0</v>
      </c>
      <c r="G466" s="28">
        <f t="shared" si="68"/>
        <v>1.6666666666666666E-2</v>
      </c>
      <c r="H466" s="85">
        <v>0</v>
      </c>
      <c r="I466" s="85">
        <v>0</v>
      </c>
      <c r="J466" s="28">
        <f t="shared" si="69"/>
        <v>0</v>
      </c>
      <c r="K466" s="28">
        <f t="shared" si="70"/>
        <v>1.6666666666666666E-2</v>
      </c>
      <c r="L466" s="28" t="s">
        <v>302</v>
      </c>
      <c r="M466" s="26" t="s">
        <v>136</v>
      </c>
      <c r="N466" s="30" t="s">
        <v>227</v>
      </c>
      <c r="O466" s="172" t="s">
        <v>309</v>
      </c>
      <c r="P466" s="172" t="s">
        <v>309</v>
      </c>
      <c r="Q466" s="26" t="s">
        <v>135</v>
      </c>
      <c r="R466" s="96" t="s">
        <v>137</v>
      </c>
    </row>
    <row r="467" spans="1:18" s="32" customFormat="1" ht="15" x14ac:dyDescent="0.25">
      <c r="A467" s="84" t="s">
        <v>236</v>
      </c>
      <c r="B467" s="27">
        <v>79</v>
      </c>
      <c r="C467" s="27">
        <v>3</v>
      </c>
      <c r="D467" s="15">
        <f t="shared" si="71"/>
        <v>82</v>
      </c>
      <c r="E467" s="85">
        <v>1.3166666666666667</v>
      </c>
      <c r="F467" s="85">
        <v>0</v>
      </c>
      <c r="G467" s="28">
        <f t="shared" si="68"/>
        <v>1.3166666666666667</v>
      </c>
      <c r="H467" s="85">
        <v>3.6666666666666665</v>
      </c>
      <c r="I467" s="85">
        <v>0.5</v>
      </c>
      <c r="J467" s="28">
        <f t="shared" si="69"/>
        <v>4.1666666666666661</v>
      </c>
      <c r="K467" s="28">
        <f t="shared" si="70"/>
        <v>5.4833333333333325</v>
      </c>
      <c r="L467" s="28" t="s">
        <v>302</v>
      </c>
      <c r="M467" s="26" t="s">
        <v>136</v>
      </c>
      <c r="N467" s="30" t="s">
        <v>227</v>
      </c>
      <c r="O467" s="172" t="s">
        <v>309</v>
      </c>
      <c r="P467" s="172" t="s">
        <v>309</v>
      </c>
      <c r="Q467" s="26" t="s">
        <v>135</v>
      </c>
      <c r="R467" s="96" t="s">
        <v>137</v>
      </c>
    </row>
    <row r="468" spans="1:18" s="32" customFormat="1" ht="15" x14ac:dyDescent="0.25">
      <c r="A468" s="84" t="s">
        <v>237</v>
      </c>
      <c r="B468" s="27">
        <v>30</v>
      </c>
      <c r="C468" s="27">
        <v>0</v>
      </c>
      <c r="D468" s="15">
        <f t="shared" si="71"/>
        <v>30</v>
      </c>
      <c r="E468" s="85">
        <v>0.5</v>
      </c>
      <c r="F468" s="85">
        <v>0</v>
      </c>
      <c r="G468" s="28">
        <f t="shared" si="68"/>
        <v>0.5</v>
      </c>
      <c r="H468" s="85">
        <v>0</v>
      </c>
      <c r="I468" s="85">
        <v>0</v>
      </c>
      <c r="J468" s="28">
        <f t="shared" si="69"/>
        <v>0</v>
      </c>
      <c r="K468" s="28">
        <f t="shared" si="70"/>
        <v>0.5</v>
      </c>
      <c r="L468" s="28" t="s">
        <v>302</v>
      </c>
      <c r="M468" s="26" t="s">
        <v>136</v>
      </c>
      <c r="N468" s="30" t="s">
        <v>227</v>
      </c>
      <c r="O468" s="172" t="s">
        <v>309</v>
      </c>
      <c r="P468" s="172" t="s">
        <v>309</v>
      </c>
      <c r="Q468" s="26" t="s">
        <v>135</v>
      </c>
      <c r="R468" s="96" t="s">
        <v>137</v>
      </c>
    </row>
    <row r="469" spans="1:18" s="32" customFormat="1" ht="15" x14ac:dyDescent="0.25">
      <c r="A469" s="84" t="s">
        <v>238</v>
      </c>
      <c r="B469" s="27">
        <v>7</v>
      </c>
      <c r="C469" s="27">
        <v>0</v>
      </c>
      <c r="D469" s="15">
        <f t="shared" si="71"/>
        <v>7</v>
      </c>
      <c r="E469" s="85">
        <v>0.11666666666666667</v>
      </c>
      <c r="F469" s="85">
        <v>0</v>
      </c>
      <c r="G469" s="28">
        <f t="shared" si="68"/>
        <v>0.11666666666666667</v>
      </c>
      <c r="H469" s="85">
        <v>0</v>
      </c>
      <c r="I469" s="85">
        <v>0</v>
      </c>
      <c r="J469" s="28">
        <f t="shared" si="69"/>
        <v>0</v>
      </c>
      <c r="K469" s="28">
        <f t="shared" si="70"/>
        <v>0.11666666666666667</v>
      </c>
      <c r="L469" s="28" t="s">
        <v>302</v>
      </c>
      <c r="M469" s="26" t="s">
        <v>136</v>
      </c>
      <c r="N469" s="30" t="s">
        <v>227</v>
      </c>
      <c r="O469" s="172" t="s">
        <v>309</v>
      </c>
      <c r="P469" s="172" t="s">
        <v>309</v>
      </c>
      <c r="Q469" s="26" t="s">
        <v>135</v>
      </c>
      <c r="R469" s="96" t="s">
        <v>137</v>
      </c>
    </row>
    <row r="470" spans="1:18" s="40" customFormat="1" ht="15" x14ac:dyDescent="0.25">
      <c r="A470" s="55" t="s">
        <v>230</v>
      </c>
      <c r="B470" s="38">
        <v>25</v>
      </c>
      <c r="C470" s="38">
        <v>184</v>
      </c>
      <c r="D470" s="35">
        <f>SUM(B470:C470)</f>
        <v>209</v>
      </c>
      <c r="E470" s="56">
        <v>0.83333333333333337</v>
      </c>
      <c r="F470" s="56">
        <v>0.27777777777777779</v>
      </c>
      <c r="G470" s="36">
        <f t="shared" si="68"/>
        <v>1.1111111111111112</v>
      </c>
      <c r="H470" s="56">
        <v>10.25</v>
      </c>
      <c r="I470" s="56">
        <v>3.4166666666666665</v>
      </c>
      <c r="J470" s="36">
        <f t="shared" si="69"/>
        <v>13.666666666666666</v>
      </c>
      <c r="K470" s="36">
        <f t="shared" si="70"/>
        <v>14.777777777777777</v>
      </c>
      <c r="L470" s="36" t="s">
        <v>302</v>
      </c>
      <c r="M470" s="39"/>
      <c r="N470" s="53" t="s">
        <v>227</v>
      </c>
      <c r="O470" s="173" t="s">
        <v>308</v>
      </c>
      <c r="P470" s="173" t="s">
        <v>311</v>
      </c>
      <c r="Q470" s="39" t="s">
        <v>160</v>
      </c>
      <c r="R470" s="95" t="s">
        <v>161</v>
      </c>
    </row>
    <row r="471" spans="1:18" s="40" customFormat="1" ht="15" x14ac:dyDescent="0.25">
      <c r="A471" s="55" t="s">
        <v>231</v>
      </c>
      <c r="B471" s="38">
        <v>12</v>
      </c>
      <c r="C471" s="38">
        <v>43</v>
      </c>
      <c r="D471" s="35">
        <f t="shared" ref="D471:D478" si="72">SUM(B471:C471)</f>
        <v>55</v>
      </c>
      <c r="E471" s="56">
        <v>0.2</v>
      </c>
      <c r="F471" s="56">
        <v>6.6666666666666666E-2</v>
      </c>
      <c r="G471" s="36">
        <f t="shared" si="68"/>
        <v>0.26666666666666666</v>
      </c>
      <c r="H471" s="56">
        <v>2.5333333333333332</v>
      </c>
      <c r="I471" s="56">
        <v>0.84444444444444444</v>
      </c>
      <c r="J471" s="36">
        <f t="shared" si="69"/>
        <v>3.3777777777777778</v>
      </c>
      <c r="K471" s="36">
        <f t="shared" si="70"/>
        <v>3.6444444444444444</v>
      </c>
      <c r="L471" s="36" t="s">
        <v>302</v>
      </c>
      <c r="M471" s="39"/>
      <c r="N471" s="53" t="s">
        <v>227</v>
      </c>
      <c r="O471" s="173" t="s">
        <v>308</v>
      </c>
      <c r="P471" s="173" t="s">
        <v>311</v>
      </c>
      <c r="Q471" s="39" t="s">
        <v>160</v>
      </c>
      <c r="R471" s="95" t="s">
        <v>161</v>
      </c>
    </row>
    <row r="472" spans="1:18" s="40" customFormat="1" ht="15" x14ac:dyDescent="0.25">
      <c r="A472" s="55" t="s">
        <v>232</v>
      </c>
      <c r="B472" s="38">
        <v>20</v>
      </c>
      <c r="C472" s="38">
        <v>0</v>
      </c>
      <c r="D472" s="35">
        <f t="shared" si="72"/>
        <v>20</v>
      </c>
      <c r="E472" s="56">
        <v>13.333333333333334</v>
      </c>
      <c r="F472" s="56">
        <v>6.666666666666667</v>
      </c>
      <c r="G472" s="36">
        <f t="shared" si="68"/>
        <v>20</v>
      </c>
      <c r="H472" s="56">
        <v>0</v>
      </c>
      <c r="I472" s="56">
        <v>0</v>
      </c>
      <c r="J472" s="36">
        <f t="shared" si="69"/>
        <v>0</v>
      </c>
      <c r="K472" s="36">
        <f t="shared" si="70"/>
        <v>20</v>
      </c>
      <c r="L472" s="36" t="s">
        <v>302</v>
      </c>
      <c r="M472" s="39"/>
      <c r="N472" s="53" t="s">
        <v>227</v>
      </c>
      <c r="O472" s="173" t="s">
        <v>308</v>
      </c>
      <c r="P472" s="173" t="s">
        <v>311</v>
      </c>
      <c r="Q472" s="39" t="s">
        <v>160</v>
      </c>
      <c r="R472" s="95" t="s">
        <v>161</v>
      </c>
    </row>
    <row r="473" spans="1:18" s="40" customFormat="1" ht="15" x14ac:dyDescent="0.25">
      <c r="A473" s="55" t="s">
        <v>233</v>
      </c>
      <c r="B473" s="38">
        <v>0</v>
      </c>
      <c r="C473" s="38">
        <v>0</v>
      </c>
      <c r="D473" s="35">
        <f t="shared" si="72"/>
        <v>0</v>
      </c>
      <c r="E473" s="56">
        <v>0</v>
      </c>
      <c r="F473" s="56">
        <v>0</v>
      </c>
      <c r="G473" s="36">
        <f t="shared" si="68"/>
        <v>0</v>
      </c>
      <c r="H473" s="56">
        <v>0</v>
      </c>
      <c r="I473" s="56">
        <v>0</v>
      </c>
      <c r="J473" s="36">
        <f t="shared" si="69"/>
        <v>0</v>
      </c>
      <c r="K473" s="36">
        <f t="shared" si="70"/>
        <v>0</v>
      </c>
      <c r="L473" s="36" t="s">
        <v>302</v>
      </c>
      <c r="M473" s="39"/>
      <c r="N473" s="53" t="s">
        <v>227</v>
      </c>
      <c r="O473" s="173" t="s">
        <v>308</v>
      </c>
      <c r="P473" s="173" t="s">
        <v>311</v>
      </c>
      <c r="Q473" s="39" t="s">
        <v>160</v>
      </c>
      <c r="R473" s="95" t="s">
        <v>161</v>
      </c>
    </row>
    <row r="474" spans="1:18" s="40" customFormat="1" ht="15" x14ac:dyDescent="0.25">
      <c r="A474" s="55" t="s">
        <v>234</v>
      </c>
      <c r="B474" s="38">
        <v>34</v>
      </c>
      <c r="C474" s="38">
        <v>72</v>
      </c>
      <c r="D474" s="35">
        <f t="shared" si="72"/>
        <v>106</v>
      </c>
      <c r="E474" s="56">
        <v>2.8333333333333335</v>
      </c>
      <c r="F474" s="56">
        <v>2.8333333333333335</v>
      </c>
      <c r="G474" s="36">
        <f t="shared" si="68"/>
        <v>5.666666666666667</v>
      </c>
      <c r="H474" s="56">
        <v>5.083333333333333</v>
      </c>
      <c r="I474" s="56">
        <v>8.3333333333333339</v>
      </c>
      <c r="J474" s="36">
        <f t="shared" si="69"/>
        <v>13.416666666666668</v>
      </c>
      <c r="K474" s="36">
        <f t="shared" si="70"/>
        <v>19.083333333333336</v>
      </c>
      <c r="L474" s="36" t="s">
        <v>302</v>
      </c>
      <c r="M474" s="39"/>
      <c r="N474" s="53" t="s">
        <v>227</v>
      </c>
      <c r="O474" s="173" t="s">
        <v>308</v>
      </c>
      <c r="P474" s="173" t="s">
        <v>311</v>
      </c>
      <c r="Q474" s="39" t="s">
        <v>160</v>
      </c>
      <c r="R474" s="95" t="s">
        <v>161</v>
      </c>
    </row>
    <row r="475" spans="1:18" s="40" customFormat="1" ht="15" x14ac:dyDescent="0.25">
      <c r="A475" s="55" t="s">
        <v>235</v>
      </c>
      <c r="B475" s="38">
        <v>1</v>
      </c>
      <c r="C475" s="38">
        <v>1</v>
      </c>
      <c r="D475" s="35">
        <f t="shared" si="72"/>
        <v>2</v>
      </c>
      <c r="E475" s="56">
        <v>0.16666666666666666</v>
      </c>
      <c r="F475" s="56">
        <v>2</v>
      </c>
      <c r="G475" s="36">
        <f t="shared" si="68"/>
        <v>2.1666666666666665</v>
      </c>
      <c r="H475" s="56">
        <v>0.16666666666666666</v>
      </c>
      <c r="I475" s="56">
        <v>8.3333333333333329E-2</v>
      </c>
      <c r="J475" s="36">
        <f t="shared" si="69"/>
        <v>0.25</v>
      </c>
      <c r="K475" s="36">
        <f t="shared" si="70"/>
        <v>2.4166666666666665</v>
      </c>
      <c r="L475" s="36" t="s">
        <v>302</v>
      </c>
      <c r="M475" s="39"/>
      <c r="N475" s="53" t="s">
        <v>227</v>
      </c>
      <c r="O475" s="173" t="s">
        <v>308</v>
      </c>
      <c r="P475" s="173" t="s">
        <v>311</v>
      </c>
      <c r="Q475" s="39" t="s">
        <v>160</v>
      </c>
      <c r="R475" s="95" t="s">
        <v>161</v>
      </c>
    </row>
    <row r="476" spans="1:18" s="40" customFormat="1" ht="15" x14ac:dyDescent="0.25">
      <c r="A476" s="55" t="s">
        <v>236</v>
      </c>
      <c r="B476" s="38">
        <v>13</v>
      </c>
      <c r="C476" s="38">
        <v>13</v>
      </c>
      <c r="D476" s="35">
        <f t="shared" si="72"/>
        <v>26</v>
      </c>
      <c r="E476" s="56">
        <v>10.083333333333334</v>
      </c>
      <c r="F476" s="56">
        <v>70</v>
      </c>
      <c r="G476" s="36">
        <f t="shared" si="68"/>
        <v>80.083333333333329</v>
      </c>
      <c r="H476" s="56">
        <v>11.833333333333334</v>
      </c>
      <c r="I476" s="56">
        <v>42</v>
      </c>
      <c r="J476" s="36">
        <f t="shared" si="69"/>
        <v>53.833333333333336</v>
      </c>
      <c r="K476" s="36">
        <f t="shared" si="70"/>
        <v>133.91666666666666</v>
      </c>
      <c r="L476" s="36" t="s">
        <v>302</v>
      </c>
      <c r="M476" s="39"/>
      <c r="N476" s="53" t="s">
        <v>227</v>
      </c>
      <c r="O476" s="173" t="s">
        <v>308</v>
      </c>
      <c r="P476" s="173" t="s">
        <v>311</v>
      </c>
      <c r="Q476" s="39" t="s">
        <v>160</v>
      </c>
      <c r="R476" s="95" t="s">
        <v>161</v>
      </c>
    </row>
    <row r="477" spans="1:18" s="40" customFormat="1" ht="15" x14ac:dyDescent="0.25">
      <c r="A477" s="55" t="s">
        <v>237</v>
      </c>
      <c r="B477" s="38">
        <v>4</v>
      </c>
      <c r="C477" s="38">
        <v>15</v>
      </c>
      <c r="D477" s="35">
        <f t="shared" si="72"/>
        <v>19</v>
      </c>
      <c r="E477" s="56">
        <v>6.6666666666666666E-2</v>
      </c>
      <c r="F477" s="56">
        <v>1.3333333333333333</v>
      </c>
      <c r="G477" s="36">
        <f t="shared" si="68"/>
        <v>1.4</v>
      </c>
      <c r="H477" s="56">
        <v>0.75</v>
      </c>
      <c r="I477" s="56">
        <v>2.5</v>
      </c>
      <c r="J477" s="36">
        <f t="shared" si="69"/>
        <v>3.25</v>
      </c>
      <c r="K477" s="36">
        <f t="shared" si="70"/>
        <v>4.6500000000000004</v>
      </c>
      <c r="L477" s="36" t="s">
        <v>302</v>
      </c>
      <c r="M477" s="39"/>
      <c r="N477" s="53" t="s">
        <v>227</v>
      </c>
      <c r="O477" s="173" t="s">
        <v>308</v>
      </c>
      <c r="P477" s="173" t="s">
        <v>311</v>
      </c>
      <c r="Q477" s="39" t="s">
        <v>160</v>
      </c>
      <c r="R477" s="95" t="s">
        <v>161</v>
      </c>
    </row>
    <row r="478" spans="1:18" s="40" customFormat="1" ht="15" x14ac:dyDescent="0.25">
      <c r="A478" s="55" t="s">
        <v>238</v>
      </c>
      <c r="B478" s="38">
        <v>0</v>
      </c>
      <c r="C478" s="38">
        <v>0</v>
      </c>
      <c r="D478" s="35">
        <f t="shared" si="72"/>
        <v>0</v>
      </c>
      <c r="E478" s="56">
        <v>0</v>
      </c>
      <c r="F478" s="56">
        <v>0</v>
      </c>
      <c r="G478" s="36">
        <f t="shared" si="68"/>
        <v>0</v>
      </c>
      <c r="H478" s="56">
        <v>0</v>
      </c>
      <c r="I478" s="56">
        <v>0</v>
      </c>
      <c r="J478" s="36">
        <f t="shared" si="69"/>
        <v>0</v>
      </c>
      <c r="K478" s="36">
        <f t="shared" si="70"/>
        <v>0</v>
      </c>
      <c r="L478" s="36" t="s">
        <v>302</v>
      </c>
      <c r="M478" s="39"/>
      <c r="N478" s="53" t="s">
        <v>227</v>
      </c>
      <c r="O478" s="173" t="s">
        <v>308</v>
      </c>
      <c r="P478" s="173" t="s">
        <v>311</v>
      </c>
      <c r="Q478" s="39" t="s">
        <v>160</v>
      </c>
      <c r="R478" s="95" t="s">
        <v>161</v>
      </c>
    </row>
    <row r="479" spans="1:18" s="32" customFormat="1" ht="15" x14ac:dyDescent="0.25">
      <c r="A479" s="84" t="s">
        <v>230</v>
      </c>
      <c r="B479" s="27">
        <v>4</v>
      </c>
      <c r="C479" s="27">
        <v>30</v>
      </c>
      <c r="D479" s="15">
        <f>SUM(B479:C479)</f>
        <v>34</v>
      </c>
      <c r="E479" s="85">
        <v>0.13333333333333333</v>
      </c>
      <c r="F479" s="85">
        <v>4.4444444444444446E-2</v>
      </c>
      <c r="G479" s="28">
        <f t="shared" si="68"/>
        <v>0.17777777777777778</v>
      </c>
      <c r="H479" s="85">
        <v>1.5</v>
      </c>
      <c r="I479" s="85">
        <v>0.5</v>
      </c>
      <c r="J479" s="28">
        <f t="shared" si="69"/>
        <v>2</v>
      </c>
      <c r="K479" s="28">
        <f t="shared" si="70"/>
        <v>2.1777777777777776</v>
      </c>
      <c r="L479" s="28" t="s">
        <v>302</v>
      </c>
      <c r="M479" s="26" t="s">
        <v>241</v>
      </c>
      <c r="N479" s="30" t="s">
        <v>227</v>
      </c>
      <c r="O479" s="172" t="s">
        <v>309</v>
      </c>
      <c r="P479" s="172" t="s">
        <v>311</v>
      </c>
      <c r="Q479" s="26" t="s">
        <v>163</v>
      </c>
      <c r="R479" s="96" t="s">
        <v>162</v>
      </c>
    </row>
    <row r="480" spans="1:18" s="32" customFormat="1" ht="15" x14ac:dyDescent="0.25">
      <c r="A480" s="84" t="s">
        <v>231</v>
      </c>
      <c r="B480" s="27">
        <v>2</v>
      </c>
      <c r="C480" s="27">
        <v>1</v>
      </c>
      <c r="D480" s="15">
        <f t="shared" ref="D480:D487" si="73">SUM(B480:C480)</f>
        <v>3</v>
      </c>
      <c r="E480" s="85">
        <v>3.3333333333333333E-2</v>
      </c>
      <c r="F480" s="85">
        <v>1.1111111111111112E-2</v>
      </c>
      <c r="G480" s="28">
        <f t="shared" si="68"/>
        <v>4.4444444444444446E-2</v>
      </c>
      <c r="H480" s="85">
        <v>0.05</v>
      </c>
      <c r="I480" s="85">
        <v>1.6666666666666666E-2</v>
      </c>
      <c r="J480" s="28">
        <f t="shared" si="69"/>
        <v>6.6666666666666666E-2</v>
      </c>
      <c r="K480" s="28">
        <f t="shared" si="70"/>
        <v>0.1111111111111111</v>
      </c>
      <c r="L480" s="28" t="s">
        <v>302</v>
      </c>
      <c r="M480" s="26" t="s">
        <v>241</v>
      </c>
      <c r="N480" s="30" t="s">
        <v>227</v>
      </c>
      <c r="O480" s="172" t="s">
        <v>309</v>
      </c>
      <c r="P480" s="172" t="s">
        <v>311</v>
      </c>
      <c r="Q480" s="26" t="s">
        <v>163</v>
      </c>
      <c r="R480" s="96" t="s">
        <v>162</v>
      </c>
    </row>
    <row r="481" spans="1:18" s="32" customFormat="1" ht="15" x14ac:dyDescent="0.25">
      <c r="A481" s="84" t="s">
        <v>232</v>
      </c>
      <c r="B481" s="27">
        <v>0</v>
      </c>
      <c r="C481" s="27">
        <v>0</v>
      </c>
      <c r="D481" s="15">
        <f t="shared" si="73"/>
        <v>0</v>
      </c>
      <c r="E481" s="85">
        <v>0</v>
      </c>
      <c r="F481" s="85">
        <v>0</v>
      </c>
      <c r="G481" s="28">
        <f t="shared" si="68"/>
        <v>0</v>
      </c>
      <c r="H481" s="85">
        <v>0</v>
      </c>
      <c r="I481" s="85">
        <v>0</v>
      </c>
      <c r="J481" s="28">
        <f t="shared" si="69"/>
        <v>0</v>
      </c>
      <c r="K481" s="28">
        <f t="shared" si="70"/>
        <v>0</v>
      </c>
      <c r="L481" s="28" t="s">
        <v>302</v>
      </c>
      <c r="M481" s="26"/>
      <c r="N481" s="30" t="s">
        <v>227</v>
      </c>
      <c r="O481" s="172" t="s">
        <v>309</v>
      </c>
      <c r="P481" s="172" t="s">
        <v>311</v>
      </c>
      <c r="Q481" s="26" t="s">
        <v>163</v>
      </c>
      <c r="R481" s="96" t="s">
        <v>162</v>
      </c>
    </row>
    <row r="482" spans="1:18" s="32" customFormat="1" ht="15" x14ac:dyDescent="0.25">
      <c r="A482" s="84" t="s">
        <v>233</v>
      </c>
      <c r="B482" s="27">
        <v>0</v>
      </c>
      <c r="C482" s="27">
        <v>0</v>
      </c>
      <c r="D482" s="15">
        <f t="shared" si="73"/>
        <v>0</v>
      </c>
      <c r="E482" s="85">
        <v>0</v>
      </c>
      <c r="F482" s="85">
        <v>0</v>
      </c>
      <c r="G482" s="28">
        <f t="shared" si="68"/>
        <v>0</v>
      </c>
      <c r="H482" s="85">
        <v>0</v>
      </c>
      <c r="I482" s="85">
        <v>0</v>
      </c>
      <c r="J482" s="28">
        <f t="shared" si="69"/>
        <v>0</v>
      </c>
      <c r="K482" s="28">
        <f t="shared" si="70"/>
        <v>0</v>
      </c>
      <c r="L482" s="28" t="s">
        <v>302</v>
      </c>
      <c r="M482" s="26"/>
      <c r="N482" s="30" t="s">
        <v>227</v>
      </c>
      <c r="O482" s="172" t="s">
        <v>309</v>
      </c>
      <c r="P482" s="172" t="s">
        <v>311</v>
      </c>
      <c r="Q482" s="26" t="s">
        <v>163</v>
      </c>
      <c r="R482" s="96" t="s">
        <v>162</v>
      </c>
    </row>
    <row r="483" spans="1:18" s="32" customFormat="1" ht="15" x14ac:dyDescent="0.25">
      <c r="A483" s="84" t="s">
        <v>234</v>
      </c>
      <c r="B483" s="27">
        <v>12</v>
      </c>
      <c r="C483" s="27">
        <v>10</v>
      </c>
      <c r="D483" s="15">
        <f t="shared" si="73"/>
        <v>22</v>
      </c>
      <c r="E483" s="85">
        <v>1</v>
      </c>
      <c r="F483" s="85">
        <v>1</v>
      </c>
      <c r="G483" s="28">
        <f t="shared" si="68"/>
        <v>2</v>
      </c>
      <c r="H483" s="85">
        <v>0.5</v>
      </c>
      <c r="I483" s="85">
        <v>0.83333333333333337</v>
      </c>
      <c r="J483" s="28">
        <f t="shared" si="69"/>
        <v>1.3333333333333335</v>
      </c>
      <c r="K483" s="28">
        <f t="shared" si="70"/>
        <v>3.3333333333333335</v>
      </c>
      <c r="L483" s="28" t="s">
        <v>302</v>
      </c>
      <c r="M483" s="26"/>
      <c r="N483" s="30" t="s">
        <v>227</v>
      </c>
      <c r="O483" s="172" t="s">
        <v>309</v>
      </c>
      <c r="P483" s="172" t="s">
        <v>311</v>
      </c>
      <c r="Q483" s="26" t="s">
        <v>163</v>
      </c>
      <c r="R483" s="96" t="s">
        <v>162</v>
      </c>
    </row>
    <row r="484" spans="1:18" s="32" customFormat="1" ht="15" x14ac:dyDescent="0.25">
      <c r="A484" s="84" t="s">
        <v>235</v>
      </c>
      <c r="B484" s="27">
        <v>1</v>
      </c>
      <c r="C484" s="27">
        <v>0</v>
      </c>
      <c r="D484" s="15">
        <f t="shared" si="73"/>
        <v>1</v>
      </c>
      <c r="E484" s="85">
        <v>0</v>
      </c>
      <c r="F484" s="85">
        <v>2</v>
      </c>
      <c r="G484" s="28">
        <f t="shared" si="68"/>
        <v>2</v>
      </c>
      <c r="H484" s="85">
        <v>0</v>
      </c>
      <c r="I484" s="85">
        <v>0</v>
      </c>
      <c r="J484" s="28">
        <f t="shared" si="69"/>
        <v>0</v>
      </c>
      <c r="K484" s="28">
        <f t="shared" si="70"/>
        <v>2</v>
      </c>
      <c r="L484" s="28" t="s">
        <v>302</v>
      </c>
      <c r="M484" s="26"/>
      <c r="N484" s="30" t="s">
        <v>227</v>
      </c>
      <c r="O484" s="172" t="s">
        <v>309</v>
      </c>
      <c r="P484" s="172" t="s">
        <v>311</v>
      </c>
      <c r="Q484" s="26" t="s">
        <v>163</v>
      </c>
      <c r="R484" s="96" t="s">
        <v>162</v>
      </c>
    </row>
    <row r="485" spans="1:18" s="32" customFormat="1" ht="15" x14ac:dyDescent="0.25">
      <c r="A485" s="84" t="s">
        <v>236</v>
      </c>
      <c r="B485" s="27">
        <v>17</v>
      </c>
      <c r="C485" s="27">
        <v>6</v>
      </c>
      <c r="D485" s="15">
        <f t="shared" si="73"/>
        <v>23</v>
      </c>
      <c r="E485" s="85">
        <v>0</v>
      </c>
      <c r="F485" s="85">
        <v>0</v>
      </c>
      <c r="G485" s="28">
        <f t="shared" si="68"/>
        <v>0</v>
      </c>
      <c r="H485" s="85">
        <v>8.5</v>
      </c>
      <c r="I485" s="85">
        <v>8.5</v>
      </c>
      <c r="J485" s="28">
        <f t="shared" si="69"/>
        <v>17</v>
      </c>
      <c r="K485" s="28">
        <f t="shared" si="70"/>
        <v>17</v>
      </c>
      <c r="L485" s="28" t="s">
        <v>302</v>
      </c>
      <c r="M485" s="26"/>
      <c r="N485" s="30" t="s">
        <v>227</v>
      </c>
      <c r="O485" s="172" t="s">
        <v>309</v>
      </c>
      <c r="P485" s="172" t="s">
        <v>311</v>
      </c>
      <c r="Q485" s="26" t="s">
        <v>163</v>
      </c>
      <c r="R485" s="96" t="s">
        <v>162</v>
      </c>
    </row>
    <row r="486" spans="1:18" s="32" customFormat="1" ht="15" x14ac:dyDescent="0.25">
      <c r="A486" s="84" t="s">
        <v>237</v>
      </c>
      <c r="B486" s="27">
        <v>2</v>
      </c>
      <c r="C486" s="27">
        <v>0</v>
      </c>
      <c r="D486" s="15">
        <f t="shared" si="73"/>
        <v>2</v>
      </c>
      <c r="E486" s="85">
        <v>3.3333333333333333E-2</v>
      </c>
      <c r="F486" s="85">
        <v>0.66666666666666663</v>
      </c>
      <c r="G486" s="28">
        <f t="shared" si="68"/>
        <v>0.7</v>
      </c>
      <c r="H486" s="85">
        <v>0</v>
      </c>
      <c r="I486" s="85">
        <v>0</v>
      </c>
      <c r="J486" s="28">
        <f t="shared" si="69"/>
        <v>0</v>
      </c>
      <c r="K486" s="28">
        <f t="shared" si="70"/>
        <v>0.7</v>
      </c>
      <c r="L486" s="28" t="s">
        <v>302</v>
      </c>
      <c r="M486" s="26"/>
      <c r="N486" s="30" t="s">
        <v>227</v>
      </c>
      <c r="O486" s="172" t="s">
        <v>309</v>
      </c>
      <c r="P486" s="172" t="s">
        <v>311</v>
      </c>
      <c r="Q486" s="26" t="s">
        <v>163</v>
      </c>
      <c r="R486" s="96" t="s">
        <v>162</v>
      </c>
    </row>
    <row r="487" spans="1:18" s="32" customFormat="1" ht="15" x14ac:dyDescent="0.25">
      <c r="A487" s="84" t="s">
        <v>238</v>
      </c>
      <c r="B487" s="27">
        <v>0</v>
      </c>
      <c r="C487" s="27">
        <v>0</v>
      </c>
      <c r="D487" s="15">
        <f t="shared" si="73"/>
        <v>0</v>
      </c>
      <c r="E487" s="85">
        <v>0</v>
      </c>
      <c r="F487" s="85">
        <v>0</v>
      </c>
      <c r="G487" s="28">
        <f t="shared" si="68"/>
        <v>0</v>
      </c>
      <c r="H487" s="85">
        <v>0</v>
      </c>
      <c r="I487" s="85">
        <v>0</v>
      </c>
      <c r="J487" s="28">
        <f t="shared" si="69"/>
        <v>0</v>
      </c>
      <c r="K487" s="28">
        <f t="shared" si="70"/>
        <v>0</v>
      </c>
      <c r="L487" s="28" t="s">
        <v>302</v>
      </c>
      <c r="M487" s="26"/>
      <c r="N487" s="30" t="s">
        <v>227</v>
      </c>
      <c r="O487" s="172" t="s">
        <v>309</v>
      </c>
      <c r="P487" s="172" t="s">
        <v>311</v>
      </c>
      <c r="Q487" s="26" t="s">
        <v>163</v>
      </c>
      <c r="R487" s="96" t="s">
        <v>162</v>
      </c>
    </row>
    <row r="488" spans="1:18" s="40" customFormat="1" ht="15" x14ac:dyDescent="0.25">
      <c r="A488" s="55" t="s">
        <v>230</v>
      </c>
      <c r="B488" s="38">
        <v>565</v>
      </c>
      <c r="C488" s="38">
        <v>30</v>
      </c>
      <c r="D488" s="35">
        <f>SUM(B488:C488)</f>
        <v>595</v>
      </c>
      <c r="E488" s="56">
        <v>18.833333333333332</v>
      </c>
      <c r="F488" s="56">
        <v>6.2777777777777777</v>
      </c>
      <c r="G488" s="36">
        <f t="shared" si="68"/>
        <v>25.111111111111111</v>
      </c>
      <c r="H488" s="56">
        <v>5.916666666666667</v>
      </c>
      <c r="I488" s="56">
        <v>1.9722222222222223</v>
      </c>
      <c r="J488" s="36">
        <f t="shared" si="69"/>
        <v>7.8888888888888893</v>
      </c>
      <c r="K488" s="36">
        <f t="shared" si="70"/>
        <v>33</v>
      </c>
      <c r="L488" s="36" t="s">
        <v>302</v>
      </c>
      <c r="M488" s="39" t="s">
        <v>166</v>
      </c>
      <c r="N488" s="53" t="s">
        <v>227</v>
      </c>
      <c r="O488" s="173" t="s">
        <v>311</v>
      </c>
      <c r="P488" s="173" t="s">
        <v>311</v>
      </c>
      <c r="Q488" s="39" t="s">
        <v>168</v>
      </c>
      <c r="R488" s="95" t="s">
        <v>167</v>
      </c>
    </row>
    <row r="489" spans="1:18" s="40" customFormat="1" ht="15" x14ac:dyDescent="0.25">
      <c r="A489" s="55" t="s">
        <v>231</v>
      </c>
      <c r="B489" s="38">
        <v>250</v>
      </c>
      <c r="C489" s="38">
        <v>14</v>
      </c>
      <c r="D489" s="35">
        <f t="shared" ref="D489:D496" si="74">SUM(B489:C489)</f>
        <v>264</v>
      </c>
      <c r="E489" s="56">
        <v>4.166666666666667</v>
      </c>
      <c r="F489" s="56">
        <v>1.3888888888888891</v>
      </c>
      <c r="G489" s="36">
        <f t="shared" si="68"/>
        <v>5.5555555555555562</v>
      </c>
      <c r="H489" s="56">
        <v>2.95</v>
      </c>
      <c r="I489" s="56">
        <v>0.98333333333333339</v>
      </c>
      <c r="J489" s="36">
        <f t="shared" si="69"/>
        <v>3.9333333333333336</v>
      </c>
      <c r="K489" s="36">
        <f t="shared" si="70"/>
        <v>9.4888888888888907</v>
      </c>
      <c r="L489" s="36" t="s">
        <v>302</v>
      </c>
      <c r="M489" s="39" t="s">
        <v>166</v>
      </c>
      <c r="N489" s="53" t="s">
        <v>227</v>
      </c>
      <c r="O489" s="173" t="s">
        <v>311</v>
      </c>
      <c r="P489" s="173" t="s">
        <v>311</v>
      </c>
      <c r="Q489" s="39" t="s">
        <v>168</v>
      </c>
      <c r="R489" s="95" t="s">
        <v>167</v>
      </c>
    </row>
    <row r="490" spans="1:18" s="40" customFormat="1" ht="15" x14ac:dyDescent="0.25">
      <c r="A490" s="55" t="s">
        <v>232</v>
      </c>
      <c r="B490" s="38">
        <v>0</v>
      </c>
      <c r="C490" s="38">
        <v>0</v>
      </c>
      <c r="D490" s="35">
        <f t="shared" si="74"/>
        <v>0</v>
      </c>
      <c r="E490" s="56">
        <v>0</v>
      </c>
      <c r="F490" s="56">
        <v>0</v>
      </c>
      <c r="G490" s="36">
        <f t="shared" si="68"/>
        <v>0</v>
      </c>
      <c r="H490" s="56">
        <v>0</v>
      </c>
      <c r="I490" s="56">
        <v>0</v>
      </c>
      <c r="J490" s="36">
        <f t="shared" si="69"/>
        <v>0</v>
      </c>
      <c r="K490" s="36">
        <f t="shared" si="70"/>
        <v>0</v>
      </c>
      <c r="L490" s="36" t="s">
        <v>302</v>
      </c>
      <c r="M490" s="39" t="s">
        <v>166</v>
      </c>
      <c r="N490" s="53" t="s">
        <v>227</v>
      </c>
      <c r="O490" s="173" t="s">
        <v>311</v>
      </c>
      <c r="P490" s="173" t="s">
        <v>311</v>
      </c>
      <c r="Q490" s="39" t="s">
        <v>168</v>
      </c>
      <c r="R490" s="95" t="s">
        <v>167</v>
      </c>
    </row>
    <row r="491" spans="1:18" s="40" customFormat="1" ht="15" x14ac:dyDescent="0.25">
      <c r="A491" s="55" t="s">
        <v>233</v>
      </c>
      <c r="B491" s="38">
        <v>0</v>
      </c>
      <c r="C491" s="38">
        <v>0</v>
      </c>
      <c r="D491" s="35">
        <f t="shared" si="74"/>
        <v>0</v>
      </c>
      <c r="E491" s="56">
        <v>0</v>
      </c>
      <c r="F491" s="56">
        <v>0</v>
      </c>
      <c r="G491" s="36">
        <f t="shared" si="68"/>
        <v>0</v>
      </c>
      <c r="H491" s="56">
        <v>0</v>
      </c>
      <c r="I491" s="56">
        <v>0</v>
      </c>
      <c r="J491" s="36">
        <f t="shared" si="69"/>
        <v>0</v>
      </c>
      <c r="K491" s="36">
        <f t="shared" si="70"/>
        <v>0</v>
      </c>
      <c r="L491" s="36" t="s">
        <v>302</v>
      </c>
      <c r="M491" s="39" t="s">
        <v>166</v>
      </c>
      <c r="N491" s="53" t="s">
        <v>227</v>
      </c>
      <c r="O491" s="173" t="s">
        <v>311</v>
      </c>
      <c r="P491" s="173" t="s">
        <v>311</v>
      </c>
      <c r="Q491" s="39" t="s">
        <v>168</v>
      </c>
      <c r="R491" s="95" t="s">
        <v>167</v>
      </c>
    </row>
    <row r="492" spans="1:18" s="40" customFormat="1" ht="15" x14ac:dyDescent="0.25">
      <c r="A492" s="55" t="s">
        <v>234</v>
      </c>
      <c r="B492" s="38">
        <v>867</v>
      </c>
      <c r="C492" s="38">
        <v>38</v>
      </c>
      <c r="D492" s="35">
        <f t="shared" si="74"/>
        <v>905</v>
      </c>
      <c r="E492" s="56">
        <v>72.25</v>
      </c>
      <c r="F492" s="56">
        <v>72.25</v>
      </c>
      <c r="G492" s="36">
        <f t="shared" si="68"/>
        <v>144.5</v>
      </c>
      <c r="H492" s="56">
        <v>3.2833333333333332</v>
      </c>
      <c r="I492" s="56">
        <v>5.75</v>
      </c>
      <c r="J492" s="36">
        <f t="shared" si="69"/>
        <v>9.0333333333333332</v>
      </c>
      <c r="K492" s="36">
        <f t="shared" si="70"/>
        <v>153.53333333333333</v>
      </c>
      <c r="L492" s="36" t="s">
        <v>302</v>
      </c>
      <c r="M492" s="39" t="s">
        <v>166</v>
      </c>
      <c r="N492" s="53" t="s">
        <v>227</v>
      </c>
      <c r="O492" s="173" t="s">
        <v>311</v>
      </c>
      <c r="P492" s="173" t="s">
        <v>311</v>
      </c>
      <c r="Q492" s="39" t="s">
        <v>168</v>
      </c>
      <c r="R492" s="95" t="s">
        <v>167</v>
      </c>
    </row>
    <row r="493" spans="1:18" s="40" customFormat="1" ht="15" x14ac:dyDescent="0.25">
      <c r="A493" s="55" t="s">
        <v>235</v>
      </c>
      <c r="B493" s="38">
        <v>1</v>
      </c>
      <c r="C493" s="38">
        <v>0</v>
      </c>
      <c r="D493" s="35">
        <f t="shared" si="74"/>
        <v>1</v>
      </c>
      <c r="E493" s="56">
        <v>0.16666666666666666</v>
      </c>
      <c r="F493" s="56">
        <v>2</v>
      </c>
      <c r="G493" s="36">
        <f t="shared" si="68"/>
        <v>2.1666666666666665</v>
      </c>
      <c r="H493" s="56">
        <v>0</v>
      </c>
      <c r="I493" s="56">
        <v>0</v>
      </c>
      <c r="J493" s="36">
        <f t="shared" si="69"/>
        <v>0</v>
      </c>
      <c r="K493" s="36">
        <f t="shared" si="70"/>
        <v>2.1666666666666665</v>
      </c>
      <c r="L493" s="36" t="s">
        <v>302</v>
      </c>
      <c r="M493" s="39" t="s">
        <v>166</v>
      </c>
      <c r="N493" s="53" t="s">
        <v>227</v>
      </c>
      <c r="O493" s="173" t="s">
        <v>311</v>
      </c>
      <c r="P493" s="173" t="s">
        <v>311</v>
      </c>
      <c r="Q493" s="39" t="s">
        <v>168</v>
      </c>
      <c r="R493" s="95" t="s">
        <v>167</v>
      </c>
    </row>
    <row r="494" spans="1:18" s="40" customFormat="1" ht="15" x14ac:dyDescent="0.25">
      <c r="A494" s="55" t="s">
        <v>236</v>
      </c>
      <c r="B494" s="38">
        <v>109</v>
      </c>
      <c r="C494" s="38">
        <v>1</v>
      </c>
      <c r="D494" s="35">
        <f t="shared" si="74"/>
        <v>110</v>
      </c>
      <c r="E494" s="56">
        <v>9.0833333333333339</v>
      </c>
      <c r="F494" s="56">
        <v>18.166666666666668</v>
      </c>
      <c r="G494" s="36">
        <f t="shared" si="68"/>
        <v>27.25</v>
      </c>
      <c r="H494" s="56">
        <v>0.16666666666666666</v>
      </c>
      <c r="I494" s="56">
        <v>0.16666666666666666</v>
      </c>
      <c r="J494" s="36">
        <f t="shared" si="69"/>
        <v>0.33333333333333331</v>
      </c>
      <c r="K494" s="36">
        <f t="shared" si="70"/>
        <v>27.583333333333332</v>
      </c>
      <c r="L494" s="36" t="s">
        <v>302</v>
      </c>
      <c r="M494" s="39" t="s">
        <v>166</v>
      </c>
      <c r="N494" s="53" t="s">
        <v>227</v>
      </c>
      <c r="O494" s="173" t="s">
        <v>311</v>
      </c>
      <c r="P494" s="173" t="s">
        <v>311</v>
      </c>
      <c r="Q494" s="39" t="s">
        <v>168</v>
      </c>
      <c r="R494" s="95" t="s">
        <v>167</v>
      </c>
    </row>
    <row r="495" spans="1:18" s="40" customFormat="1" ht="15" x14ac:dyDescent="0.25">
      <c r="A495" s="55" t="s">
        <v>237</v>
      </c>
      <c r="B495" s="38">
        <v>8</v>
      </c>
      <c r="C495" s="38">
        <v>0</v>
      </c>
      <c r="D495" s="35">
        <f t="shared" si="74"/>
        <v>8</v>
      </c>
      <c r="E495" s="56">
        <v>0.13333333333333333</v>
      </c>
      <c r="F495" s="56">
        <v>2.6666666666666665</v>
      </c>
      <c r="G495" s="36">
        <f t="shared" si="68"/>
        <v>2.8</v>
      </c>
      <c r="H495" s="56">
        <v>0</v>
      </c>
      <c r="I495" s="56">
        <v>0</v>
      </c>
      <c r="J495" s="36">
        <f t="shared" si="69"/>
        <v>0</v>
      </c>
      <c r="K495" s="36">
        <f t="shared" si="70"/>
        <v>2.8</v>
      </c>
      <c r="L495" s="36" t="s">
        <v>302</v>
      </c>
      <c r="M495" s="39" t="s">
        <v>166</v>
      </c>
      <c r="N495" s="53" t="s">
        <v>227</v>
      </c>
      <c r="O495" s="173" t="s">
        <v>311</v>
      </c>
      <c r="P495" s="173" t="s">
        <v>311</v>
      </c>
      <c r="Q495" s="39" t="s">
        <v>168</v>
      </c>
      <c r="R495" s="95" t="s">
        <v>167</v>
      </c>
    </row>
    <row r="496" spans="1:18" s="40" customFormat="1" ht="15" x14ac:dyDescent="0.25">
      <c r="A496" s="55" t="s">
        <v>238</v>
      </c>
      <c r="B496" s="38">
        <v>0</v>
      </c>
      <c r="C496" s="38">
        <v>0</v>
      </c>
      <c r="D496" s="35">
        <f t="shared" si="74"/>
        <v>0</v>
      </c>
      <c r="E496" s="56">
        <v>0</v>
      </c>
      <c r="F496" s="56">
        <v>0</v>
      </c>
      <c r="G496" s="36">
        <f t="shared" si="68"/>
        <v>0</v>
      </c>
      <c r="H496" s="56">
        <v>0</v>
      </c>
      <c r="I496" s="56">
        <v>0</v>
      </c>
      <c r="J496" s="36">
        <f t="shared" si="69"/>
        <v>0</v>
      </c>
      <c r="K496" s="36">
        <f t="shared" si="70"/>
        <v>0</v>
      </c>
      <c r="L496" s="36" t="s">
        <v>302</v>
      </c>
      <c r="M496" s="39" t="s">
        <v>166</v>
      </c>
      <c r="N496" s="53" t="s">
        <v>227</v>
      </c>
      <c r="O496" s="173" t="s">
        <v>311</v>
      </c>
      <c r="P496" s="173" t="s">
        <v>311</v>
      </c>
      <c r="Q496" s="39" t="s">
        <v>168</v>
      </c>
      <c r="R496" s="95" t="s">
        <v>167</v>
      </c>
    </row>
    <row r="497" spans="1:18" s="32" customFormat="1" ht="15" x14ac:dyDescent="0.25">
      <c r="A497" s="84" t="s">
        <v>230</v>
      </c>
      <c r="B497" s="27">
        <v>61</v>
      </c>
      <c r="C497" s="27">
        <v>51</v>
      </c>
      <c r="D497" s="15">
        <f>SUM(B497:C497)</f>
        <v>112</v>
      </c>
      <c r="E497" s="85">
        <v>2.0333333333333332</v>
      </c>
      <c r="F497" s="85">
        <v>0.6777777777777777</v>
      </c>
      <c r="G497" s="28">
        <f t="shared" si="68"/>
        <v>2.7111111111111108</v>
      </c>
      <c r="H497" s="85">
        <v>2.5833333333333335</v>
      </c>
      <c r="I497" s="85">
        <v>0.86111111111111116</v>
      </c>
      <c r="J497" s="28">
        <f t="shared" si="69"/>
        <v>3.4444444444444446</v>
      </c>
      <c r="K497" s="28">
        <f t="shared" si="70"/>
        <v>6.155555555555555</v>
      </c>
      <c r="L497" s="28" t="s">
        <v>302</v>
      </c>
      <c r="M497" s="26"/>
      <c r="N497" s="30" t="s">
        <v>302</v>
      </c>
      <c r="O497" s="172" t="s">
        <v>308</v>
      </c>
      <c r="P497" s="172" t="s">
        <v>311</v>
      </c>
      <c r="Q497" s="26" t="s">
        <v>169</v>
      </c>
      <c r="R497" s="96" t="s">
        <v>170</v>
      </c>
    </row>
    <row r="498" spans="1:18" s="32" customFormat="1" ht="15" x14ac:dyDescent="0.25">
      <c r="A498" s="84" t="s">
        <v>231</v>
      </c>
      <c r="B498" s="27">
        <v>11</v>
      </c>
      <c r="C498" s="27">
        <v>4</v>
      </c>
      <c r="D498" s="15">
        <f t="shared" ref="D498:D505" si="75">SUM(B498:C498)</f>
        <v>15</v>
      </c>
      <c r="E498" s="85">
        <v>0.18333333333333332</v>
      </c>
      <c r="F498" s="85">
        <v>6.1111111111111109E-2</v>
      </c>
      <c r="G498" s="28">
        <f t="shared" si="68"/>
        <v>0.24444444444444444</v>
      </c>
      <c r="H498" s="85">
        <v>0.2</v>
      </c>
      <c r="I498" s="85">
        <v>6.6666666666666666E-2</v>
      </c>
      <c r="J498" s="28">
        <f t="shared" si="69"/>
        <v>0.26666666666666666</v>
      </c>
      <c r="K498" s="28">
        <f t="shared" si="70"/>
        <v>0.51111111111111107</v>
      </c>
      <c r="L498" s="28" t="s">
        <v>302</v>
      </c>
      <c r="M498" s="26"/>
      <c r="N498" s="30" t="s">
        <v>302</v>
      </c>
      <c r="O498" s="172" t="s">
        <v>308</v>
      </c>
      <c r="P498" s="172" t="s">
        <v>311</v>
      </c>
      <c r="Q498" s="26" t="s">
        <v>169</v>
      </c>
      <c r="R498" s="96" t="s">
        <v>170</v>
      </c>
    </row>
    <row r="499" spans="1:18" s="32" customFormat="1" ht="15" x14ac:dyDescent="0.25">
      <c r="A499" s="84" t="s">
        <v>232</v>
      </c>
      <c r="B499" s="27">
        <v>0</v>
      </c>
      <c r="C499" s="27">
        <v>0</v>
      </c>
      <c r="D499" s="15">
        <f t="shared" si="75"/>
        <v>0</v>
      </c>
      <c r="E499" s="85">
        <v>0</v>
      </c>
      <c r="F499" s="85">
        <v>0</v>
      </c>
      <c r="G499" s="28">
        <f t="shared" si="68"/>
        <v>0</v>
      </c>
      <c r="H499" s="85">
        <v>0</v>
      </c>
      <c r="I499" s="85">
        <v>0</v>
      </c>
      <c r="J499" s="28">
        <f t="shared" si="69"/>
        <v>0</v>
      </c>
      <c r="K499" s="28">
        <f t="shared" si="70"/>
        <v>0</v>
      </c>
      <c r="L499" s="28" t="s">
        <v>302</v>
      </c>
      <c r="M499" s="26"/>
      <c r="N499" s="30" t="s">
        <v>302</v>
      </c>
      <c r="O499" s="172" t="s">
        <v>308</v>
      </c>
      <c r="P499" s="172" t="s">
        <v>311</v>
      </c>
      <c r="Q499" s="26" t="s">
        <v>169</v>
      </c>
      <c r="R499" s="96" t="s">
        <v>170</v>
      </c>
    </row>
    <row r="500" spans="1:18" s="32" customFormat="1" ht="15" x14ac:dyDescent="0.25">
      <c r="A500" s="84" t="s">
        <v>233</v>
      </c>
      <c r="B500" s="27">
        <v>11</v>
      </c>
      <c r="C500" s="27">
        <v>16</v>
      </c>
      <c r="D500" s="15">
        <f t="shared" si="75"/>
        <v>27</v>
      </c>
      <c r="E500" s="85">
        <v>0.66666666666666663</v>
      </c>
      <c r="F500" s="85">
        <v>1</v>
      </c>
      <c r="G500" s="28">
        <f t="shared" si="68"/>
        <v>1.6666666666666665</v>
      </c>
      <c r="H500" s="85">
        <v>1.9</v>
      </c>
      <c r="I500" s="85">
        <v>3</v>
      </c>
      <c r="J500" s="28">
        <f t="shared" si="69"/>
        <v>4.9000000000000004</v>
      </c>
      <c r="K500" s="28">
        <f t="shared" si="70"/>
        <v>6.5666666666666664</v>
      </c>
      <c r="L500" s="28" t="s">
        <v>302</v>
      </c>
      <c r="M500" s="26"/>
      <c r="N500" s="30" t="s">
        <v>302</v>
      </c>
      <c r="O500" s="172" t="s">
        <v>308</v>
      </c>
      <c r="P500" s="172" t="s">
        <v>311</v>
      </c>
      <c r="Q500" s="26" t="s">
        <v>169</v>
      </c>
      <c r="R500" s="96" t="s">
        <v>170</v>
      </c>
    </row>
    <row r="501" spans="1:18" s="32" customFormat="1" ht="15" x14ac:dyDescent="0.25">
      <c r="A501" s="84" t="s">
        <v>234</v>
      </c>
      <c r="B501" s="27">
        <v>0</v>
      </c>
      <c r="C501" s="27">
        <v>0</v>
      </c>
      <c r="D501" s="15">
        <f t="shared" si="75"/>
        <v>0</v>
      </c>
      <c r="E501" s="85">
        <v>0</v>
      </c>
      <c r="F501" s="85">
        <v>0</v>
      </c>
      <c r="G501" s="28">
        <f t="shared" si="68"/>
        <v>0</v>
      </c>
      <c r="H501" s="85">
        <v>0</v>
      </c>
      <c r="I501" s="85">
        <v>0</v>
      </c>
      <c r="J501" s="28">
        <f t="shared" si="69"/>
        <v>0</v>
      </c>
      <c r="K501" s="28">
        <f t="shared" si="70"/>
        <v>0</v>
      </c>
      <c r="L501" s="28" t="s">
        <v>302</v>
      </c>
      <c r="M501" s="26"/>
      <c r="N501" s="30" t="s">
        <v>302</v>
      </c>
      <c r="O501" s="172" t="s">
        <v>308</v>
      </c>
      <c r="P501" s="172" t="s">
        <v>311</v>
      </c>
      <c r="Q501" s="26" t="s">
        <v>169</v>
      </c>
      <c r="R501" s="96" t="s">
        <v>170</v>
      </c>
    </row>
    <row r="502" spans="1:18" s="32" customFormat="1" ht="15" x14ac:dyDescent="0.25">
      <c r="A502" s="84" t="s">
        <v>235</v>
      </c>
      <c r="B502" s="27">
        <v>1</v>
      </c>
      <c r="C502" s="27">
        <v>0</v>
      </c>
      <c r="D502" s="15">
        <f t="shared" si="75"/>
        <v>1</v>
      </c>
      <c r="E502" s="85">
        <v>0.16666666666666666</v>
      </c>
      <c r="F502" s="85">
        <v>2</v>
      </c>
      <c r="G502" s="28">
        <f t="shared" si="68"/>
        <v>2.1666666666666665</v>
      </c>
      <c r="H502" s="85">
        <v>0</v>
      </c>
      <c r="I502" s="85">
        <v>0</v>
      </c>
      <c r="J502" s="28">
        <f t="shared" si="69"/>
        <v>0</v>
      </c>
      <c r="K502" s="28">
        <f t="shared" si="70"/>
        <v>2.1666666666666665</v>
      </c>
      <c r="L502" s="28" t="s">
        <v>302</v>
      </c>
      <c r="M502" s="26"/>
      <c r="N502" s="30" t="s">
        <v>302</v>
      </c>
      <c r="O502" s="172" t="s">
        <v>308</v>
      </c>
      <c r="P502" s="172" t="s">
        <v>311</v>
      </c>
      <c r="Q502" s="26" t="s">
        <v>169</v>
      </c>
      <c r="R502" s="96" t="s">
        <v>170</v>
      </c>
    </row>
    <row r="503" spans="1:18" s="32" customFormat="1" ht="15" x14ac:dyDescent="0.25">
      <c r="A503" s="84" t="s">
        <v>236</v>
      </c>
      <c r="B503" s="27">
        <v>13</v>
      </c>
      <c r="C503" s="27">
        <v>6</v>
      </c>
      <c r="D503" s="15">
        <f t="shared" si="75"/>
        <v>19</v>
      </c>
      <c r="E503" s="85">
        <v>10.25</v>
      </c>
      <c r="F503" s="85">
        <v>6</v>
      </c>
      <c r="G503" s="28">
        <f t="shared" si="68"/>
        <v>16.25</v>
      </c>
      <c r="H503" s="85">
        <v>8.5</v>
      </c>
      <c r="I503" s="85">
        <v>8.5</v>
      </c>
      <c r="J503" s="28">
        <f t="shared" si="69"/>
        <v>17</v>
      </c>
      <c r="K503" s="28">
        <f t="shared" si="70"/>
        <v>33.25</v>
      </c>
      <c r="L503" s="28" t="s">
        <v>302</v>
      </c>
      <c r="M503" s="26"/>
      <c r="N503" s="30" t="s">
        <v>302</v>
      </c>
      <c r="O503" s="172" t="s">
        <v>308</v>
      </c>
      <c r="P503" s="172" t="s">
        <v>311</v>
      </c>
      <c r="Q503" s="26" t="s">
        <v>169</v>
      </c>
      <c r="R503" s="96" t="s">
        <v>170</v>
      </c>
    </row>
    <row r="504" spans="1:18" s="32" customFormat="1" ht="15" x14ac:dyDescent="0.25">
      <c r="A504" s="84" t="s">
        <v>237</v>
      </c>
      <c r="B504" s="27">
        <v>0</v>
      </c>
      <c r="C504" s="27">
        <v>0</v>
      </c>
      <c r="D504" s="15">
        <f t="shared" si="75"/>
        <v>0</v>
      </c>
      <c r="E504" s="85">
        <v>0</v>
      </c>
      <c r="F504" s="85">
        <v>0</v>
      </c>
      <c r="G504" s="28">
        <f t="shared" si="68"/>
        <v>0</v>
      </c>
      <c r="H504" s="85">
        <v>0</v>
      </c>
      <c r="I504" s="85">
        <v>0</v>
      </c>
      <c r="J504" s="28">
        <f t="shared" si="69"/>
        <v>0</v>
      </c>
      <c r="K504" s="28">
        <f t="shared" si="70"/>
        <v>0</v>
      </c>
      <c r="L504" s="28" t="s">
        <v>302</v>
      </c>
      <c r="M504" s="26"/>
      <c r="N504" s="30" t="s">
        <v>302</v>
      </c>
      <c r="O504" s="172" t="s">
        <v>308</v>
      </c>
      <c r="P504" s="172" t="s">
        <v>311</v>
      </c>
      <c r="Q504" s="26" t="s">
        <v>169</v>
      </c>
      <c r="R504" s="96" t="s">
        <v>170</v>
      </c>
    </row>
    <row r="505" spans="1:18" s="32" customFormat="1" ht="15" x14ac:dyDescent="0.25">
      <c r="A505" s="84" t="s">
        <v>238</v>
      </c>
      <c r="B505" s="27">
        <v>0</v>
      </c>
      <c r="C505" s="27">
        <v>0</v>
      </c>
      <c r="D505" s="15">
        <f t="shared" si="75"/>
        <v>0</v>
      </c>
      <c r="E505" s="85">
        <v>0</v>
      </c>
      <c r="F505" s="85">
        <v>0</v>
      </c>
      <c r="G505" s="28">
        <f t="shared" si="68"/>
        <v>0</v>
      </c>
      <c r="H505" s="85">
        <v>0</v>
      </c>
      <c r="I505" s="85">
        <v>0</v>
      </c>
      <c r="J505" s="28">
        <f t="shared" si="69"/>
        <v>0</v>
      </c>
      <c r="K505" s="28">
        <f t="shared" si="70"/>
        <v>0</v>
      </c>
      <c r="L505" s="28" t="s">
        <v>302</v>
      </c>
      <c r="M505" s="26"/>
      <c r="N505" s="30" t="s">
        <v>302</v>
      </c>
      <c r="O505" s="172" t="s">
        <v>308</v>
      </c>
      <c r="P505" s="172" t="s">
        <v>311</v>
      </c>
      <c r="Q505" s="26" t="s">
        <v>169</v>
      </c>
      <c r="R505" s="96" t="s">
        <v>170</v>
      </c>
    </row>
    <row r="506" spans="1:18" s="40" customFormat="1" ht="15" x14ac:dyDescent="0.25">
      <c r="A506" s="55" t="s">
        <v>230</v>
      </c>
      <c r="B506" s="38">
        <v>61</v>
      </c>
      <c r="C506" s="38">
        <v>51</v>
      </c>
      <c r="D506" s="35">
        <f>SUM(B506:C506)</f>
        <v>112</v>
      </c>
      <c r="E506" s="56">
        <v>2.0333333333333332</v>
      </c>
      <c r="F506" s="56">
        <v>0.6777777777777777</v>
      </c>
      <c r="G506" s="36">
        <f t="shared" si="68"/>
        <v>2.7111111111111108</v>
      </c>
      <c r="H506" s="56">
        <f>2.58333333333333+1020/60</f>
        <v>19.583333333333329</v>
      </c>
      <c r="I506" s="56">
        <f>0.861111111111111+1020/60*0.25</f>
        <v>5.1111111111111107</v>
      </c>
      <c r="J506" s="36">
        <f t="shared" si="69"/>
        <v>24.694444444444439</v>
      </c>
      <c r="K506" s="36">
        <f t="shared" si="70"/>
        <v>27.405555555555551</v>
      </c>
      <c r="L506" s="36" t="s">
        <v>307</v>
      </c>
      <c r="M506" s="39" t="s">
        <v>26</v>
      </c>
      <c r="N506" s="53" t="s">
        <v>302</v>
      </c>
      <c r="O506" s="173" t="s">
        <v>308</v>
      </c>
      <c r="P506" s="173" t="s">
        <v>311</v>
      </c>
      <c r="Q506" s="39" t="s">
        <v>169</v>
      </c>
      <c r="R506" s="95" t="s">
        <v>170</v>
      </c>
    </row>
    <row r="507" spans="1:18" s="40" customFormat="1" ht="15" x14ac:dyDescent="0.25">
      <c r="A507" s="55" t="s">
        <v>231</v>
      </c>
      <c r="B507" s="38">
        <v>11</v>
      </c>
      <c r="C507" s="38">
        <v>4</v>
      </c>
      <c r="D507" s="35">
        <f t="shared" ref="D507:D514" si="76">SUM(B507:C507)</f>
        <v>15</v>
      </c>
      <c r="E507" s="56">
        <v>0.18333333333333332</v>
      </c>
      <c r="F507" s="56">
        <v>6.1111111111111109E-2</v>
      </c>
      <c r="G507" s="36">
        <f t="shared" si="68"/>
        <v>0.24444444444444444</v>
      </c>
      <c r="H507" s="56">
        <f>0.2+100/60</f>
        <v>1.8666666666666667</v>
      </c>
      <c r="I507" s="56">
        <f>0.0666666666666667+100/60*0.25</f>
        <v>0.48333333333333339</v>
      </c>
      <c r="J507" s="36">
        <f t="shared" si="69"/>
        <v>2.35</v>
      </c>
      <c r="K507" s="36">
        <f t="shared" si="70"/>
        <v>2.5944444444444446</v>
      </c>
      <c r="L507" s="36" t="s">
        <v>307</v>
      </c>
      <c r="M507" s="39" t="s">
        <v>26</v>
      </c>
      <c r="N507" s="53" t="s">
        <v>302</v>
      </c>
      <c r="O507" s="173" t="s">
        <v>308</v>
      </c>
      <c r="P507" s="173" t="s">
        <v>311</v>
      </c>
      <c r="Q507" s="39" t="s">
        <v>169</v>
      </c>
      <c r="R507" s="95" t="s">
        <v>170</v>
      </c>
    </row>
    <row r="508" spans="1:18" s="40" customFormat="1" ht="15" x14ac:dyDescent="0.25">
      <c r="A508" s="55" t="s">
        <v>232</v>
      </c>
      <c r="B508" s="38">
        <v>0</v>
      </c>
      <c r="C508" s="38">
        <v>0</v>
      </c>
      <c r="D508" s="35">
        <f t="shared" si="76"/>
        <v>0</v>
      </c>
      <c r="E508" s="56">
        <v>0</v>
      </c>
      <c r="F508" s="56">
        <v>0</v>
      </c>
      <c r="G508" s="36">
        <f t="shared" si="68"/>
        <v>0</v>
      </c>
      <c r="H508" s="56">
        <v>0</v>
      </c>
      <c r="I508" s="56">
        <v>0</v>
      </c>
      <c r="J508" s="36">
        <f t="shared" si="69"/>
        <v>0</v>
      </c>
      <c r="K508" s="36">
        <f t="shared" si="70"/>
        <v>0</v>
      </c>
      <c r="L508" s="36" t="s">
        <v>307</v>
      </c>
      <c r="M508" s="39" t="s">
        <v>26</v>
      </c>
      <c r="N508" s="53" t="s">
        <v>302</v>
      </c>
      <c r="O508" s="173" t="s">
        <v>308</v>
      </c>
      <c r="P508" s="173" t="s">
        <v>311</v>
      </c>
      <c r="Q508" s="39" t="s">
        <v>169</v>
      </c>
      <c r="R508" s="95" t="s">
        <v>170</v>
      </c>
    </row>
    <row r="509" spans="1:18" s="40" customFormat="1" ht="15" x14ac:dyDescent="0.25">
      <c r="A509" s="55" t="s">
        <v>233</v>
      </c>
      <c r="B509" s="38">
        <v>11</v>
      </c>
      <c r="C509" s="38">
        <v>16</v>
      </c>
      <c r="D509" s="35">
        <f t="shared" si="76"/>
        <v>27</v>
      </c>
      <c r="E509" s="56">
        <v>0.66666666666666663</v>
      </c>
      <c r="F509" s="56">
        <v>1</v>
      </c>
      <c r="G509" s="36">
        <f t="shared" si="68"/>
        <v>1.6666666666666665</v>
      </c>
      <c r="H509" s="56">
        <f>1.9+128/60</f>
        <v>4.0333333333333332</v>
      </c>
      <c r="I509" s="56">
        <f>3+128/60*0.25</f>
        <v>3.5333333333333332</v>
      </c>
      <c r="J509" s="36">
        <f t="shared" si="69"/>
        <v>7.5666666666666664</v>
      </c>
      <c r="K509" s="36">
        <f t="shared" si="70"/>
        <v>9.2333333333333325</v>
      </c>
      <c r="L509" s="36" t="s">
        <v>307</v>
      </c>
      <c r="M509" s="39" t="s">
        <v>26</v>
      </c>
      <c r="N509" s="53" t="s">
        <v>302</v>
      </c>
      <c r="O509" s="173" t="s">
        <v>308</v>
      </c>
      <c r="P509" s="173" t="s">
        <v>311</v>
      </c>
      <c r="Q509" s="39" t="s">
        <v>169</v>
      </c>
      <c r="R509" s="95" t="s">
        <v>170</v>
      </c>
    </row>
    <row r="510" spans="1:18" s="40" customFormat="1" ht="15" x14ac:dyDescent="0.25">
      <c r="A510" s="55" t="s">
        <v>234</v>
      </c>
      <c r="B510" s="38">
        <v>0</v>
      </c>
      <c r="C510" s="38">
        <v>0</v>
      </c>
      <c r="D510" s="35">
        <f t="shared" si="76"/>
        <v>0</v>
      </c>
      <c r="E510" s="56">
        <v>0</v>
      </c>
      <c r="F510" s="56">
        <v>0</v>
      </c>
      <c r="G510" s="36">
        <f t="shared" si="68"/>
        <v>0</v>
      </c>
      <c r="H510" s="56">
        <v>0</v>
      </c>
      <c r="I510" s="56">
        <v>0</v>
      </c>
      <c r="J510" s="36">
        <f t="shared" si="69"/>
        <v>0</v>
      </c>
      <c r="K510" s="36">
        <f t="shared" si="70"/>
        <v>0</v>
      </c>
      <c r="L510" s="36" t="s">
        <v>307</v>
      </c>
      <c r="M510" s="39" t="s">
        <v>26</v>
      </c>
      <c r="N510" s="53" t="s">
        <v>302</v>
      </c>
      <c r="O510" s="173" t="s">
        <v>308</v>
      </c>
      <c r="P510" s="173" t="s">
        <v>311</v>
      </c>
      <c r="Q510" s="39" t="s">
        <v>169</v>
      </c>
      <c r="R510" s="95" t="s">
        <v>170</v>
      </c>
    </row>
    <row r="511" spans="1:18" s="40" customFormat="1" ht="15" x14ac:dyDescent="0.25">
      <c r="A511" s="55" t="s">
        <v>235</v>
      </c>
      <c r="B511" s="38">
        <v>1</v>
      </c>
      <c r="C511" s="38">
        <v>0</v>
      </c>
      <c r="D511" s="35">
        <f t="shared" si="76"/>
        <v>1</v>
      </c>
      <c r="E511" s="56">
        <v>0.16666666666666666</v>
      </c>
      <c r="F511" s="56">
        <v>2</v>
      </c>
      <c r="G511" s="36">
        <f t="shared" si="68"/>
        <v>2.1666666666666665</v>
      </c>
      <c r="H511" s="56">
        <v>0</v>
      </c>
      <c r="I511" s="56">
        <v>0</v>
      </c>
      <c r="J511" s="36">
        <f t="shared" si="69"/>
        <v>0</v>
      </c>
      <c r="K511" s="36">
        <f t="shared" si="70"/>
        <v>2.1666666666666665</v>
      </c>
      <c r="L511" s="36" t="s">
        <v>307</v>
      </c>
      <c r="M511" s="39" t="s">
        <v>26</v>
      </c>
      <c r="N511" s="53" t="s">
        <v>302</v>
      </c>
      <c r="O511" s="173" t="s">
        <v>308</v>
      </c>
      <c r="P511" s="173" t="s">
        <v>311</v>
      </c>
      <c r="Q511" s="39" t="s">
        <v>169</v>
      </c>
      <c r="R511" s="95" t="s">
        <v>170</v>
      </c>
    </row>
    <row r="512" spans="1:18" s="40" customFormat="1" ht="15" x14ac:dyDescent="0.25">
      <c r="A512" s="55" t="s">
        <v>236</v>
      </c>
      <c r="B512" s="38">
        <v>13</v>
      </c>
      <c r="C512" s="38">
        <v>6</v>
      </c>
      <c r="D512" s="35">
        <f t="shared" si="76"/>
        <v>19</v>
      </c>
      <c r="E512" s="56">
        <v>10.25</v>
      </c>
      <c r="F512" s="56">
        <v>6</v>
      </c>
      <c r="G512" s="36">
        <f t="shared" si="68"/>
        <v>16.25</v>
      </c>
      <c r="H512" s="56">
        <f>8.5+18/60</f>
        <v>8.8000000000000007</v>
      </c>
      <c r="I512" s="56">
        <f>8.5+18/60*0.25</f>
        <v>8.5749999999999993</v>
      </c>
      <c r="J512" s="36">
        <f t="shared" si="69"/>
        <v>17.375</v>
      </c>
      <c r="K512" s="36">
        <f t="shared" si="70"/>
        <v>33.625</v>
      </c>
      <c r="L512" s="36" t="s">
        <v>307</v>
      </c>
      <c r="M512" s="39" t="s">
        <v>26</v>
      </c>
      <c r="N512" s="53" t="s">
        <v>302</v>
      </c>
      <c r="O512" s="173" t="s">
        <v>308</v>
      </c>
      <c r="P512" s="173" t="s">
        <v>311</v>
      </c>
      <c r="Q512" s="39" t="s">
        <v>169</v>
      </c>
      <c r="R512" s="95" t="s">
        <v>170</v>
      </c>
    </row>
    <row r="513" spans="1:18" s="40" customFormat="1" ht="15" x14ac:dyDescent="0.25">
      <c r="A513" s="55" t="s">
        <v>237</v>
      </c>
      <c r="B513" s="38">
        <v>0</v>
      </c>
      <c r="C513" s="38">
        <v>0</v>
      </c>
      <c r="D513" s="35">
        <f t="shared" si="76"/>
        <v>0</v>
      </c>
      <c r="E513" s="56">
        <v>0</v>
      </c>
      <c r="F513" s="56">
        <v>0</v>
      </c>
      <c r="G513" s="36">
        <f t="shared" si="68"/>
        <v>0</v>
      </c>
      <c r="H513" s="56">
        <v>0</v>
      </c>
      <c r="I513" s="56">
        <v>0</v>
      </c>
      <c r="J513" s="36">
        <f t="shared" si="69"/>
        <v>0</v>
      </c>
      <c r="K513" s="36">
        <f t="shared" si="70"/>
        <v>0</v>
      </c>
      <c r="L513" s="36" t="s">
        <v>307</v>
      </c>
      <c r="M513" s="39" t="s">
        <v>26</v>
      </c>
      <c r="N513" s="53" t="s">
        <v>302</v>
      </c>
      <c r="O513" s="173" t="s">
        <v>308</v>
      </c>
      <c r="P513" s="173" t="s">
        <v>311</v>
      </c>
      <c r="Q513" s="39" t="s">
        <v>169</v>
      </c>
      <c r="R513" s="95" t="s">
        <v>170</v>
      </c>
    </row>
    <row r="514" spans="1:18" s="40" customFormat="1" ht="15" x14ac:dyDescent="0.25">
      <c r="A514" s="55" t="s">
        <v>238</v>
      </c>
      <c r="B514" s="38">
        <v>0</v>
      </c>
      <c r="C514" s="38">
        <v>0</v>
      </c>
      <c r="D514" s="35">
        <f t="shared" si="76"/>
        <v>0</v>
      </c>
      <c r="E514" s="56">
        <v>0</v>
      </c>
      <c r="F514" s="56">
        <v>0</v>
      </c>
      <c r="G514" s="36">
        <f t="shared" si="68"/>
        <v>0</v>
      </c>
      <c r="H514" s="56">
        <v>0</v>
      </c>
      <c r="I514" s="56">
        <v>0</v>
      </c>
      <c r="J514" s="36">
        <f t="shared" si="69"/>
        <v>0</v>
      </c>
      <c r="K514" s="36">
        <f t="shared" si="70"/>
        <v>0</v>
      </c>
      <c r="L514" s="36" t="s">
        <v>307</v>
      </c>
      <c r="M514" s="39" t="s">
        <v>26</v>
      </c>
      <c r="N514" s="53" t="s">
        <v>302</v>
      </c>
      <c r="O514" s="173" t="s">
        <v>308</v>
      </c>
      <c r="P514" s="173" t="s">
        <v>311</v>
      </c>
      <c r="Q514" s="39" t="s">
        <v>169</v>
      </c>
      <c r="R514" s="95" t="s">
        <v>170</v>
      </c>
    </row>
    <row r="515" spans="1:18" s="32" customFormat="1" ht="15" x14ac:dyDescent="0.25">
      <c r="A515" s="84" t="s">
        <v>230</v>
      </c>
      <c r="B515" s="27">
        <v>181</v>
      </c>
      <c r="C515" s="27">
        <v>260</v>
      </c>
      <c r="D515" s="15">
        <f>SUM(B515:C515)</f>
        <v>441</v>
      </c>
      <c r="E515" s="85">
        <v>6.0333333333333332</v>
      </c>
      <c r="F515" s="85">
        <v>2.0111111111111111</v>
      </c>
      <c r="G515" s="28">
        <f t="shared" si="68"/>
        <v>8.0444444444444443</v>
      </c>
      <c r="H515" s="85">
        <v>21.133333333333333</v>
      </c>
      <c r="I515" s="85">
        <v>7.0444444444444443</v>
      </c>
      <c r="J515" s="28">
        <f t="shared" si="69"/>
        <v>28.177777777777777</v>
      </c>
      <c r="K515" s="28">
        <f t="shared" si="70"/>
        <v>36.222222222222221</v>
      </c>
      <c r="L515" s="28" t="s">
        <v>302</v>
      </c>
      <c r="M515" s="26"/>
      <c r="N515" s="30" t="s">
        <v>227</v>
      </c>
      <c r="O515" s="172" t="s">
        <v>308</v>
      </c>
      <c r="P515" s="172" t="s">
        <v>311</v>
      </c>
      <c r="Q515" s="26" t="s">
        <v>171</v>
      </c>
      <c r="R515" s="96" t="s">
        <v>172</v>
      </c>
    </row>
    <row r="516" spans="1:18" s="32" customFormat="1" ht="15" x14ac:dyDescent="0.25">
      <c r="A516" s="84" t="s">
        <v>231</v>
      </c>
      <c r="B516" s="27">
        <v>158</v>
      </c>
      <c r="C516" s="27">
        <v>150</v>
      </c>
      <c r="D516" s="15">
        <f t="shared" ref="D516:D523" si="77">SUM(B516:C516)</f>
        <v>308</v>
      </c>
      <c r="E516" s="85">
        <v>2.6333333333333333</v>
      </c>
      <c r="F516" s="85">
        <v>0.87777777777777777</v>
      </c>
      <c r="G516" s="28">
        <f t="shared" si="68"/>
        <v>3.5111111111111111</v>
      </c>
      <c r="H516" s="85">
        <v>12.633333333333333</v>
      </c>
      <c r="I516" s="85">
        <v>4.2111111111111112</v>
      </c>
      <c r="J516" s="28">
        <f t="shared" si="69"/>
        <v>16.844444444444445</v>
      </c>
      <c r="K516" s="28">
        <f t="shared" si="70"/>
        <v>20.355555555555554</v>
      </c>
      <c r="L516" s="28" t="s">
        <v>302</v>
      </c>
      <c r="M516" s="26"/>
      <c r="N516" s="30" t="s">
        <v>227</v>
      </c>
      <c r="O516" s="172" t="s">
        <v>308</v>
      </c>
      <c r="P516" s="172" t="s">
        <v>311</v>
      </c>
      <c r="Q516" s="26" t="s">
        <v>171</v>
      </c>
      <c r="R516" s="96" t="s">
        <v>172</v>
      </c>
    </row>
    <row r="517" spans="1:18" s="32" customFormat="1" ht="15" x14ac:dyDescent="0.25">
      <c r="A517" s="84" t="s">
        <v>232</v>
      </c>
      <c r="B517" s="27">
        <v>0</v>
      </c>
      <c r="C517" s="27">
        <v>0</v>
      </c>
      <c r="D517" s="15">
        <f t="shared" si="77"/>
        <v>0</v>
      </c>
      <c r="E517" s="85">
        <v>0</v>
      </c>
      <c r="F517" s="85">
        <v>0</v>
      </c>
      <c r="G517" s="28">
        <f t="shared" ref="G517:G571" si="78">E517+F517</f>
        <v>0</v>
      </c>
      <c r="H517" s="85">
        <v>0</v>
      </c>
      <c r="I517" s="85">
        <v>0</v>
      </c>
      <c r="J517" s="28">
        <f t="shared" ref="J517:J571" si="79">H517+I517</f>
        <v>0</v>
      </c>
      <c r="K517" s="28">
        <f t="shared" ref="K517:K571" si="80">G517+J517</f>
        <v>0</v>
      </c>
      <c r="L517" s="28" t="s">
        <v>302</v>
      </c>
      <c r="M517" s="26"/>
      <c r="N517" s="30" t="s">
        <v>227</v>
      </c>
      <c r="O517" s="172" t="s">
        <v>308</v>
      </c>
      <c r="P517" s="172" t="s">
        <v>311</v>
      </c>
      <c r="Q517" s="26" t="s">
        <v>171</v>
      </c>
      <c r="R517" s="96" t="s">
        <v>172</v>
      </c>
    </row>
    <row r="518" spans="1:18" s="32" customFormat="1" ht="15" x14ac:dyDescent="0.25">
      <c r="A518" s="84" t="s">
        <v>233</v>
      </c>
      <c r="B518" s="27">
        <v>0</v>
      </c>
      <c r="C518" s="27">
        <v>0</v>
      </c>
      <c r="D518" s="15">
        <f t="shared" si="77"/>
        <v>0</v>
      </c>
      <c r="E518" s="85">
        <v>0</v>
      </c>
      <c r="F518" s="85">
        <v>0</v>
      </c>
      <c r="G518" s="28">
        <f t="shared" si="78"/>
        <v>0</v>
      </c>
      <c r="H518" s="85">
        <v>0</v>
      </c>
      <c r="I518" s="85">
        <v>0</v>
      </c>
      <c r="J518" s="28">
        <f t="shared" si="79"/>
        <v>0</v>
      </c>
      <c r="K518" s="28">
        <f t="shared" si="80"/>
        <v>0</v>
      </c>
      <c r="L518" s="28" t="s">
        <v>302</v>
      </c>
      <c r="M518" s="26"/>
      <c r="N518" s="30" t="s">
        <v>227</v>
      </c>
      <c r="O518" s="172" t="s">
        <v>308</v>
      </c>
      <c r="P518" s="172" t="s">
        <v>311</v>
      </c>
      <c r="Q518" s="26" t="s">
        <v>171</v>
      </c>
      <c r="R518" s="96" t="s">
        <v>172</v>
      </c>
    </row>
    <row r="519" spans="1:18" s="32" customFormat="1" ht="15" x14ac:dyDescent="0.25">
      <c r="A519" s="84" t="s">
        <v>234</v>
      </c>
      <c r="B519" s="27">
        <v>187</v>
      </c>
      <c r="C519" s="27">
        <v>430</v>
      </c>
      <c r="D519" s="15">
        <f t="shared" si="77"/>
        <v>617</v>
      </c>
      <c r="E519" s="85">
        <v>15.583333333333334</v>
      </c>
      <c r="F519" s="85">
        <v>15.583333333333334</v>
      </c>
      <c r="G519" s="28">
        <f t="shared" si="78"/>
        <v>31.166666666666668</v>
      </c>
      <c r="H519" s="85">
        <v>30.183333333333334</v>
      </c>
      <c r="I519" s="85">
        <v>49.416666666666664</v>
      </c>
      <c r="J519" s="28">
        <f t="shared" si="79"/>
        <v>79.599999999999994</v>
      </c>
      <c r="K519" s="28">
        <f t="shared" si="80"/>
        <v>110.76666666666667</v>
      </c>
      <c r="L519" s="28" t="s">
        <v>302</v>
      </c>
      <c r="M519" s="26"/>
      <c r="N519" s="30" t="s">
        <v>227</v>
      </c>
      <c r="O519" s="172" t="s">
        <v>308</v>
      </c>
      <c r="P519" s="172" t="s">
        <v>311</v>
      </c>
      <c r="Q519" s="26" t="s">
        <v>171</v>
      </c>
      <c r="R519" s="96" t="s">
        <v>172</v>
      </c>
    </row>
    <row r="520" spans="1:18" s="32" customFormat="1" ht="15" x14ac:dyDescent="0.25">
      <c r="A520" s="84" t="s">
        <v>235</v>
      </c>
      <c r="B520" s="27">
        <v>2</v>
      </c>
      <c r="C520" s="27">
        <v>1</v>
      </c>
      <c r="D520" s="15">
        <f t="shared" si="77"/>
        <v>3</v>
      </c>
      <c r="E520" s="85">
        <v>0.33333333333333331</v>
      </c>
      <c r="F520" s="85">
        <v>4</v>
      </c>
      <c r="G520" s="28">
        <f t="shared" si="78"/>
        <v>4.333333333333333</v>
      </c>
      <c r="H520" s="85">
        <v>0.16666666666666666</v>
      </c>
      <c r="I520" s="85">
        <v>8.3333333333333329E-2</v>
      </c>
      <c r="J520" s="28">
        <f t="shared" si="79"/>
        <v>0.25</v>
      </c>
      <c r="K520" s="28">
        <f t="shared" si="80"/>
        <v>4.583333333333333</v>
      </c>
      <c r="L520" s="28" t="s">
        <v>302</v>
      </c>
      <c r="M520" s="26"/>
      <c r="N520" s="30" t="s">
        <v>227</v>
      </c>
      <c r="O520" s="172" t="s">
        <v>308</v>
      </c>
      <c r="P520" s="172" t="s">
        <v>311</v>
      </c>
      <c r="Q520" s="26" t="s">
        <v>171</v>
      </c>
      <c r="R520" s="96" t="s">
        <v>172</v>
      </c>
    </row>
    <row r="521" spans="1:18" s="32" customFormat="1" ht="15" x14ac:dyDescent="0.25">
      <c r="A521" s="84" t="s">
        <v>236</v>
      </c>
      <c r="B521" s="27">
        <v>123</v>
      </c>
      <c r="C521" s="27">
        <v>99</v>
      </c>
      <c r="D521" s="15">
        <f t="shared" si="77"/>
        <v>222</v>
      </c>
      <c r="E521" s="85">
        <v>39</v>
      </c>
      <c r="F521" s="85">
        <v>41.333333333333336</v>
      </c>
      <c r="G521" s="28">
        <f t="shared" si="78"/>
        <v>80.333333333333343</v>
      </c>
      <c r="H521" s="85">
        <v>44.833333333333336</v>
      </c>
      <c r="I521" s="85">
        <v>44.833333333333336</v>
      </c>
      <c r="J521" s="28">
        <f t="shared" si="79"/>
        <v>89.666666666666671</v>
      </c>
      <c r="K521" s="28">
        <f t="shared" si="80"/>
        <v>170</v>
      </c>
      <c r="L521" s="28" t="s">
        <v>302</v>
      </c>
      <c r="M521" s="26"/>
      <c r="N521" s="30" t="s">
        <v>227</v>
      </c>
      <c r="O521" s="172" t="s">
        <v>308</v>
      </c>
      <c r="P521" s="172" t="s">
        <v>311</v>
      </c>
      <c r="Q521" s="26" t="s">
        <v>171</v>
      </c>
      <c r="R521" s="96" t="s">
        <v>172</v>
      </c>
    </row>
    <row r="522" spans="1:18" s="32" customFormat="1" ht="15" x14ac:dyDescent="0.25">
      <c r="A522" s="84" t="s">
        <v>237</v>
      </c>
      <c r="B522" s="27">
        <v>20</v>
      </c>
      <c r="C522" s="27">
        <v>1</v>
      </c>
      <c r="D522" s="15">
        <f t="shared" si="77"/>
        <v>21</v>
      </c>
      <c r="E522" s="85">
        <v>0.33333333333333331</v>
      </c>
      <c r="F522" s="85">
        <v>6.666666666666667</v>
      </c>
      <c r="G522" s="28">
        <f t="shared" si="78"/>
        <v>7</v>
      </c>
      <c r="H522" s="85">
        <v>0.05</v>
      </c>
      <c r="I522" s="85">
        <v>0.16666666666666666</v>
      </c>
      <c r="J522" s="28">
        <f t="shared" si="79"/>
        <v>0.21666666666666667</v>
      </c>
      <c r="K522" s="28">
        <f t="shared" si="80"/>
        <v>7.2166666666666668</v>
      </c>
      <c r="L522" s="28" t="s">
        <v>302</v>
      </c>
      <c r="M522" s="26"/>
      <c r="N522" s="30" t="s">
        <v>227</v>
      </c>
      <c r="O522" s="172" t="s">
        <v>308</v>
      </c>
      <c r="P522" s="172" t="s">
        <v>311</v>
      </c>
      <c r="Q522" s="26" t="s">
        <v>171</v>
      </c>
      <c r="R522" s="96" t="s">
        <v>172</v>
      </c>
    </row>
    <row r="523" spans="1:18" s="32" customFormat="1" ht="15" x14ac:dyDescent="0.25">
      <c r="A523" s="84" t="s">
        <v>238</v>
      </c>
      <c r="B523" s="27">
        <v>0</v>
      </c>
      <c r="C523" s="27">
        <v>0</v>
      </c>
      <c r="D523" s="15">
        <f t="shared" si="77"/>
        <v>0</v>
      </c>
      <c r="E523" s="85">
        <v>0</v>
      </c>
      <c r="F523" s="85">
        <v>0</v>
      </c>
      <c r="G523" s="28">
        <f t="shared" si="78"/>
        <v>0</v>
      </c>
      <c r="H523" s="85">
        <v>0</v>
      </c>
      <c r="I523" s="85">
        <v>0</v>
      </c>
      <c r="J523" s="28">
        <f t="shared" si="79"/>
        <v>0</v>
      </c>
      <c r="K523" s="28">
        <f t="shared" si="80"/>
        <v>0</v>
      </c>
      <c r="L523" s="28" t="s">
        <v>302</v>
      </c>
      <c r="M523" s="26"/>
      <c r="N523" s="30" t="s">
        <v>227</v>
      </c>
      <c r="O523" s="172" t="s">
        <v>308</v>
      </c>
      <c r="P523" s="172" t="s">
        <v>311</v>
      </c>
      <c r="Q523" s="26" t="s">
        <v>171</v>
      </c>
      <c r="R523" s="96" t="s">
        <v>172</v>
      </c>
    </row>
    <row r="524" spans="1:18" s="40" customFormat="1" ht="15" x14ac:dyDescent="0.25">
      <c r="A524" s="55" t="s">
        <v>230</v>
      </c>
      <c r="B524" s="38">
        <v>5</v>
      </c>
      <c r="C524" s="38">
        <v>42</v>
      </c>
      <c r="D524" s="35">
        <f>SUM(B524:C524)</f>
        <v>47</v>
      </c>
      <c r="E524" s="56">
        <v>0.16666666666666666</v>
      </c>
      <c r="F524" s="56">
        <v>5.5555555555555552E-2</v>
      </c>
      <c r="G524" s="36">
        <f t="shared" si="78"/>
        <v>0.22222222222222221</v>
      </c>
      <c r="H524" s="56">
        <v>2.2999999999999998</v>
      </c>
      <c r="I524" s="56">
        <v>0.76666666666666661</v>
      </c>
      <c r="J524" s="36">
        <f t="shared" si="79"/>
        <v>3.0666666666666664</v>
      </c>
      <c r="K524" s="36">
        <f t="shared" si="80"/>
        <v>3.2888888888888888</v>
      </c>
      <c r="L524" s="36" t="s">
        <v>302</v>
      </c>
      <c r="M524" s="39"/>
      <c r="N524" s="53" t="s">
        <v>227</v>
      </c>
      <c r="O524" s="173" t="s">
        <v>308</v>
      </c>
      <c r="P524" s="173" t="s">
        <v>311</v>
      </c>
      <c r="Q524" s="39" t="s">
        <v>174</v>
      </c>
      <c r="R524" s="95" t="s">
        <v>173</v>
      </c>
    </row>
    <row r="525" spans="1:18" s="40" customFormat="1" ht="15" x14ac:dyDescent="0.25">
      <c r="A525" s="55" t="s">
        <v>231</v>
      </c>
      <c r="B525" s="38">
        <v>3</v>
      </c>
      <c r="C525" s="38">
        <v>10</v>
      </c>
      <c r="D525" s="35">
        <f t="shared" ref="D525:D532" si="81">SUM(B525:C525)</f>
        <v>13</v>
      </c>
      <c r="E525" s="56">
        <v>0.05</v>
      </c>
      <c r="F525" s="56">
        <v>1.6666666666666666E-2</v>
      </c>
      <c r="G525" s="36">
        <f t="shared" si="78"/>
        <v>6.6666666666666666E-2</v>
      </c>
      <c r="H525" s="56">
        <v>0.68333333333333335</v>
      </c>
      <c r="I525" s="56">
        <v>0.22777777777777777</v>
      </c>
      <c r="J525" s="36">
        <f t="shared" si="79"/>
        <v>0.91111111111111109</v>
      </c>
      <c r="K525" s="36">
        <f t="shared" si="80"/>
        <v>0.97777777777777775</v>
      </c>
      <c r="L525" s="36" t="s">
        <v>302</v>
      </c>
      <c r="M525" s="39"/>
      <c r="N525" s="53" t="s">
        <v>227</v>
      </c>
      <c r="O525" s="173" t="s">
        <v>308</v>
      </c>
      <c r="P525" s="173" t="s">
        <v>311</v>
      </c>
      <c r="Q525" s="39" t="s">
        <v>174</v>
      </c>
      <c r="R525" s="95" t="s">
        <v>173</v>
      </c>
    </row>
    <row r="526" spans="1:18" s="40" customFormat="1" ht="15" x14ac:dyDescent="0.25">
      <c r="A526" s="55" t="s">
        <v>232</v>
      </c>
      <c r="B526" s="38">
        <v>7</v>
      </c>
      <c r="C526" s="38">
        <v>0</v>
      </c>
      <c r="D526" s="35">
        <f t="shared" si="81"/>
        <v>7</v>
      </c>
      <c r="E526" s="56">
        <v>4.25</v>
      </c>
      <c r="F526" s="56">
        <v>2.3333333333333335</v>
      </c>
      <c r="G526" s="36">
        <f t="shared" si="78"/>
        <v>6.5833333333333339</v>
      </c>
      <c r="H526" s="56">
        <v>0</v>
      </c>
      <c r="I526" s="56">
        <v>0</v>
      </c>
      <c r="J526" s="36">
        <f t="shared" si="79"/>
        <v>0</v>
      </c>
      <c r="K526" s="36">
        <f t="shared" si="80"/>
        <v>6.5833333333333339</v>
      </c>
      <c r="L526" s="36" t="s">
        <v>302</v>
      </c>
      <c r="M526" s="39"/>
      <c r="N526" s="53" t="s">
        <v>227</v>
      </c>
      <c r="O526" s="173" t="s">
        <v>308</v>
      </c>
      <c r="P526" s="173" t="s">
        <v>311</v>
      </c>
      <c r="Q526" s="39" t="s">
        <v>174</v>
      </c>
      <c r="R526" s="95" t="s">
        <v>173</v>
      </c>
    </row>
    <row r="527" spans="1:18" s="40" customFormat="1" ht="15" x14ac:dyDescent="0.25">
      <c r="A527" s="55" t="s">
        <v>233</v>
      </c>
      <c r="B527" s="38">
        <v>0</v>
      </c>
      <c r="C527" s="38">
        <v>0</v>
      </c>
      <c r="D527" s="35">
        <f t="shared" si="81"/>
        <v>0</v>
      </c>
      <c r="E527" s="56">
        <v>0</v>
      </c>
      <c r="F527" s="56">
        <v>0</v>
      </c>
      <c r="G527" s="36">
        <f t="shared" si="78"/>
        <v>0</v>
      </c>
      <c r="H527" s="56">
        <v>0</v>
      </c>
      <c r="I527" s="56">
        <v>0</v>
      </c>
      <c r="J527" s="36">
        <f t="shared" si="79"/>
        <v>0</v>
      </c>
      <c r="K527" s="36">
        <f t="shared" si="80"/>
        <v>0</v>
      </c>
      <c r="L527" s="36" t="s">
        <v>302</v>
      </c>
      <c r="M527" s="39"/>
      <c r="N527" s="53" t="s">
        <v>227</v>
      </c>
      <c r="O527" s="173" t="s">
        <v>308</v>
      </c>
      <c r="P527" s="173" t="s">
        <v>311</v>
      </c>
      <c r="Q527" s="39" t="s">
        <v>174</v>
      </c>
      <c r="R527" s="95" t="s">
        <v>173</v>
      </c>
    </row>
    <row r="528" spans="1:18" s="40" customFormat="1" ht="15" x14ac:dyDescent="0.25">
      <c r="A528" s="55" t="s">
        <v>234</v>
      </c>
      <c r="B528" s="38">
        <v>6</v>
      </c>
      <c r="C528" s="38">
        <v>82</v>
      </c>
      <c r="D528" s="35">
        <f t="shared" si="81"/>
        <v>88</v>
      </c>
      <c r="E528" s="56">
        <v>0.5</v>
      </c>
      <c r="F528" s="56">
        <v>0.5</v>
      </c>
      <c r="G528" s="36">
        <f t="shared" si="78"/>
        <v>1</v>
      </c>
      <c r="H528" s="56">
        <v>4.3666666666666663</v>
      </c>
      <c r="I528" s="56">
        <v>7.25</v>
      </c>
      <c r="J528" s="36">
        <f t="shared" si="79"/>
        <v>11.616666666666667</v>
      </c>
      <c r="K528" s="36">
        <f t="shared" si="80"/>
        <v>12.616666666666667</v>
      </c>
      <c r="L528" s="36" t="s">
        <v>302</v>
      </c>
      <c r="M528" s="39"/>
      <c r="N528" s="53" t="s">
        <v>227</v>
      </c>
      <c r="O528" s="173" t="s">
        <v>308</v>
      </c>
      <c r="P528" s="173" t="s">
        <v>311</v>
      </c>
      <c r="Q528" s="39" t="s">
        <v>174</v>
      </c>
      <c r="R528" s="95" t="s">
        <v>173</v>
      </c>
    </row>
    <row r="529" spans="1:18" s="40" customFormat="1" ht="15" x14ac:dyDescent="0.25">
      <c r="A529" s="55" t="s">
        <v>235</v>
      </c>
      <c r="B529" s="38">
        <v>2</v>
      </c>
      <c r="C529" s="38">
        <v>0</v>
      </c>
      <c r="D529" s="35">
        <f t="shared" si="81"/>
        <v>2</v>
      </c>
      <c r="E529" s="56">
        <v>0.33333333333333331</v>
      </c>
      <c r="F529" s="56">
        <v>4</v>
      </c>
      <c r="G529" s="36">
        <f t="shared" si="78"/>
        <v>4.333333333333333</v>
      </c>
      <c r="H529" s="56">
        <v>0</v>
      </c>
      <c r="I529" s="56">
        <v>0</v>
      </c>
      <c r="J529" s="36">
        <f t="shared" si="79"/>
        <v>0</v>
      </c>
      <c r="K529" s="36">
        <f t="shared" si="80"/>
        <v>4.333333333333333</v>
      </c>
      <c r="L529" s="36" t="s">
        <v>302</v>
      </c>
      <c r="M529" s="39"/>
      <c r="N529" s="53" t="s">
        <v>227</v>
      </c>
      <c r="O529" s="173" t="s">
        <v>308</v>
      </c>
      <c r="P529" s="173" t="s">
        <v>311</v>
      </c>
      <c r="Q529" s="39" t="s">
        <v>174</v>
      </c>
      <c r="R529" s="95" t="s">
        <v>173</v>
      </c>
    </row>
    <row r="530" spans="1:18" s="40" customFormat="1" ht="15" x14ac:dyDescent="0.25">
      <c r="A530" s="55" t="s">
        <v>236</v>
      </c>
      <c r="B530" s="38">
        <v>16</v>
      </c>
      <c r="C530" s="38">
        <v>19</v>
      </c>
      <c r="D530" s="35">
        <f t="shared" si="81"/>
        <v>35</v>
      </c>
      <c r="E530" s="56">
        <v>59.666666666666664</v>
      </c>
      <c r="F530" s="56">
        <v>24.5</v>
      </c>
      <c r="G530" s="36">
        <f t="shared" si="78"/>
        <v>84.166666666666657</v>
      </c>
      <c r="H530" s="56">
        <v>18.666666666666668</v>
      </c>
      <c r="I530" s="56">
        <v>18.666666666666668</v>
      </c>
      <c r="J530" s="36">
        <f t="shared" si="79"/>
        <v>37.333333333333336</v>
      </c>
      <c r="K530" s="36">
        <f t="shared" si="80"/>
        <v>121.5</v>
      </c>
      <c r="L530" s="36" t="s">
        <v>302</v>
      </c>
      <c r="M530" s="39"/>
      <c r="N530" s="53" t="s">
        <v>227</v>
      </c>
      <c r="O530" s="173" t="s">
        <v>308</v>
      </c>
      <c r="P530" s="173" t="s">
        <v>311</v>
      </c>
      <c r="Q530" s="39" t="s">
        <v>174</v>
      </c>
      <c r="R530" s="95" t="s">
        <v>173</v>
      </c>
    </row>
    <row r="531" spans="1:18" s="40" customFormat="1" ht="15" x14ac:dyDescent="0.25">
      <c r="A531" s="55" t="s">
        <v>237</v>
      </c>
      <c r="B531" s="38">
        <v>0</v>
      </c>
      <c r="C531" s="38">
        <v>0</v>
      </c>
      <c r="D531" s="35">
        <f t="shared" si="81"/>
        <v>0</v>
      </c>
      <c r="E531" s="56">
        <v>0</v>
      </c>
      <c r="F531" s="56">
        <v>0</v>
      </c>
      <c r="G531" s="36">
        <f t="shared" si="78"/>
        <v>0</v>
      </c>
      <c r="H531" s="56">
        <v>0</v>
      </c>
      <c r="I531" s="56">
        <v>0</v>
      </c>
      <c r="J531" s="36">
        <f t="shared" si="79"/>
        <v>0</v>
      </c>
      <c r="K531" s="36">
        <f t="shared" si="80"/>
        <v>0</v>
      </c>
      <c r="L531" s="36" t="s">
        <v>302</v>
      </c>
      <c r="M531" s="39"/>
      <c r="N531" s="53" t="s">
        <v>227</v>
      </c>
      <c r="O531" s="173" t="s">
        <v>308</v>
      </c>
      <c r="P531" s="173" t="s">
        <v>311</v>
      </c>
      <c r="Q531" s="39" t="s">
        <v>174</v>
      </c>
      <c r="R531" s="95" t="s">
        <v>173</v>
      </c>
    </row>
    <row r="532" spans="1:18" s="40" customFormat="1" ht="15" x14ac:dyDescent="0.25">
      <c r="A532" s="55" t="s">
        <v>238</v>
      </c>
      <c r="B532" s="38">
        <v>0</v>
      </c>
      <c r="C532" s="38">
        <v>0</v>
      </c>
      <c r="D532" s="35">
        <f t="shared" si="81"/>
        <v>0</v>
      </c>
      <c r="E532" s="56">
        <v>0</v>
      </c>
      <c r="F532" s="56">
        <v>0</v>
      </c>
      <c r="G532" s="36">
        <f t="shared" si="78"/>
        <v>0</v>
      </c>
      <c r="H532" s="56">
        <v>0</v>
      </c>
      <c r="I532" s="56">
        <v>0</v>
      </c>
      <c r="J532" s="36">
        <f t="shared" si="79"/>
        <v>0</v>
      </c>
      <c r="K532" s="36">
        <f t="shared" si="80"/>
        <v>0</v>
      </c>
      <c r="L532" s="36" t="s">
        <v>302</v>
      </c>
      <c r="M532" s="39"/>
      <c r="N532" s="53" t="s">
        <v>227</v>
      </c>
      <c r="O532" s="173" t="s">
        <v>308</v>
      </c>
      <c r="P532" s="173" t="s">
        <v>311</v>
      </c>
      <c r="Q532" s="39" t="s">
        <v>174</v>
      </c>
      <c r="R532" s="95" t="s">
        <v>173</v>
      </c>
    </row>
    <row r="533" spans="1:18" s="32" customFormat="1" ht="15" x14ac:dyDescent="0.25">
      <c r="A533" s="84" t="s">
        <v>230</v>
      </c>
      <c r="B533" s="27">
        <v>10</v>
      </c>
      <c r="C533" s="27">
        <v>3</v>
      </c>
      <c r="D533" s="15">
        <f>SUM(B533:C533)</f>
        <v>13</v>
      </c>
      <c r="E533" s="85">
        <v>0.33333333333333331</v>
      </c>
      <c r="F533" s="85">
        <v>0.1111111111111111</v>
      </c>
      <c r="G533" s="28">
        <f t="shared" si="78"/>
        <v>0.44444444444444442</v>
      </c>
      <c r="H533" s="85">
        <v>0.15</v>
      </c>
      <c r="I533" s="85">
        <v>4.9999999999999996E-2</v>
      </c>
      <c r="J533" s="28">
        <f t="shared" si="79"/>
        <v>0.19999999999999998</v>
      </c>
      <c r="K533" s="28">
        <f t="shared" si="80"/>
        <v>0.64444444444444438</v>
      </c>
      <c r="L533" s="28" t="s">
        <v>302</v>
      </c>
      <c r="M533" s="26"/>
      <c r="N533" s="30" t="s">
        <v>302</v>
      </c>
      <c r="O533" s="172" t="s">
        <v>308</v>
      </c>
      <c r="P533" s="172" t="s">
        <v>310</v>
      </c>
      <c r="Q533" s="26" t="s">
        <v>122</v>
      </c>
      <c r="R533" s="96" t="s">
        <v>123</v>
      </c>
    </row>
    <row r="534" spans="1:18" s="32" customFormat="1" ht="15" x14ac:dyDescent="0.25">
      <c r="A534" s="84" t="s">
        <v>231</v>
      </c>
      <c r="B534" s="27">
        <v>1</v>
      </c>
      <c r="C534" s="27">
        <v>1</v>
      </c>
      <c r="D534" s="15">
        <f t="shared" ref="D534:D541" si="82">SUM(B534:C534)</f>
        <v>2</v>
      </c>
      <c r="E534" s="85">
        <v>1.6666666666666666E-2</v>
      </c>
      <c r="F534" s="85">
        <v>5.5555555555555558E-3</v>
      </c>
      <c r="G534" s="28">
        <f t="shared" si="78"/>
        <v>2.2222222222222223E-2</v>
      </c>
      <c r="H534" s="85">
        <v>0.05</v>
      </c>
      <c r="I534" s="85">
        <v>1.6666666666666666E-2</v>
      </c>
      <c r="J534" s="28">
        <f t="shared" si="79"/>
        <v>6.6666666666666666E-2</v>
      </c>
      <c r="K534" s="28">
        <f t="shared" si="80"/>
        <v>8.8888888888888892E-2</v>
      </c>
      <c r="L534" s="28" t="s">
        <v>302</v>
      </c>
      <c r="M534" s="26"/>
      <c r="N534" s="30" t="s">
        <v>302</v>
      </c>
      <c r="O534" s="172" t="s">
        <v>308</v>
      </c>
      <c r="P534" s="172" t="s">
        <v>310</v>
      </c>
      <c r="Q534" s="26" t="s">
        <v>122</v>
      </c>
      <c r="R534" s="96" t="s">
        <v>123</v>
      </c>
    </row>
    <row r="535" spans="1:18" s="32" customFormat="1" ht="15" x14ac:dyDescent="0.25">
      <c r="A535" s="84" t="s">
        <v>232</v>
      </c>
      <c r="B535" s="27">
        <v>3</v>
      </c>
      <c r="C535" s="27">
        <v>0</v>
      </c>
      <c r="D535" s="15">
        <f t="shared" si="82"/>
        <v>3</v>
      </c>
      <c r="E535" s="85">
        <v>2</v>
      </c>
      <c r="F535" s="85">
        <v>1</v>
      </c>
      <c r="G535" s="28">
        <f t="shared" si="78"/>
        <v>3</v>
      </c>
      <c r="H535" s="85">
        <v>0</v>
      </c>
      <c r="I535" s="85">
        <v>0</v>
      </c>
      <c r="J535" s="28">
        <f t="shared" si="79"/>
        <v>0</v>
      </c>
      <c r="K535" s="28">
        <f t="shared" si="80"/>
        <v>3</v>
      </c>
      <c r="L535" s="28" t="s">
        <v>302</v>
      </c>
      <c r="M535" s="26"/>
      <c r="N535" s="30" t="s">
        <v>302</v>
      </c>
      <c r="O535" s="172" t="s">
        <v>308</v>
      </c>
      <c r="P535" s="172" t="s">
        <v>310</v>
      </c>
      <c r="Q535" s="26" t="s">
        <v>122</v>
      </c>
      <c r="R535" s="96" t="s">
        <v>123</v>
      </c>
    </row>
    <row r="536" spans="1:18" s="32" customFormat="1" ht="15" x14ac:dyDescent="0.25">
      <c r="A536" s="84" t="s">
        <v>233</v>
      </c>
      <c r="B536" s="27">
        <v>10</v>
      </c>
      <c r="C536" s="27">
        <v>5</v>
      </c>
      <c r="D536" s="15">
        <f t="shared" si="82"/>
        <v>15</v>
      </c>
      <c r="E536" s="85">
        <v>9.9166666666666661</v>
      </c>
      <c r="F536" s="85">
        <v>4.25</v>
      </c>
      <c r="G536" s="28">
        <f t="shared" si="78"/>
        <v>14.166666666666666</v>
      </c>
      <c r="H536" s="85">
        <v>0.5</v>
      </c>
      <c r="I536" s="85">
        <v>0.83333333333333337</v>
      </c>
      <c r="J536" s="28">
        <f t="shared" si="79"/>
        <v>1.3333333333333335</v>
      </c>
      <c r="K536" s="28">
        <f t="shared" si="80"/>
        <v>15.5</v>
      </c>
      <c r="L536" s="28" t="s">
        <v>302</v>
      </c>
      <c r="M536" s="26"/>
      <c r="N536" s="30" t="s">
        <v>302</v>
      </c>
      <c r="O536" s="172" t="s">
        <v>308</v>
      </c>
      <c r="P536" s="172" t="s">
        <v>310</v>
      </c>
      <c r="Q536" s="26" t="s">
        <v>122</v>
      </c>
      <c r="R536" s="96" t="s">
        <v>123</v>
      </c>
    </row>
    <row r="537" spans="1:18" s="32" customFormat="1" ht="15" x14ac:dyDescent="0.25">
      <c r="A537" s="84" t="s">
        <v>234</v>
      </c>
      <c r="B537" s="27">
        <v>0</v>
      </c>
      <c r="C537" s="27">
        <v>0</v>
      </c>
      <c r="D537" s="15">
        <f t="shared" si="82"/>
        <v>0</v>
      </c>
      <c r="E537" s="85">
        <v>0</v>
      </c>
      <c r="F537" s="85">
        <v>0</v>
      </c>
      <c r="G537" s="28">
        <f t="shared" si="78"/>
        <v>0</v>
      </c>
      <c r="H537" s="85">
        <v>0</v>
      </c>
      <c r="I537" s="85">
        <v>0</v>
      </c>
      <c r="J537" s="28">
        <f t="shared" si="79"/>
        <v>0</v>
      </c>
      <c r="K537" s="28">
        <f t="shared" si="80"/>
        <v>0</v>
      </c>
      <c r="L537" s="28" t="s">
        <v>302</v>
      </c>
      <c r="M537" s="26"/>
      <c r="N537" s="30" t="s">
        <v>302</v>
      </c>
      <c r="O537" s="172" t="s">
        <v>308</v>
      </c>
      <c r="P537" s="172" t="s">
        <v>310</v>
      </c>
      <c r="Q537" s="26" t="s">
        <v>122</v>
      </c>
      <c r="R537" s="96" t="s">
        <v>123</v>
      </c>
    </row>
    <row r="538" spans="1:18" s="32" customFormat="1" ht="15" x14ac:dyDescent="0.25">
      <c r="A538" s="84" t="s">
        <v>235</v>
      </c>
      <c r="B538" s="27">
        <v>1</v>
      </c>
      <c r="C538" s="27">
        <v>0</v>
      </c>
      <c r="D538" s="15">
        <f t="shared" si="82"/>
        <v>1</v>
      </c>
      <c r="E538" s="85">
        <v>0</v>
      </c>
      <c r="F538" s="85">
        <v>2</v>
      </c>
      <c r="G538" s="28">
        <f t="shared" si="78"/>
        <v>2</v>
      </c>
      <c r="H538" s="85">
        <v>0</v>
      </c>
      <c r="I538" s="85">
        <v>0</v>
      </c>
      <c r="J538" s="28">
        <f t="shared" si="79"/>
        <v>0</v>
      </c>
      <c r="K538" s="28">
        <f t="shared" si="80"/>
        <v>2</v>
      </c>
      <c r="L538" s="28" t="s">
        <v>302</v>
      </c>
      <c r="M538" s="26"/>
      <c r="N538" s="30" t="s">
        <v>302</v>
      </c>
      <c r="O538" s="172" t="s">
        <v>308</v>
      </c>
      <c r="P538" s="172" t="s">
        <v>310</v>
      </c>
      <c r="Q538" s="26" t="s">
        <v>122</v>
      </c>
      <c r="R538" s="96" t="s">
        <v>123</v>
      </c>
    </row>
    <row r="539" spans="1:18" s="32" customFormat="1" ht="15" x14ac:dyDescent="0.25">
      <c r="A539" s="84" t="s">
        <v>236</v>
      </c>
      <c r="B539" s="27">
        <v>5</v>
      </c>
      <c r="C539" s="27">
        <v>1</v>
      </c>
      <c r="D539" s="15">
        <f t="shared" si="82"/>
        <v>6</v>
      </c>
      <c r="E539" s="85">
        <v>34</v>
      </c>
      <c r="F539" s="85">
        <v>12</v>
      </c>
      <c r="G539" s="28">
        <f t="shared" si="78"/>
        <v>46</v>
      </c>
      <c r="H539" s="85">
        <v>0.16666666666666666</v>
      </c>
      <c r="I539" s="85">
        <v>0.16666666666666666</v>
      </c>
      <c r="J539" s="28">
        <f t="shared" si="79"/>
        <v>0.33333333333333331</v>
      </c>
      <c r="K539" s="28">
        <f t="shared" si="80"/>
        <v>46.333333333333336</v>
      </c>
      <c r="L539" s="28" t="s">
        <v>302</v>
      </c>
      <c r="M539" s="26"/>
      <c r="N539" s="30" t="s">
        <v>302</v>
      </c>
      <c r="O539" s="172" t="s">
        <v>308</v>
      </c>
      <c r="P539" s="172" t="s">
        <v>310</v>
      </c>
      <c r="Q539" s="26" t="s">
        <v>122</v>
      </c>
      <c r="R539" s="96" t="s">
        <v>123</v>
      </c>
    </row>
    <row r="540" spans="1:18" s="32" customFormat="1" ht="15" x14ac:dyDescent="0.25">
      <c r="A540" s="84" t="s">
        <v>237</v>
      </c>
      <c r="B540" s="27">
        <v>0</v>
      </c>
      <c r="C540" s="27">
        <v>0</v>
      </c>
      <c r="D540" s="15">
        <f t="shared" si="82"/>
        <v>0</v>
      </c>
      <c r="E540" s="85">
        <v>0</v>
      </c>
      <c r="F540" s="85">
        <v>0</v>
      </c>
      <c r="G540" s="28">
        <f t="shared" si="78"/>
        <v>0</v>
      </c>
      <c r="H540" s="85">
        <v>0</v>
      </c>
      <c r="I540" s="85">
        <v>0</v>
      </c>
      <c r="J540" s="28">
        <f t="shared" si="79"/>
        <v>0</v>
      </c>
      <c r="K540" s="28">
        <f t="shared" si="80"/>
        <v>0</v>
      </c>
      <c r="L540" s="28" t="s">
        <v>302</v>
      </c>
      <c r="M540" s="26"/>
      <c r="N540" s="30" t="s">
        <v>302</v>
      </c>
      <c r="O540" s="172" t="s">
        <v>308</v>
      </c>
      <c r="P540" s="172" t="s">
        <v>310</v>
      </c>
      <c r="Q540" s="26" t="s">
        <v>122</v>
      </c>
      <c r="R540" s="96" t="s">
        <v>123</v>
      </c>
    </row>
    <row r="541" spans="1:18" s="32" customFormat="1" ht="15" x14ac:dyDescent="0.25">
      <c r="A541" s="84" t="s">
        <v>238</v>
      </c>
      <c r="B541" s="27">
        <v>0</v>
      </c>
      <c r="C541" s="27">
        <v>0</v>
      </c>
      <c r="D541" s="15">
        <f t="shared" si="82"/>
        <v>0</v>
      </c>
      <c r="E541" s="85">
        <v>0</v>
      </c>
      <c r="F541" s="85">
        <v>0</v>
      </c>
      <c r="G541" s="28">
        <f t="shared" si="78"/>
        <v>0</v>
      </c>
      <c r="H541" s="85">
        <v>0</v>
      </c>
      <c r="I541" s="85">
        <v>0</v>
      </c>
      <c r="J541" s="28">
        <f t="shared" si="79"/>
        <v>0</v>
      </c>
      <c r="K541" s="28">
        <f t="shared" si="80"/>
        <v>0</v>
      </c>
      <c r="L541" s="28" t="s">
        <v>302</v>
      </c>
      <c r="M541" s="26"/>
      <c r="N541" s="30" t="s">
        <v>302</v>
      </c>
      <c r="O541" s="172" t="s">
        <v>308</v>
      </c>
      <c r="P541" s="172" t="s">
        <v>310</v>
      </c>
      <c r="Q541" s="26" t="s">
        <v>122</v>
      </c>
      <c r="R541" s="96" t="s">
        <v>123</v>
      </c>
    </row>
    <row r="542" spans="1:18" s="40" customFormat="1" ht="15" x14ac:dyDescent="0.25">
      <c r="A542" s="55" t="s">
        <v>230</v>
      </c>
      <c r="B542" s="38">
        <v>213</v>
      </c>
      <c r="C542" s="38">
        <v>102</v>
      </c>
      <c r="D542" s="35">
        <f>SUM(B542:C542)</f>
        <v>315</v>
      </c>
      <c r="E542" s="56">
        <v>7.1</v>
      </c>
      <c r="F542" s="56">
        <v>3.6566523605150216</v>
      </c>
      <c r="G542" s="36">
        <f t="shared" si="78"/>
        <v>10.756652360515021</v>
      </c>
      <c r="H542" s="56">
        <v>5.8166666666666664</v>
      </c>
      <c r="I542" s="56">
        <v>1.7510729613733906</v>
      </c>
      <c r="J542" s="36">
        <f t="shared" si="79"/>
        <v>7.5677396280400568</v>
      </c>
      <c r="K542" s="36">
        <f t="shared" si="80"/>
        <v>18.324391988555078</v>
      </c>
      <c r="L542" s="36" t="s">
        <v>302</v>
      </c>
      <c r="M542" s="39" t="s">
        <v>241</v>
      </c>
      <c r="N542" s="53" t="s">
        <v>227</v>
      </c>
      <c r="O542" s="173" t="s">
        <v>309</v>
      </c>
      <c r="P542" s="173" t="s">
        <v>310</v>
      </c>
      <c r="Q542" s="39" t="s">
        <v>124</v>
      </c>
      <c r="R542" s="95" t="s">
        <v>125</v>
      </c>
    </row>
    <row r="543" spans="1:18" s="40" customFormat="1" ht="15" x14ac:dyDescent="0.25">
      <c r="A543" s="55" t="s">
        <v>231</v>
      </c>
      <c r="B543" s="38">
        <v>102</v>
      </c>
      <c r="C543" s="38">
        <v>49</v>
      </c>
      <c r="D543" s="35">
        <f t="shared" ref="D543:D550" si="83">SUM(B543:C543)</f>
        <v>151</v>
      </c>
      <c r="E543" s="56">
        <v>1.7</v>
      </c>
      <c r="F543" s="56">
        <v>1.7510729613733906</v>
      </c>
      <c r="G543" s="36">
        <f t="shared" si="78"/>
        <v>3.4510729613733906</v>
      </c>
      <c r="H543" s="56">
        <v>3.6166666666666667</v>
      </c>
      <c r="I543" s="56">
        <v>0.84120171673819744</v>
      </c>
      <c r="J543" s="36">
        <f t="shared" si="79"/>
        <v>4.4578683834048638</v>
      </c>
      <c r="K543" s="36">
        <f t="shared" si="80"/>
        <v>7.9089413447782544</v>
      </c>
      <c r="L543" s="36" t="s">
        <v>302</v>
      </c>
      <c r="M543" s="39" t="s">
        <v>241</v>
      </c>
      <c r="N543" s="53" t="s">
        <v>227</v>
      </c>
      <c r="O543" s="173" t="s">
        <v>309</v>
      </c>
      <c r="P543" s="173" t="s">
        <v>310</v>
      </c>
      <c r="Q543" s="39" t="s">
        <v>124</v>
      </c>
      <c r="R543" s="95" t="s">
        <v>125</v>
      </c>
    </row>
    <row r="544" spans="1:18" s="40" customFormat="1" ht="15" x14ac:dyDescent="0.25">
      <c r="A544" s="55" t="s">
        <v>232</v>
      </c>
      <c r="B544" s="38">
        <v>0</v>
      </c>
      <c r="C544" s="38">
        <v>0</v>
      </c>
      <c r="D544" s="35">
        <f t="shared" si="83"/>
        <v>0</v>
      </c>
      <c r="E544" s="56">
        <v>0</v>
      </c>
      <c r="F544" s="56">
        <v>0</v>
      </c>
      <c r="G544" s="36">
        <f t="shared" si="78"/>
        <v>0</v>
      </c>
      <c r="H544" s="56">
        <v>0</v>
      </c>
      <c r="I544" s="56">
        <v>0</v>
      </c>
      <c r="J544" s="36">
        <f t="shared" si="79"/>
        <v>0</v>
      </c>
      <c r="K544" s="36">
        <f t="shared" si="80"/>
        <v>0</v>
      </c>
      <c r="L544" s="36" t="s">
        <v>302</v>
      </c>
      <c r="M544" s="39"/>
      <c r="N544" s="53" t="s">
        <v>227</v>
      </c>
      <c r="O544" s="173" t="s">
        <v>309</v>
      </c>
      <c r="P544" s="173" t="s">
        <v>310</v>
      </c>
      <c r="Q544" s="39" t="s">
        <v>124</v>
      </c>
      <c r="R544" s="95" t="s">
        <v>125</v>
      </c>
    </row>
    <row r="545" spans="1:18" s="40" customFormat="1" ht="15" x14ac:dyDescent="0.25">
      <c r="A545" s="55" t="s">
        <v>233</v>
      </c>
      <c r="B545" s="38">
        <v>0</v>
      </c>
      <c r="C545" s="38">
        <v>0</v>
      </c>
      <c r="D545" s="35">
        <f t="shared" si="83"/>
        <v>0</v>
      </c>
      <c r="E545" s="56">
        <v>0</v>
      </c>
      <c r="F545" s="56">
        <v>0</v>
      </c>
      <c r="G545" s="36">
        <f t="shared" si="78"/>
        <v>0</v>
      </c>
      <c r="H545" s="56">
        <v>0</v>
      </c>
      <c r="I545" s="56">
        <v>0</v>
      </c>
      <c r="J545" s="36">
        <f t="shared" si="79"/>
        <v>0</v>
      </c>
      <c r="K545" s="36">
        <f t="shared" si="80"/>
        <v>0</v>
      </c>
      <c r="L545" s="36" t="s">
        <v>302</v>
      </c>
      <c r="M545" s="39"/>
      <c r="N545" s="53" t="s">
        <v>227</v>
      </c>
      <c r="O545" s="173" t="s">
        <v>309</v>
      </c>
      <c r="P545" s="173" t="s">
        <v>310</v>
      </c>
      <c r="Q545" s="39" t="s">
        <v>124</v>
      </c>
      <c r="R545" s="95" t="s">
        <v>125</v>
      </c>
    </row>
    <row r="546" spans="1:18" s="40" customFormat="1" ht="15" x14ac:dyDescent="0.25">
      <c r="A546" s="55" t="s">
        <v>235</v>
      </c>
      <c r="B546" s="38">
        <v>3</v>
      </c>
      <c r="C546" s="38">
        <v>0</v>
      </c>
      <c r="D546" s="35">
        <f t="shared" si="83"/>
        <v>3</v>
      </c>
      <c r="E546" s="56">
        <v>0.5</v>
      </c>
      <c r="F546" s="56">
        <v>6</v>
      </c>
      <c r="G546" s="36">
        <f t="shared" si="78"/>
        <v>6.5</v>
      </c>
      <c r="H546" s="56">
        <v>0</v>
      </c>
      <c r="I546" s="56">
        <v>0</v>
      </c>
      <c r="J546" s="36">
        <f t="shared" si="79"/>
        <v>0</v>
      </c>
      <c r="K546" s="36">
        <f t="shared" si="80"/>
        <v>6.5</v>
      </c>
      <c r="L546" s="36" t="s">
        <v>302</v>
      </c>
      <c r="M546" s="39"/>
      <c r="N546" s="53" t="s">
        <v>227</v>
      </c>
      <c r="O546" s="173" t="s">
        <v>309</v>
      </c>
      <c r="P546" s="173" t="s">
        <v>310</v>
      </c>
      <c r="Q546" s="39" t="s">
        <v>124</v>
      </c>
      <c r="R546" s="95" t="s">
        <v>125</v>
      </c>
    </row>
    <row r="547" spans="1:18" s="40" customFormat="1" ht="15" x14ac:dyDescent="0.25">
      <c r="A547" s="55" t="s">
        <v>236</v>
      </c>
      <c r="B547" s="38">
        <v>91</v>
      </c>
      <c r="C547" s="38">
        <v>28</v>
      </c>
      <c r="D547" s="35">
        <f t="shared" si="83"/>
        <v>119</v>
      </c>
      <c r="E547" s="56">
        <v>7.583333333333333</v>
      </c>
      <c r="F547" s="56">
        <v>15.166666666666666</v>
      </c>
      <c r="G547" s="36">
        <f t="shared" si="78"/>
        <v>22.75</v>
      </c>
      <c r="H547" s="56">
        <v>6.833333333333333</v>
      </c>
      <c r="I547" s="56">
        <v>6.833333333333333</v>
      </c>
      <c r="J547" s="36">
        <f t="shared" si="79"/>
        <v>13.666666666666666</v>
      </c>
      <c r="K547" s="36">
        <f t="shared" si="80"/>
        <v>36.416666666666664</v>
      </c>
      <c r="L547" s="36" t="s">
        <v>302</v>
      </c>
      <c r="M547" s="39"/>
      <c r="N547" s="53" t="s">
        <v>227</v>
      </c>
      <c r="O547" s="173" t="s">
        <v>309</v>
      </c>
      <c r="P547" s="173" t="s">
        <v>310</v>
      </c>
      <c r="Q547" s="39" t="s">
        <v>124</v>
      </c>
      <c r="R547" s="95" t="s">
        <v>125</v>
      </c>
    </row>
    <row r="548" spans="1:18" s="40" customFormat="1" ht="15" x14ac:dyDescent="0.25">
      <c r="A548" s="55" t="s">
        <v>300</v>
      </c>
      <c r="B548" s="38">
        <v>405</v>
      </c>
      <c r="C548" s="38">
        <v>171</v>
      </c>
      <c r="D548" s="35">
        <f t="shared" si="83"/>
        <v>576</v>
      </c>
      <c r="E548" s="56">
        <v>13.5</v>
      </c>
      <c r="F548" s="56">
        <v>0</v>
      </c>
      <c r="G548" s="36">
        <f t="shared" si="78"/>
        <v>13.5</v>
      </c>
      <c r="H548" s="56">
        <v>9.25</v>
      </c>
      <c r="I548" s="56">
        <v>0</v>
      </c>
      <c r="J548" s="36">
        <f t="shared" si="79"/>
        <v>9.25</v>
      </c>
      <c r="K548" s="36">
        <f t="shared" si="80"/>
        <v>22.75</v>
      </c>
      <c r="L548" s="36" t="s">
        <v>302</v>
      </c>
      <c r="M548" s="39"/>
      <c r="N548" s="53" t="s">
        <v>227</v>
      </c>
      <c r="O548" s="173" t="s">
        <v>309</v>
      </c>
      <c r="P548" s="173" t="s">
        <v>310</v>
      </c>
      <c r="Q548" s="39" t="s">
        <v>124</v>
      </c>
      <c r="R548" s="95" t="s">
        <v>125</v>
      </c>
    </row>
    <row r="549" spans="1:18" s="40" customFormat="1" ht="15" x14ac:dyDescent="0.25">
      <c r="A549" s="55" t="s">
        <v>237</v>
      </c>
      <c r="B549" s="38">
        <v>12</v>
      </c>
      <c r="C549" s="38">
        <v>0</v>
      </c>
      <c r="D549" s="35">
        <f t="shared" si="83"/>
        <v>12</v>
      </c>
      <c r="E549" s="56">
        <v>7.75</v>
      </c>
      <c r="F549" s="56">
        <v>0</v>
      </c>
      <c r="G549" s="36">
        <f t="shared" si="78"/>
        <v>7.75</v>
      </c>
      <c r="H549" s="56">
        <v>9.25</v>
      </c>
      <c r="I549" s="56">
        <v>0</v>
      </c>
      <c r="J549" s="36">
        <f t="shared" si="79"/>
        <v>9.25</v>
      </c>
      <c r="K549" s="36">
        <f t="shared" si="80"/>
        <v>17</v>
      </c>
      <c r="L549" s="36" t="s">
        <v>302</v>
      </c>
      <c r="M549" s="55" t="s">
        <v>301</v>
      </c>
      <c r="N549" s="53" t="s">
        <v>227</v>
      </c>
      <c r="O549" s="173" t="s">
        <v>309</v>
      </c>
      <c r="P549" s="173" t="s">
        <v>310</v>
      </c>
      <c r="Q549" s="39" t="s">
        <v>124</v>
      </c>
      <c r="R549" s="95" t="s">
        <v>125</v>
      </c>
    </row>
    <row r="550" spans="1:18" s="40" customFormat="1" ht="15" x14ac:dyDescent="0.25">
      <c r="A550" s="55" t="s">
        <v>238</v>
      </c>
      <c r="B550" s="38">
        <v>0</v>
      </c>
      <c r="C550" s="38">
        <v>0</v>
      </c>
      <c r="D550" s="35">
        <f t="shared" si="83"/>
        <v>0</v>
      </c>
      <c r="E550" s="56">
        <v>0.2</v>
      </c>
      <c r="F550" s="56">
        <v>0</v>
      </c>
      <c r="G550" s="36">
        <f t="shared" si="78"/>
        <v>0.2</v>
      </c>
      <c r="H550" s="56">
        <v>0</v>
      </c>
      <c r="I550" s="56">
        <v>0</v>
      </c>
      <c r="J550" s="36">
        <f t="shared" si="79"/>
        <v>0</v>
      </c>
      <c r="K550" s="36">
        <f t="shared" si="80"/>
        <v>0.2</v>
      </c>
      <c r="L550" s="36" t="s">
        <v>302</v>
      </c>
      <c r="M550" s="39"/>
      <c r="N550" s="53" t="s">
        <v>227</v>
      </c>
      <c r="O550" s="173" t="s">
        <v>309</v>
      </c>
      <c r="P550" s="173" t="s">
        <v>310</v>
      </c>
      <c r="Q550" s="39" t="s">
        <v>124</v>
      </c>
      <c r="R550" s="95" t="s">
        <v>125</v>
      </c>
    </row>
    <row r="551" spans="1:18" s="32" customFormat="1" ht="15" x14ac:dyDescent="0.25">
      <c r="A551" s="84" t="s">
        <v>230</v>
      </c>
      <c r="B551" s="27">
        <v>36</v>
      </c>
      <c r="C551" s="27">
        <v>439</v>
      </c>
      <c r="D551" s="15">
        <f>SUM(B551:C551)</f>
        <v>475</v>
      </c>
      <c r="E551" s="85">
        <f>72/60</f>
        <v>1.2</v>
      </c>
      <c r="F551" s="85">
        <v>0.51428571428571423</v>
      </c>
      <c r="G551" s="28">
        <f t="shared" si="78"/>
        <v>1.7142857142857142</v>
      </c>
      <c r="H551" s="85">
        <f>1539/60</f>
        <v>25.65</v>
      </c>
      <c r="I551" s="85">
        <v>6.2714285714285714</v>
      </c>
      <c r="J551" s="28">
        <f t="shared" si="79"/>
        <v>31.921428571428571</v>
      </c>
      <c r="K551" s="28">
        <f t="shared" si="80"/>
        <v>33.635714285714286</v>
      </c>
      <c r="L551" s="28" t="s">
        <v>302</v>
      </c>
      <c r="M551" s="26" t="s">
        <v>138</v>
      </c>
      <c r="N551" s="30" t="s">
        <v>227</v>
      </c>
      <c r="O551" s="172">
        <v>7</v>
      </c>
      <c r="P551" s="172" t="s">
        <v>310</v>
      </c>
      <c r="Q551" s="26" t="s">
        <v>140</v>
      </c>
      <c r="R551" s="96" t="s">
        <v>139</v>
      </c>
    </row>
    <row r="552" spans="1:18" s="32" customFormat="1" ht="15" x14ac:dyDescent="0.25">
      <c r="A552" s="84" t="s">
        <v>231</v>
      </c>
      <c r="B552" s="27">
        <v>19</v>
      </c>
      <c r="C552" s="27">
        <v>66</v>
      </c>
      <c r="D552" s="15">
        <f t="shared" ref="D552:D559" si="84">SUM(B552:C552)</f>
        <v>85</v>
      </c>
      <c r="E552" s="85">
        <f>19/60</f>
        <v>0.31666666666666665</v>
      </c>
      <c r="F552" s="85">
        <v>0.27142857142857141</v>
      </c>
      <c r="G552" s="28">
        <f t="shared" si="78"/>
        <v>0.588095238095238</v>
      </c>
      <c r="H552" s="85">
        <f>405/60</f>
        <v>6.75</v>
      </c>
      <c r="I552" s="85">
        <v>0.94285714285714284</v>
      </c>
      <c r="J552" s="28">
        <f t="shared" si="79"/>
        <v>7.6928571428571431</v>
      </c>
      <c r="K552" s="28">
        <f t="shared" si="80"/>
        <v>8.2809523809523817</v>
      </c>
      <c r="L552" s="28" t="s">
        <v>302</v>
      </c>
      <c r="M552" s="26" t="s">
        <v>138</v>
      </c>
      <c r="N552" s="30" t="s">
        <v>227</v>
      </c>
      <c r="O552" s="172">
        <v>7</v>
      </c>
      <c r="P552" s="172" t="s">
        <v>310</v>
      </c>
      <c r="Q552" s="26" t="s">
        <v>140</v>
      </c>
      <c r="R552" s="96" t="s">
        <v>139</v>
      </c>
    </row>
    <row r="553" spans="1:18" s="32" customFormat="1" ht="15" x14ac:dyDescent="0.25">
      <c r="A553" s="84" t="s">
        <v>232</v>
      </c>
      <c r="B553" s="27">
        <v>0</v>
      </c>
      <c r="C553" s="27">
        <v>0</v>
      </c>
      <c r="D553" s="15">
        <f t="shared" si="84"/>
        <v>0</v>
      </c>
      <c r="E553" s="85">
        <v>0</v>
      </c>
      <c r="F553" s="85">
        <v>0</v>
      </c>
      <c r="G553" s="28">
        <f t="shared" si="78"/>
        <v>0</v>
      </c>
      <c r="H553" s="85">
        <v>0</v>
      </c>
      <c r="I553" s="85">
        <v>0</v>
      </c>
      <c r="J553" s="28">
        <f t="shared" si="79"/>
        <v>0</v>
      </c>
      <c r="K553" s="28">
        <f t="shared" si="80"/>
        <v>0</v>
      </c>
      <c r="L553" s="28" t="s">
        <v>302</v>
      </c>
      <c r="M553" s="26" t="s">
        <v>138</v>
      </c>
      <c r="N553" s="30" t="s">
        <v>227</v>
      </c>
      <c r="O553" s="172">
        <v>7</v>
      </c>
      <c r="P553" s="172" t="s">
        <v>310</v>
      </c>
      <c r="Q553" s="26" t="s">
        <v>140</v>
      </c>
      <c r="R553" s="96" t="s">
        <v>139</v>
      </c>
    </row>
    <row r="554" spans="1:18" s="32" customFormat="1" ht="15" x14ac:dyDescent="0.25">
      <c r="A554" s="84" t="s">
        <v>233</v>
      </c>
      <c r="B554" s="27">
        <v>0</v>
      </c>
      <c r="C554" s="27">
        <v>0</v>
      </c>
      <c r="D554" s="15">
        <f t="shared" si="84"/>
        <v>0</v>
      </c>
      <c r="E554" s="85">
        <v>0</v>
      </c>
      <c r="F554" s="85">
        <v>0</v>
      </c>
      <c r="G554" s="28">
        <f t="shared" si="78"/>
        <v>0</v>
      </c>
      <c r="H554" s="85">
        <v>0</v>
      </c>
      <c r="I554" s="85">
        <v>0</v>
      </c>
      <c r="J554" s="28">
        <f t="shared" si="79"/>
        <v>0</v>
      </c>
      <c r="K554" s="28">
        <f t="shared" si="80"/>
        <v>0</v>
      </c>
      <c r="L554" s="28" t="s">
        <v>302</v>
      </c>
      <c r="M554" s="26" t="s">
        <v>138</v>
      </c>
      <c r="N554" s="30" t="s">
        <v>227</v>
      </c>
      <c r="O554" s="172">
        <v>7</v>
      </c>
      <c r="P554" s="172" t="s">
        <v>310</v>
      </c>
      <c r="Q554" s="26" t="s">
        <v>140</v>
      </c>
      <c r="R554" s="96" t="s">
        <v>139</v>
      </c>
    </row>
    <row r="555" spans="1:18" s="32" customFormat="1" ht="15" x14ac:dyDescent="0.25">
      <c r="A555" s="84" t="s">
        <v>300</v>
      </c>
      <c r="B555" s="27">
        <v>55</v>
      </c>
      <c r="C555" s="27">
        <v>164</v>
      </c>
      <c r="D555" s="15">
        <f t="shared" si="84"/>
        <v>219</v>
      </c>
      <c r="E555" s="85">
        <f>55/60</f>
        <v>0.91666666666666663</v>
      </c>
      <c r="F555" s="85">
        <f>1230/60</f>
        <v>20.5</v>
      </c>
      <c r="G555" s="28">
        <f t="shared" si="78"/>
        <v>21.416666666666668</v>
      </c>
      <c r="H555" s="85">
        <f>724/60</f>
        <v>12.066666666666666</v>
      </c>
      <c r="I555" s="85">
        <f>355/60</f>
        <v>5.916666666666667</v>
      </c>
      <c r="J555" s="28">
        <f t="shared" si="79"/>
        <v>17.983333333333334</v>
      </c>
      <c r="K555" s="28">
        <f t="shared" si="80"/>
        <v>39.400000000000006</v>
      </c>
      <c r="L555" s="28" t="s">
        <v>302</v>
      </c>
      <c r="M555" s="26" t="s">
        <v>138</v>
      </c>
      <c r="N555" s="30" t="s">
        <v>227</v>
      </c>
      <c r="O555" s="172">
        <v>7</v>
      </c>
      <c r="P555" s="172" t="s">
        <v>310</v>
      </c>
      <c r="Q555" s="26" t="s">
        <v>140</v>
      </c>
      <c r="R555" s="96" t="s">
        <v>139</v>
      </c>
    </row>
    <row r="556" spans="1:18" s="32" customFormat="1" ht="15" x14ac:dyDescent="0.25">
      <c r="A556" s="84" t="s">
        <v>235</v>
      </c>
      <c r="B556" s="27">
        <v>1</v>
      </c>
      <c r="C556" s="27">
        <v>0</v>
      </c>
      <c r="D556" s="15">
        <f t="shared" si="84"/>
        <v>1</v>
      </c>
      <c r="E556" s="85">
        <f>10/60</f>
        <v>0.16666666666666666</v>
      </c>
      <c r="F556" s="85">
        <f>120/60</f>
        <v>2</v>
      </c>
      <c r="G556" s="28">
        <f t="shared" si="78"/>
        <v>2.1666666666666665</v>
      </c>
      <c r="H556" s="85">
        <v>0</v>
      </c>
      <c r="I556" s="85">
        <v>0</v>
      </c>
      <c r="J556" s="28">
        <f t="shared" si="79"/>
        <v>0</v>
      </c>
      <c r="K556" s="28">
        <f t="shared" si="80"/>
        <v>2.1666666666666665</v>
      </c>
      <c r="L556" s="28" t="s">
        <v>302</v>
      </c>
      <c r="M556" s="26" t="s">
        <v>138</v>
      </c>
      <c r="N556" s="30" t="s">
        <v>227</v>
      </c>
      <c r="O556" s="172">
        <v>7</v>
      </c>
      <c r="P556" s="172" t="s">
        <v>310</v>
      </c>
      <c r="Q556" s="26" t="s">
        <v>140</v>
      </c>
      <c r="R556" s="96" t="s">
        <v>139</v>
      </c>
    </row>
    <row r="557" spans="1:18" s="32" customFormat="1" ht="15" x14ac:dyDescent="0.25">
      <c r="A557" s="84" t="s">
        <v>236</v>
      </c>
      <c r="B557" s="27">
        <v>11</v>
      </c>
      <c r="C557" s="27">
        <v>19</v>
      </c>
      <c r="D557" s="15">
        <f t="shared" si="84"/>
        <v>30</v>
      </c>
      <c r="E557" s="85">
        <f>55/60</f>
        <v>0.91666666666666663</v>
      </c>
      <c r="F557" s="85">
        <f>110/60</f>
        <v>1.8333333333333333</v>
      </c>
      <c r="G557" s="28">
        <f t="shared" si="78"/>
        <v>2.75</v>
      </c>
      <c r="H557" s="85">
        <f>350/60</f>
        <v>5.833333333333333</v>
      </c>
      <c r="I557" s="85">
        <f>350/60</f>
        <v>5.833333333333333</v>
      </c>
      <c r="J557" s="28">
        <f t="shared" si="79"/>
        <v>11.666666666666666</v>
      </c>
      <c r="K557" s="28">
        <f t="shared" si="80"/>
        <v>14.416666666666666</v>
      </c>
      <c r="L557" s="28" t="s">
        <v>302</v>
      </c>
      <c r="M557" s="26" t="s">
        <v>138</v>
      </c>
      <c r="N557" s="30" t="s">
        <v>227</v>
      </c>
      <c r="O557" s="172">
        <v>7</v>
      </c>
      <c r="P557" s="172" t="s">
        <v>310</v>
      </c>
      <c r="Q557" s="26" t="s">
        <v>140</v>
      </c>
      <c r="R557" s="96" t="s">
        <v>139</v>
      </c>
    </row>
    <row r="558" spans="1:18" s="32" customFormat="1" ht="15" x14ac:dyDescent="0.25">
      <c r="A558" s="84" t="s">
        <v>237</v>
      </c>
      <c r="B558" s="27">
        <v>4</v>
      </c>
      <c r="C558" s="27">
        <v>0</v>
      </c>
      <c r="D558" s="15">
        <f t="shared" si="84"/>
        <v>4</v>
      </c>
      <c r="E558" s="85">
        <f>4/60</f>
        <v>6.6666666666666666E-2</v>
      </c>
      <c r="F558" s="85">
        <f>4/60</f>
        <v>6.6666666666666666E-2</v>
      </c>
      <c r="G558" s="28">
        <f t="shared" si="78"/>
        <v>0.13333333333333333</v>
      </c>
      <c r="H558" s="85">
        <v>0</v>
      </c>
      <c r="I558" s="85">
        <v>0</v>
      </c>
      <c r="J558" s="28">
        <f t="shared" si="79"/>
        <v>0</v>
      </c>
      <c r="K558" s="28">
        <f t="shared" si="80"/>
        <v>0.13333333333333333</v>
      </c>
      <c r="L558" s="28" t="s">
        <v>302</v>
      </c>
      <c r="M558" s="26" t="s">
        <v>138</v>
      </c>
      <c r="N558" s="30" t="s">
        <v>227</v>
      </c>
      <c r="O558" s="172">
        <v>7</v>
      </c>
      <c r="P558" s="172" t="s">
        <v>310</v>
      </c>
      <c r="Q558" s="26" t="s">
        <v>140</v>
      </c>
      <c r="R558" s="96" t="s">
        <v>139</v>
      </c>
    </row>
    <row r="559" spans="1:18" s="32" customFormat="1" ht="15" x14ac:dyDescent="0.25">
      <c r="A559" s="84" t="s">
        <v>238</v>
      </c>
      <c r="B559" s="27">
        <v>0</v>
      </c>
      <c r="C559" s="27">
        <v>0</v>
      </c>
      <c r="D559" s="15">
        <f t="shared" si="84"/>
        <v>0</v>
      </c>
      <c r="E559" s="85">
        <v>0</v>
      </c>
      <c r="F559" s="85">
        <v>0</v>
      </c>
      <c r="G559" s="28">
        <f t="shared" si="78"/>
        <v>0</v>
      </c>
      <c r="H559" s="85">
        <v>0</v>
      </c>
      <c r="I559" s="85">
        <v>0</v>
      </c>
      <c r="J559" s="28">
        <f t="shared" si="79"/>
        <v>0</v>
      </c>
      <c r="K559" s="28">
        <f t="shared" si="80"/>
        <v>0</v>
      </c>
      <c r="L559" s="28" t="s">
        <v>302</v>
      </c>
      <c r="M559" s="26" t="s">
        <v>138</v>
      </c>
      <c r="N559" s="30" t="s">
        <v>227</v>
      </c>
      <c r="O559" s="172">
        <v>7</v>
      </c>
      <c r="P559" s="172" t="s">
        <v>310</v>
      </c>
      <c r="Q559" s="26" t="s">
        <v>140</v>
      </c>
      <c r="R559" s="96" t="s">
        <v>139</v>
      </c>
    </row>
    <row r="560" spans="1:18" s="40" customFormat="1" ht="15" x14ac:dyDescent="0.25">
      <c r="A560" s="55" t="s">
        <v>230</v>
      </c>
      <c r="B560" s="38">
        <v>16</v>
      </c>
      <c r="C560" s="38">
        <v>61</v>
      </c>
      <c r="D560" s="35">
        <f>SUM(B560:C560)</f>
        <v>77</v>
      </c>
      <c r="E560" s="56">
        <f>32/60</f>
        <v>0.53333333333333333</v>
      </c>
      <c r="F560" s="56">
        <v>1.0940170940170941</v>
      </c>
      <c r="G560" s="36">
        <f t="shared" si="78"/>
        <v>1.6273504273504273</v>
      </c>
      <c r="H560" s="56">
        <f>223/60</f>
        <v>3.7166666666666668</v>
      </c>
      <c r="I560" s="56">
        <v>4.1709401709401712</v>
      </c>
      <c r="J560" s="36">
        <f t="shared" si="79"/>
        <v>7.887606837606838</v>
      </c>
      <c r="K560" s="36">
        <f t="shared" si="80"/>
        <v>9.5149572649572658</v>
      </c>
      <c r="L560" s="36" t="s">
        <v>302</v>
      </c>
      <c r="M560" s="39" t="s">
        <v>145</v>
      </c>
      <c r="N560" s="53" t="s">
        <v>227</v>
      </c>
      <c r="O560" s="173" t="s">
        <v>308</v>
      </c>
      <c r="P560" s="173" t="s">
        <v>310</v>
      </c>
      <c r="Q560" s="39" t="s">
        <v>144</v>
      </c>
      <c r="R560" s="95" t="s">
        <v>146</v>
      </c>
    </row>
    <row r="561" spans="1:18" s="40" customFormat="1" ht="15" x14ac:dyDescent="0.25">
      <c r="A561" s="55" t="s">
        <v>231</v>
      </c>
      <c r="B561" s="38">
        <v>4</v>
      </c>
      <c r="C561" s="38">
        <v>36</v>
      </c>
      <c r="D561" s="35">
        <f t="shared" ref="D561:D568" si="85">SUM(B561:C561)</f>
        <v>40</v>
      </c>
      <c r="E561" s="56">
        <f>4/60</f>
        <v>6.6666666666666666E-2</v>
      </c>
      <c r="F561" s="56">
        <v>0.27350427350427353</v>
      </c>
      <c r="G561" s="36">
        <f t="shared" si="78"/>
        <v>0.34017094017094018</v>
      </c>
      <c r="H561" s="56">
        <f>115/60</f>
        <v>1.9166666666666667</v>
      </c>
      <c r="I561" s="56">
        <v>2.4615384615384617</v>
      </c>
      <c r="J561" s="36">
        <f t="shared" si="79"/>
        <v>4.3782051282051286</v>
      </c>
      <c r="K561" s="36">
        <f t="shared" si="80"/>
        <v>4.7183760683760685</v>
      </c>
      <c r="L561" s="36" t="s">
        <v>302</v>
      </c>
      <c r="M561" s="39" t="s">
        <v>145</v>
      </c>
      <c r="N561" s="53" t="s">
        <v>227</v>
      </c>
      <c r="O561" s="173" t="s">
        <v>308</v>
      </c>
      <c r="P561" s="173" t="s">
        <v>310</v>
      </c>
      <c r="Q561" s="39" t="s">
        <v>144</v>
      </c>
      <c r="R561" s="95" t="s">
        <v>146</v>
      </c>
    </row>
    <row r="562" spans="1:18" s="40" customFormat="1" ht="15" x14ac:dyDescent="0.25">
      <c r="A562" s="55" t="s">
        <v>232</v>
      </c>
      <c r="B562" s="38">
        <v>20</v>
      </c>
      <c r="C562" s="38">
        <v>0</v>
      </c>
      <c r="D562" s="35">
        <f t="shared" si="85"/>
        <v>20</v>
      </c>
      <c r="E562" s="56">
        <f>425/60</f>
        <v>7.083333333333333</v>
      </c>
      <c r="F562" s="56">
        <f>400/60</f>
        <v>6.666666666666667</v>
      </c>
      <c r="G562" s="36">
        <f t="shared" si="78"/>
        <v>13.75</v>
      </c>
      <c r="H562" s="56">
        <v>0</v>
      </c>
      <c r="I562" s="56">
        <v>0</v>
      </c>
      <c r="J562" s="36">
        <f t="shared" si="79"/>
        <v>0</v>
      </c>
      <c r="K562" s="36">
        <f t="shared" si="80"/>
        <v>13.75</v>
      </c>
      <c r="L562" s="36" t="s">
        <v>302</v>
      </c>
      <c r="M562" s="39" t="s">
        <v>145</v>
      </c>
      <c r="N562" s="53" t="s">
        <v>227</v>
      </c>
      <c r="O562" s="173" t="s">
        <v>308</v>
      </c>
      <c r="P562" s="173" t="s">
        <v>310</v>
      </c>
      <c r="Q562" s="39" t="s">
        <v>144</v>
      </c>
      <c r="R562" s="95" t="s">
        <v>146</v>
      </c>
    </row>
    <row r="563" spans="1:18" s="40" customFormat="1" ht="15" x14ac:dyDescent="0.25">
      <c r="A563" s="55" t="s">
        <v>233</v>
      </c>
      <c r="B563" s="38">
        <v>0</v>
      </c>
      <c r="C563" s="38">
        <v>0</v>
      </c>
      <c r="D563" s="35">
        <f t="shared" si="85"/>
        <v>0</v>
      </c>
      <c r="E563" s="56">
        <v>0</v>
      </c>
      <c r="F563" s="56">
        <v>0</v>
      </c>
      <c r="G563" s="36">
        <f t="shared" si="78"/>
        <v>0</v>
      </c>
      <c r="H563" s="56">
        <v>0</v>
      </c>
      <c r="I563" s="56">
        <v>0</v>
      </c>
      <c r="J563" s="36">
        <f t="shared" si="79"/>
        <v>0</v>
      </c>
      <c r="K563" s="36">
        <f t="shared" si="80"/>
        <v>0</v>
      </c>
      <c r="L563" s="36" t="s">
        <v>302</v>
      </c>
      <c r="M563" s="39" t="s">
        <v>145</v>
      </c>
      <c r="N563" s="53" t="s">
        <v>227</v>
      </c>
      <c r="O563" s="173" t="s">
        <v>308</v>
      </c>
      <c r="P563" s="173" t="s">
        <v>310</v>
      </c>
      <c r="Q563" s="39" t="s">
        <v>144</v>
      </c>
      <c r="R563" s="95" t="s">
        <v>146</v>
      </c>
    </row>
    <row r="564" spans="1:18" s="40" customFormat="1" ht="15" x14ac:dyDescent="0.25">
      <c r="A564" s="55" t="s">
        <v>300</v>
      </c>
      <c r="B564" s="38">
        <v>16</v>
      </c>
      <c r="C564" s="38">
        <v>82</v>
      </c>
      <c r="D564" s="35">
        <f t="shared" si="85"/>
        <v>98</v>
      </c>
      <c r="E564" s="56">
        <f>4/60</f>
        <v>6.6666666666666666E-2</v>
      </c>
      <c r="F564" s="56">
        <f>40/60</f>
        <v>0.66666666666666663</v>
      </c>
      <c r="G564" s="36">
        <f t="shared" si="78"/>
        <v>0.73333333333333328</v>
      </c>
      <c r="H564" s="56">
        <f>274/60</f>
        <v>4.5666666666666664</v>
      </c>
      <c r="I564" s="56">
        <f>465/60</f>
        <v>7.75</v>
      </c>
      <c r="J564" s="36">
        <f t="shared" si="79"/>
        <v>12.316666666666666</v>
      </c>
      <c r="K564" s="36">
        <f t="shared" si="80"/>
        <v>13.049999999999999</v>
      </c>
      <c r="L564" s="36" t="s">
        <v>302</v>
      </c>
      <c r="M564" s="39" t="s">
        <v>145</v>
      </c>
      <c r="N564" s="53" t="s">
        <v>227</v>
      </c>
      <c r="O564" s="173" t="s">
        <v>308</v>
      </c>
      <c r="P564" s="173" t="s">
        <v>310</v>
      </c>
      <c r="Q564" s="39" t="s">
        <v>144</v>
      </c>
      <c r="R564" s="95" t="s">
        <v>146</v>
      </c>
    </row>
    <row r="565" spans="1:18" s="40" customFormat="1" ht="15" x14ac:dyDescent="0.25">
      <c r="A565" s="55" t="s">
        <v>235</v>
      </c>
      <c r="B565" s="38">
        <v>0</v>
      </c>
      <c r="C565" s="38">
        <v>1</v>
      </c>
      <c r="D565" s="35">
        <f t="shared" si="85"/>
        <v>1</v>
      </c>
      <c r="E565" s="56">
        <v>0</v>
      </c>
      <c r="F565" s="56">
        <v>0</v>
      </c>
      <c r="G565" s="36">
        <f t="shared" si="78"/>
        <v>0</v>
      </c>
      <c r="H565" s="56">
        <f>10/60</f>
        <v>0.16666666666666666</v>
      </c>
      <c r="I565" s="56">
        <f>5/60</f>
        <v>8.3333333333333329E-2</v>
      </c>
      <c r="J565" s="36">
        <f t="shared" si="79"/>
        <v>0.25</v>
      </c>
      <c r="K565" s="36">
        <f t="shared" si="80"/>
        <v>0.25</v>
      </c>
      <c r="L565" s="36" t="s">
        <v>302</v>
      </c>
      <c r="M565" s="39" t="s">
        <v>145</v>
      </c>
      <c r="N565" s="53" t="s">
        <v>227</v>
      </c>
      <c r="O565" s="173" t="s">
        <v>308</v>
      </c>
      <c r="P565" s="173" t="s">
        <v>310</v>
      </c>
      <c r="Q565" s="39" t="s">
        <v>144</v>
      </c>
      <c r="R565" s="95" t="s">
        <v>146</v>
      </c>
    </row>
    <row r="566" spans="1:18" s="40" customFormat="1" ht="15" x14ac:dyDescent="0.25">
      <c r="A566" s="55" t="s">
        <v>236</v>
      </c>
      <c r="B566" s="38">
        <v>11</v>
      </c>
      <c r="C566" s="38">
        <v>11</v>
      </c>
      <c r="D566" s="35">
        <f t="shared" si="85"/>
        <v>22</v>
      </c>
      <c r="E566" s="56">
        <f>55/60</f>
        <v>0.91666666666666663</v>
      </c>
      <c r="F566" s="56">
        <f>110/60</f>
        <v>1.8333333333333333</v>
      </c>
      <c r="G566" s="36">
        <f t="shared" si="78"/>
        <v>2.75</v>
      </c>
      <c r="H566" s="56">
        <f>350/60</f>
        <v>5.833333333333333</v>
      </c>
      <c r="I566" s="56">
        <f>350/60</f>
        <v>5.833333333333333</v>
      </c>
      <c r="J566" s="36">
        <f t="shared" si="79"/>
        <v>11.666666666666666</v>
      </c>
      <c r="K566" s="36">
        <f t="shared" si="80"/>
        <v>14.416666666666666</v>
      </c>
      <c r="L566" s="36" t="s">
        <v>302</v>
      </c>
      <c r="M566" s="39" t="s">
        <v>145</v>
      </c>
      <c r="N566" s="53" t="s">
        <v>227</v>
      </c>
      <c r="O566" s="173" t="s">
        <v>308</v>
      </c>
      <c r="P566" s="173" t="s">
        <v>310</v>
      </c>
      <c r="Q566" s="39" t="s">
        <v>144</v>
      </c>
      <c r="R566" s="95" t="s">
        <v>146</v>
      </c>
    </row>
    <row r="567" spans="1:18" s="40" customFormat="1" ht="15" x14ac:dyDescent="0.25">
      <c r="A567" s="55" t="s">
        <v>237</v>
      </c>
      <c r="B567" s="38">
        <v>1</v>
      </c>
      <c r="C567" s="38">
        <v>1</v>
      </c>
      <c r="D567" s="35">
        <f t="shared" si="85"/>
        <v>2</v>
      </c>
      <c r="E567" s="56">
        <f>1/60</f>
        <v>1.6666666666666666E-2</v>
      </c>
      <c r="F567" s="56">
        <v>0</v>
      </c>
      <c r="G567" s="36">
        <f t="shared" si="78"/>
        <v>1.6666666666666666E-2</v>
      </c>
      <c r="H567" s="56">
        <f>3/60</f>
        <v>0.05</v>
      </c>
      <c r="I567" s="56">
        <v>0</v>
      </c>
      <c r="J567" s="36">
        <f t="shared" si="79"/>
        <v>0.05</v>
      </c>
      <c r="K567" s="36">
        <f t="shared" si="80"/>
        <v>6.6666666666666666E-2</v>
      </c>
      <c r="L567" s="36" t="s">
        <v>302</v>
      </c>
      <c r="M567" s="39" t="s">
        <v>145</v>
      </c>
      <c r="N567" s="53" t="s">
        <v>227</v>
      </c>
      <c r="O567" s="173" t="s">
        <v>308</v>
      </c>
      <c r="P567" s="173" t="s">
        <v>310</v>
      </c>
      <c r="Q567" s="39" t="s">
        <v>144</v>
      </c>
      <c r="R567" s="95" t="s">
        <v>146</v>
      </c>
    </row>
    <row r="568" spans="1:18" s="40" customFormat="1" ht="15" x14ac:dyDescent="0.25">
      <c r="A568" s="55" t="s">
        <v>238</v>
      </c>
      <c r="B568" s="38">
        <v>0</v>
      </c>
      <c r="C568" s="38">
        <v>0</v>
      </c>
      <c r="D568" s="35">
        <f t="shared" si="85"/>
        <v>0</v>
      </c>
      <c r="E568" s="56">
        <v>0</v>
      </c>
      <c r="F568" s="56">
        <v>0</v>
      </c>
      <c r="G568" s="36">
        <f t="shared" si="78"/>
        <v>0</v>
      </c>
      <c r="H568" s="56">
        <v>0</v>
      </c>
      <c r="I568" s="56">
        <v>0</v>
      </c>
      <c r="J568" s="36">
        <f t="shared" si="79"/>
        <v>0</v>
      </c>
      <c r="K568" s="36">
        <f t="shared" si="80"/>
        <v>0</v>
      </c>
      <c r="L568" s="36" t="s">
        <v>302</v>
      </c>
      <c r="M568" s="39" t="s">
        <v>145</v>
      </c>
      <c r="N568" s="53" t="s">
        <v>227</v>
      </c>
      <c r="O568" s="173" t="s">
        <v>308</v>
      </c>
      <c r="P568" s="173" t="s">
        <v>310</v>
      </c>
      <c r="Q568" s="39" t="s">
        <v>144</v>
      </c>
      <c r="R568" s="95" t="s">
        <v>146</v>
      </c>
    </row>
    <row r="569" spans="1:18" s="32" customFormat="1" ht="15" x14ac:dyDescent="0.25">
      <c r="A569" s="84" t="s">
        <v>230</v>
      </c>
      <c r="B569" s="27">
        <v>14</v>
      </c>
      <c r="C569" s="27">
        <v>35</v>
      </c>
      <c r="D569" s="15">
        <f>SUM(B569:C569)</f>
        <v>49</v>
      </c>
      <c r="E569" s="85">
        <v>0.46666666666666667</v>
      </c>
      <c r="F569" s="85">
        <v>0.15555555555555556</v>
      </c>
      <c r="G569" s="28">
        <f t="shared" si="78"/>
        <v>0.62222222222222223</v>
      </c>
      <c r="H569" s="85">
        <v>1.9333333333333333</v>
      </c>
      <c r="I569" s="85">
        <v>0.64444444444444449</v>
      </c>
      <c r="J569" s="28">
        <f t="shared" si="79"/>
        <v>2.5777777777777779</v>
      </c>
      <c r="K569" s="28">
        <f t="shared" si="80"/>
        <v>3.2</v>
      </c>
      <c r="L569" s="28" t="s">
        <v>302</v>
      </c>
      <c r="M569" s="26" t="s">
        <v>148</v>
      </c>
      <c r="N569" s="30" t="s">
        <v>227</v>
      </c>
      <c r="O569" s="172" t="s">
        <v>310</v>
      </c>
      <c r="P569" s="172" t="s">
        <v>310</v>
      </c>
      <c r="Q569" s="26" t="s">
        <v>144</v>
      </c>
      <c r="R569" s="96" t="s">
        <v>147</v>
      </c>
    </row>
    <row r="570" spans="1:18" s="32" customFormat="1" ht="15" x14ac:dyDescent="0.25">
      <c r="A570" s="84" t="s">
        <v>231</v>
      </c>
      <c r="B570" s="27">
        <v>4</v>
      </c>
      <c r="C570" s="27">
        <v>20</v>
      </c>
      <c r="D570" s="15">
        <f t="shared" ref="D570:D577" si="86">SUM(B570:C570)</f>
        <v>24</v>
      </c>
      <c r="E570" s="85">
        <v>6.6666666666666666E-2</v>
      </c>
      <c r="F570" s="85">
        <v>2.2222222222222223E-2</v>
      </c>
      <c r="G570" s="28">
        <f t="shared" si="78"/>
        <v>8.8888888888888892E-2</v>
      </c>
      <c r="H570" s="85">
        <v>1.0666666666666667</v>
      </c>
      <c r="I570" s="85">
        <v>0.35555555555555557</v>
      </c>
      <c r="J570" s="28">
        <f t="shared" si="79"/>
        <v>1.4222222222222223</v>
      </c>
      <c r="K570" s="28">
        <f t="shared" si="80"/>
        <v>1.5111111111111111</v>
      </c>
      <c r="L570" s="28" t="s">
        <v>302</v>
      </c>
      <c r="M570" s="26" t="s">
        <v>148</v>
      </c>
      <c r="N570" s="30" t="s">
        <v>227</v>
      </c>
      <c r="O570" s="172" t="s">
        <v>310</v>
      </c>
      <c r="P570" s="172" t="s">
        <v>310</v>
      </c>
      <c r="Q570" s="26" t="s">
        <v>144</v>
      </c>
      <c r="R570" s="96" t="s">
        <v>147</v>
      </c>
    </row>
    <row r="571" spans="1:18" s="32" customFormat="1" ht="15" x14ac:dyDescent="0.25">
      <c r="A571" s="84" t="s">
        <v>232</v>
      </c>
      <c r="B571" s="27">
        <v>0</v>
      </c>
      <c r="C571" s="27">
        <v>0</v>
      </c>
      <c r="D571" s="15">
        <f t="shared" si="86"/>
        <v>0</v>
      </c>
      <c r="E571" s="85">
        <v>0</v>
      </c>
      <c r="F571" s="85">
        <v>0</v>
      </c>
      <c r="G571" s="28">
        <f t="shared" si="78"/>
        <v>0</v>
      </c>
      <c r="H571" s="85">
        <v>0</v>
      </c>
      <c r="I571" s="85">
        <v>0</v>
      </c>
      <c r="J571" s="28">
        <f t="shared" si="79"/>
        <v>0</v>
      </c>
      <c r="K571" s="28">
        <f t="shared" si="80"/>
        <v>0</v>
      </c>
      <c r="L571" s="28" t="s">
        <v>302</v>
      </c>
      <c r="M571" s="26" t="s">
        <v>148</v>
      </c>
      <c r="N571" s="30" t="s">
        <v>227</v>
      </c>
      <c r="O571" s="172" t="s">
        <v>310</v>
      </c>
      <c r="P571" s="172" t="s">
        <v>310</v>
      </c>
      <c r="Q571" s="26" t="s">
        <v>144</v>
      </c>
      <c r="R571" s="96" t="s">
        <v>147</v>
      </c>
    </row>
    <row r="572" spans="1:18" s="32" customFormat="1" ht="15" x14ac:dyDescent="0.25">
      <c r="A572" s="84" t="s">
        <v>233</v>
      </c>
      <c r="B572" s="27">
        <v>0</v>
      </c>
      <c r="C572" s="27">
        <v>0</v>
      </c>
      <c r="D572" s="15">
        <f t="shared" si="86"/>
        <v>0</v>
      </c>
      <c r="E572" s="85">
        <v>0</v>
      </c>
      <c r="F572" s="85">
        <v>0</v>
      </c>
      <c r="G572" s="28">
        <f t="shared" ref="G572:G618" si="87">E572+F572</f>
        <v>0</v>
      </c>
      <c r="H572" s="85">
        <v>0</v>
      </c>
      <c r="I572" s="85">
        <v>0</v>
      </c>
      <c r="J572" s="28">
        <f t="shared" ref="J572:J618" si="88">H572+I572</f>
        <v>0</v>
      </c>
      <c r="K572" s="28">
        <f t="shared" ref="K572:K618" si="89">G572+J572</f>
        <v>0</v>
      </c>
      <c r="L572" s="28" t="s">
        <v>302</v>
      </c>
      <c r="M572" s="26" t="s">
        <v>148</v>
      </c>
      <c r="N572" s="30" t="s">
        <v>227</v>
      </c>
      <c r="O572" s="172" t="s">
        <v>310</v>
      </c>
      <c r="P572" s="172" t="s">
        <v>310</v>
      </c>
      <c r="Q572" s="26" t="s">
        <v>144</v>
      </c>
      <c r="R572" s="96" t="s">
        <v>147</v>
      </c>
    </row>
    <row r="573" spans="1:18" s="32" customFormat="1" ht="15" x14ac:dyDescent="0.25">
      <c r="A573" s="84" t="s">
        <v>234</v>
      </c>
      <c r="B573" s="27">
        <v>12</v>
      </c>
      <c r="C573" s="27">
        <v>28</v>
      </c>
      <c r="D573" s="15">
        <f t="shared" si="86"/>
        <v>40</v>
      </c>
      <c r="E573" s="85">
        <v>1</v>
      </c>
      <c r="F573" s="85">
        <v>1</v>
      </c>
      <c r="G573" s="28">
        <f t="shared" si="87"/>
        <v>2</v>
      </c>
      <c r="H573" s="85">
        <v>1.4333333333333333</v>
      </c>
      <c r="I573" s="85">
        <v>2.4166666666666665</v>
      </c>
      <c r="J573" s="28">
        <f t="shared" si="88"/>
        <v>3.8499999999999996</v>
      </c>
      <c r="K573" s="28">
        <f t="shared" si="89"/>
        <v>5.85</v>
      </c>
      <c r="L573" s="28" t="s">
        <v>302</v>
      </c>
      <c r="M573" s="26" t="s">
        <v>148</v>
      </c>
      <c r="N573" s="30" t="s">
        <v>227</v>
      </c>
      <c r="O573" s="172" t="s">
        <v>310</v>
      </c>
      <c r="P573" s="172" t="s">
        <v>310</v>
      </c>
      <c r="Q573" s="26" t="s">
        <v>144</v>
      </c>
      <c r="R573" s="96" t="s">
        <v>147</v>
      </c>
    </row>
    <row r="574" spans="1:18" s="32" customFormat="1" ht="15" x14ac:dyDescent="0.25">
      <c r="A574" s="84" t="s">
        <v>235</v>
      </c>
      <c r="B574" s="27">
        <v>1</v>
      </c>
      <c r="C574" s="27">
        <v>0</v>
      </c>
      <c r="D574" s="15">
        <f t="shared" si="86"/>
        <v>1</v>
      </c>
      <c r="E574" s="85">
        <v>0.16666666666666666</v>
      </c>
      <c r="F574" s="85">
        <v>2</v>
      </c>
      <c r="G574" s="28">
        <f t="shared" si="87"/>
        <v>2.1666666666666665</v>
      </c>
      <c r="H574" s="85">
        <v>0</v>
      </c>
      <c r="I574" s="85">
        <v>0</v>
      </c>
      <c r="J574" s="28">
        <f t="shared" si="88"/>
        <v>0</v>
      </c>
      <c r="K574" s="28">
        <f t="shared" si="89"/>
        <v>2.1666666666666665</v>
      </c>
      <c r="L574" s="28" t="s">
        <v>302</v>
      </c>
      <c r="M574" s="26" t="s">
        <v>148</v>
      </c>
      <c r="N574" s="30" t="s">
        <v>227</v>
      </c>
      <c r="O574" s="172" t="s">
        <v>310</v>
      </c>
      <c r="P574" s="172" t="s">
        <v>310</v>
      </c>
      <c r="Q574" s="26" t="s">
        <v>144</v>
      </c>
      <c r="R574" s="96" t="s">
        <v>147</v>
      </c>
    </row>
    <row r="575" spans="1:18" s="32" customFormat="1" ht="15" x14ac:dyDescent="0.25">
      <c r="A575" s="84" t="s">
        <v>236</v>
      </c>
      <c r="B575" s="27">
        <v>3</v>
      </c>
      <c r="C575" s="27">
        <v>16</v>
      </c>
      <c r="D575" s="15">
        <f t="shared" si="86"/>
        <v>19</v>
      </c>
      <c r="E575" s="85">
        <v>0.25</v>
      </c>
      <c r="F575" s="85">
        <v>0.5</v>
      </c>
      <c r="G575" s="28">
        <f t="shared" si="87"/>
        <v>0.75</v>
      </c>
      <c r="H575" s="85">
        <v>6.166666666666667</v>
      </c>
      <c r="I575" s="85">
        <v>6.166666666666667</v>
      </c>
      <c r="J575" s="28">
        <f t="shared" si="88"/>
        <v>12.333333333333334</v>
      </c>
      <c r="K575" s="28">
        <f t="shared" si="89"/>
        <v>13.083333333333334</v>
      </c>
      <c r="L575" s="28" t="s">
        <v>302</v>
      </c>
      <c r="M575" s="26" t="s">
        <v>148</v>
      </c>
      <c r="N575" s="30" t="s">
        <v>227</v>
      </c>
      <c r="O575" s="172" t="s">
        <v>310</v>
      </c>
      <c r="P575" s="172" t="s">
        <v>310</v>
      </c>
      <c r="Q575" s="26" t="s">
        <v>144</v>
      </c>
      <c r="R575" s="96" t="s">
        <v>147</v>
      </c>
    </row>
    <row r="576" spans="1:18" s="32" customFormat="1" ht="15" x14ac:dyDescent="0.25">
      <c r="A576" s="84" t="s">
        <v>237</v>
      </c>
      <c r="B576" s="27">
        <v>1</v>
      </c>
      <c r="C576" s="27">
        <v>0</v>
      </c>
      <c r="D576" s="15">
        <f t="shared" si="86"/>
        <v>1</v>
      </c>
      <c r="E576" s="85">
        <v>1.6666666666666666E-2</v>
      </c>
      <c r="F576" s="85">
        <v>0.33333333333333331</v>
      </c>
      <c r="G576" s="28">
        <f t="shared" si="87"/>
        <v>0.35</v>
      </c>
      <c r="H576" s="85">
        <v>0</v>
      </c>
      <c r="I576" s="85">
        <v>0</v>
      </c>
      <c r="J576" s="28">
        <f t="shared" si="88"/>
        <v>0</v>
      </c>
      <c r="K576" s="28">
        <f t="shared" si="89"/>
        <v>0.35</v>
      </c>
      <c r="L576" s="28" t="s">
        <v>302</v>
      </c>
      <c r="M576" s="26" t="s">
        <v>148</v>
      </c>
      <c r="N576" s="30" t="s">
        <v>227</v>
      </c>
      <c r="O576" s="172" t="s">
        <v>310</v>
      </c>
      <c r="P576" s="172" t="s">
        <v>310</v>
      </c>
      <c r="Q576" s="26" t="s">
        <v>144</v>
      </c>
      <c r="R576" s="96" t="s">
        <v>147</v>
      </c>
    </row>
    <row r="577" spans="1:18" s="32" customFormat="1" ht="15" x14ac:dyDescent="0.25">
      <c r="A577" s="84" t="s">
        <v>238</v>
      </c>
      <c r="B577" s="27">
        <v>0</v>
      </c>
      <c r="C577" s="27">
        <v>0</v>
      </c>
      <c r="D577" s="15">
        <f t="shared" si="86"/>
        <v>0</v>
      </c>
      <c r="E577" s="85">
        <v>0</v>
      </c>
      <c r="F577" s="85">
        <v>0</v>
      </c>
      <c r="G577" s="28">
        <f t="shared" si="87"/>
        <v>0</v>
      </c>
      <c r="H577" s="85">
        <v>0</v>
      </c>
      <c r="I577" s="85">
        <v>0</v>
      </c>
      <c r="J577" s="28">
        <f t="shared" si="88"/>
        <v>0</v>
      </c>
      <c r="K577" s="28">
        <f t="shared" si="89"/>
        <v>0</v>
      </c>
      <c r="L577" s="28" t="s">
        <v>302</v>
      </c>
      <c r="M577" s="26" t="s">
        <v>148</v>
      </c>
      <c r="N577" s="30" t="s">
        <v>227</v>
      </c>
      <c r="O577" s="172" t="s">
        <v>310</v>
      </c>
      <c r="P577" s="172" t="s">
        <v>310</v>
      </c>
      <c r="Q577" s="26" t="s">
        <v>144</v>
      </c>
      <c r="R577" s="96" t="s">
        <v>147</v>
      </c>
    </row>
    <row r="578" spans="1:18" s="40" customFormat="1" ht="15" x14ac:dyDescent="0.25">
      <c r="A578" s="55" t="s">
        <v>230</v>
      </c>
      <c r="B578" s="38">
        <v>14</v>
      </c>
      <c r="C578" s="38">
        <v>43</v>
      </c>
      <c r="D578" s="35">
        <f>SUM(B578:C578)</f>
        <v>57</v>
      </c>
      <c r="E578" s="56">
        <v>0.46666666666666667</v>
      </c>
      <c r="F578" s="56">
        <v>0.15555555555555556</v>
      </c>
      <c r="G578" s="36">
        <f t="shared" si="87"/>
        <v>0.62222222222222223</v>
      </c>
      <c r="H578" s="56">
        <v>2.4833333333333334</v>
      </c>
      <c r="I578" s="56">
        <v>0.82777777777777783</v>
      </c>
      <c r="J578" s="36">
        <f t="shared" si="88"/>
        <v>3.3111111111111113</v>
      </c>
      <c r="K578" s="36">
        <f t="shared" si="89"/>
        <v>3.9333333333333336</v>
      </c>
      <c r="L578" s="36" t="s">
        <v>302</v>
      </c>
      <c r="M578" s="39" t="s">
        <v>149</v>
      </c>
      <c r="N578" s="53" t="s">
        <v>227</v>
      </c>
      <c r="O578" s="173" t="s">
        <v>310</v>
      </c>
      <c r="P578" s="173" t="s">
        <v>310</v>
      </c>
      <c r="Q578" s="39" t="s">
        <v>144</v>
      </c>
      <c r="R578" s="95" t="s">
        <v>150</v>
      </c>
    </row>
    <row r="579" spans="1:18" s="40" customFormat="1" ht="15" x14ac:dyDescent="0.25">
      <c r="A579" s="55" t="s">
        <v>231</v>
      </c>
      <c r="B579" s="38">
        <v>4</v>
      </c>
      <c r="C579" s="38">
        <v>32</v>
      </c>
      <c r="D579" s="35">
        <f t="shared" ref="D579:D586" si="90">SUM(B579:C579)</f>
        <v>36</v>
      </c>
      <c r="E579" s="56">
        <v>6.6666666666666666E-2</v>
      </c>
      <c r="F579" s="56">
        <v>2.2222222222222223E-2</v>
      </c>
      <c r="G579" s="36">
        <f t="shared" si="87"/>
        <v>8.8888888888888892E-2</v>
      </c>
      <c r="H579" s="56">
        <v>1.9333333333333333</v>
      </c>
      <c r="I579" s="56">
        <v>0.64444444444444449</v>
      </c>
      <c r="J579" s="36">
        <f t="shared" si="88"/>
        <v>2.5777777777777779</v>
      </c>
      <c r="K579" s="36">
        <f t="shared" si="89"/>
        <v>2.666666666666667</v>
      </c>
      <c r="L579" s="36" t="s">
        <v>302</v>
      </c>
      <c r="M579" s="39" t="s">
        <v>149</v>
      </c>
      <c r="N579" s="53" t="s">
        <v>227</v>
      </c>
      <c r="O579" s="173" t="s">
        <v>310</v>
      </c>
      <c r="P579" s="173" t="s">
        <v>310</v>
      </c>
      <c r="Q579" s="39" t="s">
        <v>144</v>
      </c>
      <c r="R579" s="95" t="s">
        <v>150</v>
      </c>
    </row>
    <row r="580" spans="1:18" s="40" customFormat="1" ht="15" x14ac:dyDescent="0.25">
      <c r="A580" s="55" t="s">
        <v>232</v>
      </c>
      <c r="B580" s="38">
        <v>0</v>
      </c>
      <c r="C580" s="38">
        <v>0</v>
      </c>
      <c r="D580" s="35">
        <f t="shared" si="90"/>
        <v>0</v>
      </c>
      <c r="E580" s="56">
        <v>0</v>
      </c>
      <c r="F580" s="56">
        <v>0</v>
      </c>
      <c r="G580" s="36">
        <f t="shared" si="87"/>
        <v>0</v>
      </c>
      <c r="H580" s="56">
        <v>0</v>
      </c>
      <c r="I580" s="56">
        <v>0</v>
      </c>
      <c r="J580" s="36">
        <f t="shared" si="88"/>
        <v>0</v>
      </c>
      <c r="K580" s="36">
        <f t="shared" si="89"/>
        <v>0</v>
      </c>
      <c r="L580" s="36" t="s">
        <v>302</v>
      </c>
      <c r="M580" s="39" t="s">
        <v>149</v>
      </c>
      <c r="N580" s="53" t="s">
        <v>227</v>
      </c>
      <c r="O580" s="173" t="s">
        <v>310</v>
      </c>
      <c r="P580" s="173" t="s">
        <v>310</v>
      </c>
      <c r="Q580" s="39" t="s">
        <v>144</v>
      </c>
      <c r="R580" s="95" t="s">
        <v>150</v>
      </c>
    </row>
    <row r="581" spans="1:18" s="40" customFormat="1" ht="15" x14ac:dyDescent="0.25">
      <c r="A581" s="55" t="s">
        <v>233</v>
      </c>
      <c r="B581" s="38">
        <v>0</v>
      </c>
      <c r="C581" s="38">
        <v>0</v>
      </c>
      <c r="D581" s="35">
        <f t="shared" si="90"/>
        <v>0</v>
      </c>
      <c r="E581" s="56">
        <v>0</v>
      </c>
      <c r="F581" s="56">
        <v>0</v>
      </c>
      <c r="G581" s="36">
        <f t="shared" si="87"/>
        <v>0</v>
      </c>
      <c r="H581" s="56">
        <v>0</v>
      </c>
      <c r="I581" s="56">
        <v>0</v>
      </c>
      <c r="J581" s="36">
        <f t="shared" si="88"/>
        <v>0</v>
      </c>
      <c r="K581" s="36">
        <f t="shared" si="89"/>
        <v>0</v>
      </c>
      <c r="L581" s="36" t="s">
        <v>302</v>
      </c>
      <c r="M581" s="39" t="s">
        <v>149</v>
      </c>
      <c r="N581" s="53" t="s">
        <v>227</v>
      </c>
      <c r="O581" s="173" t="s">
        <v>310</v>
      </c>
      <c r="P581" s="173" t="s">
        <v>310</v>
      </c>
      <c r="Q581" s="39" t="s">
        <v>144</v>
      </c>
      <c r="R581" s="95" t="s">
        <v>150</v>
      </c>
    </row>
    <row r="582" spans="1:18" s="40" customFormat="1" ht="15" x14ac:dyDescent="0.25">
      <c r="A582" s="55" t="s">
        <v>234</v>
      </c>
      <c r="B582" s="38">
        <v>12</v>
      </c>
      <c r="C582" s="38">
        <v>53</v>
      </c>
      <c r="D582" s="35">
        <f t="shared" si="90"/>
        <v>65</v>
      </c>
      <c r="E582" s="56">
        <v>1</v>
      </c>
      <c r="F582" s="56">
        <v>1</v>
      </c>
      <c r="G582" s="36">
        <f t="shared" si="87"/>
        <v>2</v>
      </c>
      <c r="H582" s="56">
        <v>2.7166666666666668</v>
      </c>
      <c r="I582" s="56">
        <v>4.583333333333333</v>
      </c>
      <c r="J582" s="36">
        <f t="shared" si="88"/>
        <v>7.3</v>
      </c>
      <c r="K582" s="36">
        <f t="shared" si="89"/>
        <v>9.3000000000000007</v>
      </c>
      <c r="L582" s="36" t="s">
        <v>302</v>
      </c>
      <c r="M582" s="39" t="s">
        <v>149</v>
      </c>
      <c r="N582" s="53" t="s">
        <v>227</v>
      </c>
      <c r="O582" s="173" t="s">
        <v>310</v>
      </c>
      <c r="P582" s="173" t="s">
        <v>310</v>
      </c>
      <c r="Q582" s="39" t="s">
        <v>144</v>
      </c>
      <c r="R582" s="95" t="s">
        <v>150</v>
      </c>
    </row>
    <row r="583" spans="1:18" s="40" customFormat="1" ht="15" x14ac:dyDescent="0.25">
      <c r="A583" s="55" t="s">
        <v>235</v>
      </c>
      <c r="B583" s="38">
        <v>1</v>
      </c>
      <c r="C583" s="38">
        <v>0</v>
      </c>
      <c r="D583" s="35">
        <f t="shared" si="90"/>
        <v>1</v>
      </c>
      <c r="E583" s="56">
        <v>0.16666666666666666</v>
      </c>
      <c r="F583" s="56">
        <v>2</v>
      </c>
      <c r="G583" s="36">
        <f t="shared" si="87"/>
        <v>2.1666666666666665</v>
      </c>
      <c r="H583" s="56">
        <v>0</v>
      </c>
      <c r="I583" s="56">
        <v>0</v>
      </c>
      <c r="J583" s="36">
        <f t="shared" si="88"/>
        <v>0</v>
      </c>
      <c r="K583" s="36">
        <f t="shared" si="89"/>
        <v>2.1666666666666665</v>
      </c>
      <c r="L583" s="36" t="s">
        <v>302</v>
      </c>
      <c r="M583" s="39" t="s">
        <v>149</v>
      </c>
      <c r="N583" s="53" t="s">
        <v>227</v>
      </c>
      <c r="O583" s="173" t="s">
        <v>310</v>
      </c>
      <c r="P583" s="173" t="s">
        <v>310</v>
      </c>
      <c r="Q583" s="39" t="s">
        <v>144</v>
      </c>
      <c r="R583" s="95" t="s">
        <v>150</v>
      </c>
    </row>
    <row r="584" spans="1:18" s="40" customFormat="1" ht="15" x14ac:dyDescent="0.25">
      <c r="A584" s="55" t="s">
        <v>236</v>
      </c>
      <c r="B584" s="38">
        <v>0</v>
      </c>
      <c r="C584" s="38">
        <v>10</v>
      </c>
      <c r="D584" s="35">
        <f t="shared" si="90"/>
        <v>10</v>
      </c>
      <c r="E584" s="56">
        <v>0</v>
      </c>
      <c r="F584" s="56">
        <v>0</v>
      </c>
      <c r="G584" s="36">
        <f t="shared" si="87"/>
        <v>0</v>
      </c>
      <c r="H584" s="56">
        <v>9.3333333333333339</v>
      </c>
      <c r="I584" s="56">
        <v>9.3333333333333339</v>
      </c>
      <c r="J584" s="36">
        <f t="shared" si="88"/>
        <v>18.666666666666668</v>
      </c>
      <c r="K584" s="36">
        <f t="shared" si="89"/>
        <v>18.666666666666668</v>
      </c>
      <c r="L584" s="36" t="s">
        <v>302</v>
      </c>
      <c r="M584" s="39" t="s">
        <v>149</v>
      </c>
      <c r="N584" s="53" t="s">
        <v>227</v>
      </c>
      <c r="O584" s="173" t="s">
        <v>310</v>
      </c>
      <c r="P584" s="173" t="s">
        <v>310</v>
      </c>
      <c r="Q584" s="39" t="s">
        <v>144</v>
      </c>
      <c r="R584" s="95" t="s">
        <v>150</v>
      </c>
    </row>
    <row r="585" spans="1:18" s="40" customFormat="1" ht="15" x14ac:dyDescent="0.25">
      <c r="A585" s="55" t="s">
        <v>237</v>
      </c>
      <c r="B585" s="38">
        <v>1</v>
      </c>
      <c r="C585" s="38">
        <v>0</v>
      </c>
      <c r="D585" s="35">
        <f t="shared" si="90"/>
        <v>1</v>
      </c>
      <c r="E585" s="56">
        <v>1.6666666666666666E-2</v>
      </c>
      <c r="F585" s="56">
        <v>0.33333333333333331</v>
      </c>
      <c r="G585" s="36">
        <f t="shared" si="87"/>
        <v>0.35</v>
      </c>
      <c r="H585" s="56">
        <v>0</v>
      </c>
      <c r="I585" s="56">
        <v>0</v>
      </c>
      <c r="J585" s="36">
        <f t="shared" si="88"/>
        <v>0</v>
      </c>
      <c r="K585" s="36">
        <f t="shared" si="89"/>
        <v>0.35</v>
      </c>
      <c r="L585" s="36" t="s">
        <v>302</v>
      </c>
      <c r="M585" s="39" t="s">
        <v>149</v>
      </c>
      <c r="N585" s="53" t="s">
        <v>227</v>
      </c>
      <c r="O585" s="173" t="s">
        <v>310</v>
      </c>
      <c r="P585" s="173" t="s">
        <v>310</v>
      </c>
      <c r="Q585" s="39" t="s">
        <v>144</v>
      </c>
      <c r="R585" s="95" t="s">
        <v>150</v>
      </c>
    </row>
    <row r="586" spans="1:18" s="40" customFormat="1" ht="15" x14ac:dyDescent="0.25">
      <c r="A586" s="55" t="s">
        <v>238</v>
      </c>
      <c r="B586" s="38">
        <v>0</v>
      </c>
      <c r="C586" s="38">
        <v>0</v>
      </c>
      <c r="D586" s="35">
        <f t="shared" si="90"/>
        <v>0</v>
      </c>
      <c r="E586" s="56">
        <v>0</v>
      </c>
      <c r="F586" s="56">
        <v>0</v>
      </c>
      <c r="G586" s="36">
        <f t="shared" si="87"/>
        <v>0</v>
      </c>
      <c r="H586" s="56">
        <v>0</v>
      </c>
      <c r="I586" s="56">
        <v>0</v>
      </c>
      <c r="J586" s="36">
        <f t="shared" si="88"/>
        <v>0</v>
      </c>
      <c r="K586" s="36">
        <f t="shared" si="89"/>
        <v>0</v>
      </c>
      <c r="L586" s="36" t="s">
        <v>302</v>
      </c>
      <c r="M586" s="39" t="s">
        <v>149</v>
      </c>
      <c r="N586" s="53" t="s">
        <v>227</v>
      </c>
      <c r="O586" s="173" t="s">
        <v>310</v>
      </c>
      <c r="P586" s="173" t="s">
        <v>310</v>
      </c>
      <c r="Q586" s="39" t="s">
        <v>144</v>
      </c>
      <c r="R586" s="95" t="s">
        <v>150</v>
      </c>
    </row>
    <row r="587" spans="1:18" s="32" customFormat="1" ht="15" x14ac:dyDescent="0.25">
      <c r="A587" s="84" t="s">
        <v>230</v>
      </c>
      <c r="B587" s="27">
        <v>35</v>
      </c>
      <c r="C587" s="27">
        <v>66</v>
      </c>
      <c r="D587" s="15">
        <f>SUM(B587:C587)</f>
        <v>101</v>
      </c>
      <c r="E587" s="85">
        <v>0.46666666666666667</v>
      </c>
      <c r="F587" s="85">
        <v>0.15555555555555556</v>
      </c>
      <c r="G587" s="28">
        <f t="shared" si="87"/>
        <v>0.62222222222222223</v>
      </c>
      <c r="H587" s="85">
        <v>2.4833333333333334</v>
      </c>
      <c r="I587" s="85">
        <v>0.82777777777777783</v>
      </c>
      <c r="J587" s="28">
        <f t="shared" si="88"/>
        <v>3.3111111111111113</v>
      </c>
      <c r="K587" s="28">
        <f t="shared" si="89"/>
        <v>3.9333333333333336</v>
      </c>
      <c r="L587" s="28" t="s">
        <v>302</v>
      </c>
      <c r="M587" s="26" t="s">
        <v>151</v>
      </c>
      <c r="N587" s="30" t="s">
        <v>227</v>
      </c>
      <c r="O587" s="172" t="s">
        <v>310</v>
      </c>
      <c r="P587" s="172" t="s">
        <v>310</v>
      </c>
      <c r="Q587" s="26" t="s">
        <v>144</v>
      </c>
      <c r="R587" s="96" t="s">
        <v>152</v>
      </c>
    </row>
    <row r="588" spans="1:18" s="32" customFormat="1" ht="15" x14ac:dyDescent="0.25">
      <c r="A588" s="84" t="s">
        <v>231</v>
      </c>
      <c r="B588" s="27">
        <v>69</v>
      </c>
      <c r="C588" s="27">
        <v>20</v>
      </c>
      <c r="D588" s="15">
        <f t="shared" ref="D588:D595" si="91">SUM(B588:C588)</f>
        <v>89</v>
      </c>
      <c r="E588" s="85">
        <v>6.6666666666666666E-2</v>
      </c>
      <c r="F588" s="85">
        <v>2.2222222222222223E-2</v>
      </c>
      <c r="G588" s="28">
        <f t="shared" si="87"/>
        <v>8.8888888888888892E-2</v>
      </c>
      <c r="H588" s="85">
        <v>2.1166666666666667</v>
      </c>
      <c r="I588" s="85">
        <v>0.7055555555555556</v>
      </c>
      <c r="J588" s="28">
        <f t="shared" si="88"/>
        <v>2.8222222222222224</v>
      </c>
      <c r="K588" s="28">
        <f t="shared" si="89"/>
        <v>2.9111111111111114</v>
      </c>
      <c r="L588" s="28" t="s">
        <v>302</v>
      </c>
      <c r="M588" s="26" t="s">
        <v>151</v>
      </c>
      <c r="N588" s="30" t="s">
        <v>227</v>
      </c>
      <c r="O588" s="172" t="s">
        <v>310</v>
      </c>
      <c r="P588" s="172" t="s">
        <v>310</v>
      </c>
      <c r="Q588" s="26" t="s">
        <v>144</v>
      </c>
      <c r="R588" s="96" t="s">
        <v>152</v>
      </c>
    </row>
    <row r="589" spans="1:18" s="32" customFormat="1" ht="15" x14ac:dyDescent="0.25">
      <c r="A589" s="84" t="s">
        <v>232</v>
      </c>
      <c r="B589" s="27">
        <v>0</v>
      </c>
      <c r="C589" s="27">
        <v>0</v>
      </c>
      <c r="D589" s="15">
        <f t="shared" si="91"/>
        <v>0</v>
      </c>
      <c r="E589" s="85">
        <v>0</v>
      </c>
      <c r="F589" s="85">
        <v>0</v>
      </c>
      <c r="G589" s="28">
        <f t="shared" si="87"/>
        <v>0</v>
      </c>
      <c r="H589" s="85">
        <v>0</v>
      </c>
      <c r="I589" s="85">
        <v>0</v>
      </c>
      <c r="J589" s="28">
        <f t="shared" si="88"/>
        <v>0</v>
      </c>
      <c r="K589" s="28">
        <f t="shared" si="89"/>
        <v>0</v>
      </c>
      <c r="L589" s="28" t="s">
        <v>302</v>
      </c>
      <c r="M589" s="26" t="s">
        <v>151</v>
      </c>
      <c r="N589" s="30" t="s">
        <v>227</v>
      </c>
      <c r="O589" s="172" t="s">
        <v>310</v>
      </c>
      <c r="P589" s="172" t="s">
        <v>310</v>
      </c>
      <c r="Q589" s="26" t="s">
        <v>144</v>
      </c>
      <c r="R589" s="96" t="s">
        <v>152</v>
      </c>
    </row>
    <row r="590" spans="1:18" s="32" customFormat="1" ht="15" x14ac:dyDescent="0.25">
      <c r="A590" s="84" t="s">
        <v>233</v>
      </c>
      <c r="B590" s="27">
        <v>0</v>
      </c>
      <c r="C590" s="27">
        <v>0</v>
      </c>
      <c r="D590" s="15">
        <f t="shared" si="91"/>
        <v>0</v>
      </c>
      <c r="E590" s="85">
        <v>0</v>
      </c>
      <c r="F590" s="85">
        <v>0</v>
      </c>
      <c r="G590" s="28">
        <f t="shared" si="87"/>
        <v>0</v>
      </c>
      <c r="H590" s="85">
        <v>0</v>
      </c>
      <c r="I590" s="85">
        <v>0</v>
      </c>
      <c r="J590" s="28">
        <f t="shared" si="88"/>
        <v>0</v>
      </c>
      <c r="K590" s="28">
        <f t="shared" si="89"/>
        <v>0</v>
      </c>
      <c r="L590" s="28" t="s">
        <v>302</v>
      </c>
      <c r="M590" s="26" t="s">
        <v>151</v>
      </c>
      <c r="N590" s="30" t="s">
        <v>227</v>
      </c>
      <c r="O590" s="172" t="s">
        <v>310</v>
      </c>
      <c r="P590" s="172" t="s">
        <v>310</v>
      </c>
      <c r="Q590" s="26" t="s">
        <v>144</v>
      </c>
      <c r="R590" s="96" t="s">
        <v>152</v>
      </c>
    </row>
    <row r="591" spans="1:18" s="32" customFormat="1" ht="15" x14ac:dyDescent="0.25">
      <c r="A591" s="84" t="s">
        <v>234</v>
      </c>
      <c r="B591" s="27">
        <v>52</v>
      </c>
      <c r="C591" s="27">
        <v>94</v>
      </c>
      <c r="D591" s="15">
        <f t="shared" si="91"/>
        <v>146</v>
      </c>
      <c r="E591" s="85">
        <v>1</v>
      </c>
      <c r="F591" s="85">
        <v>1</v>
      </c>
      <c r="G591" s="28">
        <f t="shared" si="87"/>
        <v>2</v>
      </c>
      <c r="H591" s="85">
        <v>3.2666666666666666</v>
      </c>
      <c r="I591" s="85">
        <v>5.5</v>
      </c>
      <c r="J591" s="28">
        <f t="shared" si="88"/>
        <v>8.7666666666666657</v>
      </c>
      <c r="K591" s="28">
        <f t="shared" si="89"/>
        <v>10.766666666666666</v>
      </c>
      <c r="L591" s="28" t="s">
        <v>302</v>
      </c>
      <c r="M591" s="26" t="s">
        <v>151</v>
      </c>
      <c r="N591" s="30" t="s">
        <v>227</v>
      </c>
      <c r="O591" s="172" t="s">
        <v>310</v>
      </c>
      <c r="P591" s="172" t="s">
        <v>310</v>
      </c>
      <c r="Q591" s="26" t="s">
        <v>144</v>
      </c>
      <c r="R591" s="96" t="s">
        <v>152</v>
      </c>
    </row>
    <row r="592" spans="1:18" s="32" customFormat="1" ht="15" x14ac:dyDescent="0.25">
      <c r="A592" s="84" t="s">
        <v>235</v>
      </c>
      <c r="B592" s="27">
        <v>6</v>
      </c>
      <c r="C592" s="27">
        <v>0</v>
      </c>
      <c r="D592" s="15">
        <f t="shared" si="91"/>
        <v>6</v>
      </c>
      <c r="E592" s="85">
        <v>0.16666666666666666</v>
      </c>
      <c r="F592" s="85">
        <v>2</v>
      </c>
      <c r="G592" s="28">
        <f t="shared" si="87"/>
        <v>2.1666666666666665</v>
      </c>
      <c r="H592" s="85">
        <v>0</v>
      </c>
      <c r="I592" s="85">
        <v>0</v>
      </c>
      <c r="J592" s="28">
        <f t="shared" si="88"/>
        <v>0</v>
      </c>
      <c r="K592" s="28">
        <f t="shared" si="89"/>
        <v>2.1666666666666665</v>
      </c>
      <c r="L592" s="28" t="s">
        <v>302</v>
      </c>
      <c r="M592" s="26" t="s">
        <v>151</v>
      </c>
      <c r="N592" s="30" t="s">
        <v>227</v>
      </c>
      <c r="O592" s="172" t="s">
        <v>310</v>
      </c>
      <c r="P592" s="172" t="s">
        <v>310</v>
      </c>
      <c r="Q592" s="26" t="s">
        <v>144</v>
      </c>
      <c r="R592" s="96" t="s">
        <v>152</v>
      </c>
    </row>
    <row r="593" spans="1:18" s="32" customFormat="1" ht="15" x14ac:dyDescent="0.25">
      <c r="A593" s="84" t="s">
        <v>236</v>
      </c>
      <c r="B593" s="27">
        <v>34</v>
      </c>
      <c r="C593" s="27">
        <v>9</v>
      </c>
      <c r="D593" s="15">
        <f t="shared" si="91"/>
        <v>43</v>
      </c>
      <c r="E593" s="85">
        <v>0</v>
      </c>
      <c r="F593" s="85">
        <v>0</v>
      </c>
      <c r="G593" s="28">
        <f t="shared" si="87"/>
        <v>0</v>
      </c>
      <c r="H593" s="85">
        <v>5.166666666666667</v>
      </c>
      <c r="I593" s="85">
        <v>5.166666666666667</v>
      </c>
      <c r="J593" s="28">
        <f t="shared" si="88"/>
        <v>10.333333333333334</v>
      </c>
      <c r="K593" s="28">
        <f t="shared" si="89"/>
        <v>10.333333333333334</v>
      </c>
      <c r="L593" s="28" t="s">
        <v>302</v>
      </c>
      <c r="M593" s="26" t="s">
        <v>151</v>
      </c>
      <c r="N593" s="30" t="s">
        <v>227</v>
      </c>
      <c r="O593" s="172" t="s">
        <v>310</v>
      </c>
      <c r="P593" s="172" t="s">
        <v>310</v>
      </c>
      <c r="Q593" s="26" t="s">
        <v>144</v>
      </c>
      <c r="R593" s="96" t="s">
        <v>152</v>
      </c>
    </row>
    <row r="594" spans="1:18" s="32" customFormat="1" ht="15" x14ac:dyDescent="0.25">
      <c r="A594" s="84" t="s">
        <v>237</v>
      </c>
      <c r="B594" s="27">
        <v>114</v>
      </c>
      <c r="C594" s="27">
        <v>0</v>
      </c>
      <c r="D594" s="15">
        <f t="shared" si="91"/>
        <v>114</v>
      </c>
      <c r="E594" s="85">
        <v>1.6666666666666666E-2</v>
      </c>
      <c r="F594" s="85">
        <v>0.33333333333333331</v>
      </c>
      <c r="G594" s="28">
        <f t="shared" si="87"/>
        <v>0.35</v>
      </c>
      <c r="H594" s="85">
        <v>0</v>
      </c>
      <c r="I594" s="85">
        <v>0</v>
      </c>
      <c r="J594" s="28">
        <f t="shared" si="88"/>
        <v>0</v>
      </c>
      <c r="K594" s="28">
        <f t="shared" si="89"/>
        <v>0.35</v>
      </c>
      <c r="L594" s="28" t="s">
        <v>302</v>
      </c>
      <c r="M594" s="26" t="s">
        <v>151</v>
      </c>
      <c r="N594" s="30" t="s">
        <v>227</v>
      </c>
      <c r="O594" s="172" t="s">
        <v>310</v>
      </c>
      <c r="P594" s="172" t="s">
        <v>310</v>
      </c>
      <c r="Q594" s="26" t="s">
        <v>144</v>
      </c>
      <c r="R594" s="96" t="s">
        <v>152</v>
      </c>
    </row>
    <row r="595" spans="1:18" s="32" customFormat="1" ht="15" x14ac:dyDescent="0.25">
      <c r="A595" s="84" t="s">
        <v>238</v>
      </c>
      <c r="B595" s="27">
        <v>0</v>
      </c>
      <c r="C595" s="27">
        <v>0</v>
      </c>
      <c r="D595" s="15">
        <f t="shared" si="91"/>
        <v>0</v>
      </c>
      <c r="E595" s="85">
        <v>3.3333333333333333E-2</v>
      </c>
      <c r="F595" s="85">
        <v>0</v>
      </c>
      <c r="G595" s="28">
        <f t="shared" si="87"/>
        <v>3.3333333333333333E-2</v>
      </c>
      <c r="H595" s="85">
        <v>0</v>
      </c>
      <c r="I595" s="85">
        <v>0</v>
      </c>
      <c r="J595" s="28">
        <f t="shared" si="88"/>
        <v>0</v>
      </c>
      <c r="K595" s="28">
        <f t="shared" si="89"/>
        <v>3.3333333333333333E-2</v>
      </c>
      <c r="L595" s="28" t="s">
        <v>302</v>
      </c>
      <c r="M595" s="26" t="s">
        <v>151</v>
      </c>
      <c r="N595" s="30" t="s">
        <v>227</v>
      </c>
      <c r="O595" s="172" t="s">
        <v>310</v>
      </c>
      <c r="P595" s="172" t="s">
        <v>310</v>
      </c>
      <c r="Q595" s="26" t="s">
        <v>144</v>
      </c>
      <c r="R595" s="96" t="s">
        <v>152</v>
      </c>
    </row>
    <row r="596" spans="1:18" s="40" customFormat="1" ht="15" x14ac:dyDescent="0.25">
      <c r="A596" s="55" t="s">
        <v>230</v>
      </c>
      <c r="B596" s="38">
        <v>35</v>
      </c>
      <c r="C596" s="38">
        <v>66</v>
      </c>
      <c r="D596" s="35">
        <f>SUM(B596:C596)</f>
        <v>101</v>
      </c>
      <c r="E596" s="56">
        <v>1.1666666666666667</v>
      </c>
      <c r="F596" s="56">
        <v>0.3888888888888889</v>
      </c>
      <c r="G596" s="36">
        <f t="shared" si="87"/>
        <v>1.5555555555555556</v>
      </c>
      <c r="H596" s="56">
        <v>3.6166666666666667</v>
      </c>
      <c r="I596" s="56">
        <v>1.2055555555555555</v>
      </c>
      <c r="J596" s="36">
        <f t="shared" si="88"/>
        <v>4.822222222222222</v>
      </c>
      <c r="K596" s="36">
        <f t="shared" si="89"/>
        <v>6.3777777777777773</v>
      </c>
      <c r="L596" s="36" t="s">
        <v>302</v>
      </c>
      <c r="M596" s="39"/>
      <c r="N596" s="53" t="s">
        <v>227</v>
      </c>
      <c r="O596" s="173">
        <v>7</v>
      </c>
      <c r="P596" s="173" t="s">
        <v>310</v>
      </c>
      <c r="Q596" s="39" t="s">
        <v>153</v>
      </c>
      <c r="R596" s="95" t="s">
        <v>154</v>
      </c>
    </row>
    <row r="597" spans="1:18" s="40" customFormat="1" ht="15" x14ac:dyDescent="0.25">
      <c r="A597" s="55" t="s">
        <v>231</v>
      </c>
      <c r="B597" s="38">
        <v>69</v>
      </c>
      <c r="C597" s="38">
        <v>20</v>
      </c>
      <c r="D597" s="35">
        <f t="shared" ref="D597:D604" si="92">SUM(B597:C597)</f>
        <v>89</v>
      </c>
      <c r="E597" s="56">
        <v>1.1499999999999999</v>
      </c>
      <c r="F597" s="56">
        <v>0.3833333333333333</v>
      </c>
      <c r="G597" s="36">
        <f t="shared" si="87"/>
        <v>1.5333333333333332</v>
      </c>
      <c r="H597" s="56">
        <v>1.2833333333333334</v>
      </c>
      <c r="I597" s="56">
        <v>0.42777777777777781</v>
      </c>
      <c r="J597" s="36">
        <f t="shared" si="88"/>
        <v>1.7111111111111112</v>
      </c>
      <c r="K597" s="36">
        <f t="shared" si="89"/>
        <v>3.2444444444444445</v>
      </c>
      <c r="L597" s="36" t="s">
        <v>302</v>
      </c>
      <c r="M597" s="39"/>
      <c r="N597" s="53" t="s">
        <v>227</v>
      </c>
      <c r="O597" s="173">
        <v>7</v>
      </c>
      <c r="P597" s="173" t="s">
        <v>310</v>
      </c>
      <c r="Q597" s="39" t="s">
        <v>153</v>
      </c>
      <c r="R597" s="95" t="s">
        <v>154</v>
      </c>
    </row>
    <row r="598" spans="1:18" s="40" customFormat="1" ht="15" x14ac:dyDescent="0.25">
      <c r="A598" s="55" t="s">
        <v>232</v>
      </c>
      <c r="B598" s="38">
        <v>0</v>
      </c>
      <c r="C598" s="38">
        <v>0</v>
      </c>
      <c r="D598" s="35">
        <f t="shared" si="92"/>
        <v>0</v>
      </c>
      <c r="E598" s="56">
        <v>0</v>
      </c>
      <c r="F598" s="56">
        <v>0</v>
      </c>
      <c r="G598" s="36">
        <f t="shared" si="87"/>
        <v>0</v>
      </c>
      <c r="H598" s="56">
        <v>0</v>
      </c>
      <c r="I598" s="56">
        <v>0</v>
      </c>
      <c r="J598" s="36">
        <f t="shared" si="88"/>
        <v>0</v>
      </c>
      <c r="K598" s="36">
        <f t="shared" si="89"/>
        <v>0</v>
      </c>
      <c r="L598" s="36" t="s">
        <v>302</v>
      </c>
      <c r="M598" s="39"/>
      <c r="N598" s="53" t="s">
        <v>227</v>
      </c>
      <c r="O598" s="173">
        <v>7</v>
      </c>
      <c r="P598" s="173" t="s">
        <v>310</v>
      </c>
      <c r="Q598" s="39" t="s">
        <v>153</v>
      </c>
      <c r="R598" s="95" t="s">
        <v>154</v>
      </c>
    </row>
    <row r="599" spans="1:18" s="40" customFormat="1" ht="15" x14ac:dyDescent="0.25">
      <c r="A599" s="55" t="s">
        <v>233</v>
      </c>
      <c r="B599" s="38">
        <v>0</v>
      </c>
      <c r="C599" s="38">
        <v>0</v>
      </c>
      <c r="D599" s="35">
        <f t="shared" si="92"/>
        <v>0</v>
      </c>
      <c r="E599" s="56">
        <v>0</v>
      </c>
      <c r="F599" s="56">
        <v>0</v>
      </c>
      <c r="G599" s="36">
        <f t="shared" si="87"/>
        <v>0</v>
      </c>
      <c r="H599" s="56">
        <v>0</v>
      </c>
      <c r="I599" s="56">
        <v>0</v>
      </c>
      <c r="J599" s="36">
        <f t="shared" si="88"/>
        <v>0</v>
      </c>
      <c r="K599" s="36">
        <f t="shared" si="89"/>
        <v>0</v>
      </c>
      <c r="L599" s="36" t="s">
        <v>302</v>
      </c>
      <c r="M599" s="39"/>
      <c r="N599" s="53" t="s">
        <v>227</v>
      </c>
      <c r="O599" s="173">
        <v>7</v>
      </c>
      <c r="P599" s="173" t="s">
        <v>310</v>
      </c>
      <c r="Q599" s="39" t="s">
        <v>153</v>
      </c>
      <c r="R599" s="95" t="s">
        <v>154</v>
      </c>
    </row>
    <row r="600" spans="1:18" s="40" customFormat="1" ht="15" x14ac:dyDescent="0.25">
      <c r="A600" s="55" t="s">
        <v>234</v>
      </c>
      <c r="B600" s="38">
        <v>52</v>
      </c>
      <c r="C600" s="38">
        <v>94</v>
      </c>
      <c r="D600" s="35">
        <f t="shared" si="92"/>
        <v>146</v>
      </c>
      <c r="E600" s="56">
        <v>4.333333333333333</v>
      </c>
      <c r="F600" s="56">
        <v>1</v>
      </c>
      <c r="G600" s="36">
        <f t="shared" si="87"/>
        <v>5.333333333333333</v>
      </c>
      <c r="H600" s="56">
        <v>4.9666666666666668</v>
      </c>
      <c r="I600" s="56">
        <v>3</v>
      </c>
      <c r="J600" s="36">
        <f t="shared" si="88"/>
        <v>7.9666666666666668</v>
      </c>
      <c r="K600" s="36">
        <f t="shared" si="89"/>
        <v>13.3</v>
      </c>
      <c r="L600" s="36" t="s">
        <v>302</v>
      </c>
      <c r="M600" s="39"/>
      <c r="N600" s="53" t="s">
        <v>227</v>
      </c>
      <c r="O600" s="173">
        <v>7</v>
      </c>
      <c r="P600" s="173" t="s">
        <v>310</v>
      </c>
      <c r="Q600" s="39" t="s">
        <v>153</v>
      </c>
      <c r="R600" s="95" t="s">
        <v>154</v>
      </c>
    </row>
    <row r="601" spans="1:18" s="40" customFormat="1" ht="15" x14ac:dyDescent="0.25">
      <c r="A601" s="55" t="s">
        <v>235</v>
      </c>
      <c r="B601" s="38">
        <v>6</v>
      </c>
      <c r="C601" s="38">
        <v>0</v>
      </c>
      <c r="D601" s="35">
        <f t="shared" si="92"/>
        <v>6</v>
      </c>
      <c r="E601" s="56">
        <v>0</v>
      </c>
      <c r="F601" s="56">
        <v>4</v>
      </c>
      <c r="G601" s="36">
        <f t="shared" si="87"/>
        <v>4</v>
      </c>
      <c r="H601" s="56">
        <v>0</v>
      </c>
      <c r="I601" s="56">
        <v>0</v>
      </c>
      <c r="J601" s="36">
        <f t="shared" si="88"/>
        <v>0</v>
      </c>
      <c r="K601" s="36">
        <f t="shared" si="89"/>
        <v>4</v>
      </c>
      <c r="L601" s="36" t="s">
        <v>302</v>
      </c>
      <c r="M601" s="39"/>
      <c r="N601" s="53" t="s">
        <v>227</v>
      </c>
      <c r="O601" s="173">
        <v>7</v>
      </c>
      <c r="P601" s="173" t="s">
        <v>310</v>
      </c>
      <c r="Q601" s="39" t="s">
        <v>153</v>
      </c>
      <c r="R601" s="95" t="s">
        <v>154</v>
      </c>
    </row>
    <row r="602" spans="1:18" s="40" customFormat="1" ht="15" x14ac:dyDescent="0.25">
      <c r="A602" s="55" t="s">
        <v>236</v>
      </c>
      <c r="B602" s="38">
        <v>34</v>
      </c>
      <c r="C602" s="38">
        <v>9</v>
      </c>
      <c r="D602" s="35">
        <f t="shared" si="92"/>
        <v>43</v>
      </c>
      <c r="E602" s="56">
        <v>2.8333333333333335</v>
      </c>
      <c r="F602" s="56">
        <v>5.666666666666667</v>
      </c>
      <c r="G602" s="36">
        <f t="shared" si="87"/>
        <v>8.5</v>
      </c>
      <c r="H602" s="56">
        <v>2</v>
      </c>
      <c r="I602" s="56">
        <v>2</v>
      </c>
      <c r="J602" s="36">
        <f t="shared" si="88"/>
        <v>4</v>
      </c>
      <c r="K602" s="36">
        <f t="shared" si="89"/>
        <v>12.5</v>
      </c>
      <c r="L602" s="36" t="s">
        <v>302</v>
      </c>
      <c r="M602" s="39"/>
      <c r="N602" s="53" t="s">
        <v>227</v>
      </c>
      <c r="O602" s="173">
        <v>7</v>
      </c>
      <c r="P602" s="173" t="s">
        <v>310</v>
      </c>
      <c r="Q602" s="39" t="s">
        <v>153</v>
      </c>
      <c r="R602" s="95" t="s">
        <v>154</v>
      </c>
    </row>
    <row r="603" spans="1:18" s="40" customFormat="1" ht="15" x14ac:dyDescent="0.25">
      <c r="A603" s="55" t="s">
        <v>237</v>
      </c>
      <c r="B603" s="38">
        <v>114</v>
      </c>
      <c r="C603" s="38">
        <v>0</v>
      </c>
      <c r="D603" s="35">
        <f t="shared" si="92"/>
        <v>114</v>
      </c>
      <c r="E603" s="56">
        <v>0</v>
      </c>
      <c r="F603" s="56">
        <v>0</v>
      </c>
      <c r="G603" s="36">
        <f t="shared" si="87"/>
        <v>0</v>
      </c>
      <c r="H603" s="56">
        <v>0</v>
      </c>
      <c r="I603" s="56">
        <v>0</v>
      </c>
      <c r="J603" s="36">
        <f t="shared" si="88"/>
        <v>0</v>
      </c>
      <c r="K603" s="36">
        <f t="shared" si="89"/>
        <v>0</v>
      </c>
      <c r="L603" s="36" t="s">
        <v>302</v>
      </c>
      <c r="M603" s="55" t="s">
        <v>301</v>
      </c>
      <c r="N603" s="53" t="s">
        <v>227</v>
      </c>
      <c r="O603" s="173">
        <v>7</v>
      </c>
      <c r="P603" s="173" t="s">
        <v>310</v>
      </c>
      <c r="Q603" s="39" t="s">
        <v>153</v>
      </c>
      <c r="R603" s="95" t="s">
        <v>154</v>
      </c>
    </row>
    <row r="604" spans="1:18" s="40" customFormat="1" ht="15" x14ac:dyDescent="0.25">
      <c r="A604" s="55" t="s">
        <v>238</v>
      </c>
      <c r="B604" s="38">
        <v>0</v>
      </c>
      <c r="C604" s="38">
        <v>0</v>
      </c>
      <c r="D604" s="35">
        <f t="shared" si="92"/>
        <v>0</v>
      </c>
      <c r="E604" s="56">
        <v>1.6666666666666666E-2</v>
      </c>
      <c r="F604" s="56">
        <v>0</v>
      </c>
      <c r="G604" s="36">
        <f t="shared" si="87"/>
        <v>1.6666666666666666E-2</v>
      </c>
      <c r="H604" s="56">
        <v>0</v>
      </c>
      <c r="I604" s="56">
        <v>0</v>
      </c>
      <c r="J604" s="36">
        <f t="shared" si="88"/>
        <v>0</v>
      </c>
      <c r="K604" s="36">
        <f t="shared" si="89"/>
        <v>1.6666666666666666E-2</v>
      </c>
      <c r="L604" s="36" t="s">
        <v>302</v>
      </c>
      <c r="M604" s="39"/>
      <c r="N604" s="53" t="s">
        <v>227</v>
      </c>
      <c r="O604" s="173">
        <v>7</v>
      </c>
      <c r="P604" s="173" t="s">
        <v>310</v>
      </c>
      <c r="Q604" s="39" t="s">
        <v>153</v>
      </c>
      <c r="R604" s="95" t="s">
        <v>154</v>
      </c>
    </row>
    <row r="605" spans="1:18" s="32" customFormat="1" ht="15" x14ac:dyDescent="0.25">
      <c r="A605" s="84" t="s">
        <v>230</v>
      </c>
      <c r="B605" s="27">
        <v>93</v>
      </c>
      <c r="C605" s="27">
        <v>90</v>
      </c>
      <c r="D605" s="15">
        <f>SUM(B605:C605)</f>
        <v>183</v>
      </c>
      <c r="E605" s="85">
        <f>186/60</f>
        <v>3.1</v>
      </c>
      <c r="F605" s="85">
        <v>2.57439446366782</v>
      </c>
      <c r="G605" s="28">
        <f t="shared" si="87"/>
        <v>5.6743944636678201</v>
      </c>
      <c r="H605" s="85">
        <f>385/60</f>
        <v>6.416666666666667</v>
      </c>
      <c r="I605" s="85">
        <v>2.4913494809688581</v>
      </c>
      <c r="J605" s="28">
        <f t="shared" si="88"/>
        <v>8.9080161476355251</v>
      </c>
      <c r="K605" s="28">
        <f t="shared" si="89"/>
        <v>14.582410611303345</v>
      </c>
      <c r="L605" s="28" t="s">
        <v>302</v>
      </c>
      <c r="M605" s="26"/>
      <c r="N605" s="30" t="s">
        <v>304</v>
      </c>
      <c r="O605" s="172" t="s">
        <v>191</v>
      </c>
      <c r="P605" s="172" t="s">
        <v>310</v>
      </c>
      <c r="Q605" s="26" t="s">
        <v>190</v>
      </c>
      <c r="R605" s="96" t="s">
        <v>192</v>
      </c>
    </row>
    <row r="606" spans="1:18" s="32" customFormat="1" ht="15" x14ac:dyDescent="0.25">
      <c r="A606" s="84" t="s">
        <v>231</v>
      </c>
      <c r="B606" s="27">
        <v>53</v>
      </c>
      <c r="C606" s="27">
        <v>53</v>
      </c>
      <c r="D606" s="15">
        <f t="shared" ref="D606:D611" si="93">SUM(B606:C606)</f>
        <v>106</v>
      </c>
      <c r="E606" s="85">
        <f>53/60</f>
        <v>0.8833333333333333</v>
      </c>
      <c r="F606" s="85">
        <v>1.467128027681661</v>
      </c>
      <c r="G606" s="28">
        <f t="shared" si="87"/>
        <v>2.350461361014994</v>
      </c>
      <c r="H606" s="85">
        <f>206/60</f>
        <v>3.4333333333333331</v>
      </c>
      <c r="I606" s="85">
        <v>1.467128027681661</v>
      </c>
      <c r="J606" s="28">
        <f t="shared" si="88"/>
        <v>4.9004613610149939</v>
      </c>
      <c r="K606" s="28">
        <f t="shared" si="89"/>
        <v>7.2509227220299879</v>
      </c>
      <c r="L606" s="28" t="s">
        <v>302</v>
      </c>
      <c r="M606" s="26"/>
      <c r="N606" s="30" t="s">
        <v>304</v>
      </c>
      <c r="O606" s="172" t="s">
        <v>191</v>
      </c>
      <c r="P606" s="172" t="s">
        <v>310</v>
      </c>
      <c r="Q606" s="26" t="s">
        <v>190</v>
      </c>
      <c r="R606" s="96" t="s">
        <v>192</v>
      </c>
    </row>
    <row r="607" spans="1:18" s="32" customFormat="1" ht="15" x14ac:dyDescent="0.25">
      <c r="A607" s="84" t="s">
        <v>232</v>
      </c>
      <c r="B607" s="27">
        <v>1</v>
      </c>
      <c r="C607" s="27">
        <v>5</v>
      </c>
      <c r="D607" s="15">
        <f t="shared" si="93"/>
        <v>6</v>
      </c>
      <c r="E607" s="85">
        <f>40/60</f>
        <v>0.66666666666666663</v>
      </c>
      <c r="F607" s="85">
        <f>20/60</f>
        <v>0.33333333333333331</v>
      </c>
      <c r="G607" s="28">
        <f t="shared" si="87"/>
        <v>1</v>
      </c>
      <c r="H607" s="85">
        <f>15/60</f>
        <v>0.25</v>
      </c>
      <c r="I607" s="85">
        <f>50/60</f>
        <v>0.83333333333333337</v>
      </c>
      <c r="J607" s="28">
        <f t="shared" si="88"/>
        <v>1.0833333333333335</v>
      </c>
      <c r="K607" s="28">
        <f t="shared" si="89"/>
        <v>2.0833333333333335</v>
      </c>
      <c r="L607" s="28" t="s">
        <v>302</v>
      </c>
      <c r="M607" s="26"/>
      <c r="N607" s="30" t="s">
        <v>304</v>
      </c>
      <c r="O607" s="172" t="s">
        <v>191</v>
      </c>
      <c r="P607" s="172" t="s">
        <v>310</v>
      </c>
      <c r="Q607" s="26" t="s">
        <v>190</v>
      </c>
      <c r="R607" s="96" t="s">
        <v>192</v>
      </c>
    </row>
    <row r="608" spans="1:18" s="32" customFormat="1" ht="15" x14ac:dyDescent="0.25">
      <c r="A608" s="84" t="s">
        <v>233</v>
      </c>
      <c r="B608" s="27">
        <v>208</v>
      </c>
      <c r="C608" s="27">
        <v>266</v>
      </c>
      <c r="D608" s="15">
        <f t="shared" si="93"/>
        <v>474</v>
      </c>
      <c r="E608" s="85">
        <f>12480/60</f>
        <v>208</v>
      </c>
      <c r="F608" s="85">
        <f>4720/60</f>
        <v>78.666666666666671</v>
      </c>
      <c r="G608" s="28">
        <f t="shared" si="87"/>
        <v>286.66666666666669</v>
      </c>
      <c r="H608" s="85">
        <f>2521/60</f>
        <v>42.016666666666666</v>
      </c>
      <c r="I608" s="85">
        <f>3435/60</f>
        <v>57.25</v>
      </c>
      <c r="J608" s="28">
        <f t="shared" si="88"/>
        <v>99.266666666666666</v>
      </c>
      <c r="K608" s="28">
        <f t="shared" si="89"/>
        <v>385.93333333333334</v>
      </c>
      <c r="L608" s="28" t="s">
        <v>302</v>
      </c>
      <c r="M608" s="26"/>
      <c r="N608" s="30" t="s">
        <v>304</v>
      </c>
      <c r="O608" s="172" t="s">
        <v>191</v>
      </c>
      <c r="P608" s="172" t="s">
        <v>310</v>
      </c>
      <c r="Q608" s="26" t="s">
        <v>190</v>
      </c>
      <c r="R608" s="96" t="s">
        <v>192</v>
      </c>
    </row>
    <row r="609" spans="1:18" s="32" customFormat="1" ht="15" x14ac:dyDescent="0.25">
      <c r="A609" s="84" t="s">
        <v>235</v>
      </c>
      <c r="B609" s="27">
        <v>0</v>
      </c>
      <c r="C609" s="27">
        <v>0</v>
      </c>
      <c r="D609" s="15">
        <f t="shared" si="93"/>
        <v>0</v>
      </c>
      <c r="E609" s="85">
        <v>0</v>
      </c>
      <c r="F609" s="85">
        <v>0</v>
      </c>
      <c r="G609" s="28">
        <f t="shared" si="87"/>
        <v>0</v>
      </c>
      <c r="H609" s="85">
        <v>0</v>
      </c>
      <c r="I609" s="85">
        <v>0</v>
      </c>
      <c r="J609" s="28">
        <f t="shared" si="88"/>
        <v>0</v>
      </c>
      <c r="K609" s="28">
        <f t="shared" si="89"/>
        <v>0</v>
      </c>
      <c r="L609" s="28" t="s">
        <v>302</v>
      </c>
      <c r="M609" s="26"/>
      <c r="N609" s="30" t="s">
        <v>304</v>
      </c>
      <c r="O609" s="172" t="s">
        <v>191</v>
      </c>
      <c r="P609" s="172" t="s">
        <v>310</v>
      </c>
      <c r="Q609" s="26" t="s">
        <v>190</v>
      </c>
      <c r="R609" s="96" t="s">
        <v>192</v>
      </c>
    </row>
    <row r="610" spans="1:18" s="32" customFormat="1" ht="15" x14ac:dyDescent="0.25">
      <c r="A610" s="84" t="s">
        <v>236</v>
      </c>
      <c r="B610" s="27">
        <v>228</v>
      </c>
      <c r="C610" s="27">
        <v>53</v>
      </c>
      <c r="D610" s="15">
        <f t="shared" si="93"/>
        <v>281</v>
      </c>
      <c r="E610" s="85">
        <f>26985/60</f>
        <v>449.75</v>
      </c>
      <c r="F610" s="85">
        <f>14390/60</f>
        <v>239.83333333333334</v>
      </c>
      <c r="G610" s="28">
        <f t="shared" si="87"/>
        <v>689.58333333333337</v>
      </c>
      <c r="H610" s="85">
        <f>920/60</f>
        <v>15.333333333333334</v>
      </c>
      <c r="I610" s="85">
        <f>920/60</f>
        <v>15.333333333333334</v>
      </c>
      <c r="J610" s="28">
        <f t="shared" si="88"/>
        <v>30.666666666666668</v>
      </c>
      <c r="K610" s="28">
        <f t="shared" si="89"/>
        <v>720.25</v>
      </c>
      <c r="L610" s="28" t="s">
        <v>302</v>
      </c>
      <c r="M610" s="26"/>
      <c r="N610" s="30" t="s">
        <v>304</v>
      </c>
      <c r="O610" s="172" t="s">
        <v>191</v>
      </c>
      <c r="P610" s="172" t="s">
        <v>310</v>
      </c>
      <c r="Q610" s="26" t="s">
        <v>190</v>
      </c>
      <c r="R610" s="96" t="s">
        <v>192</v>
      </c>
    </row>
    <row r="611" spans="1:18" s="32" customFormat="1" ht="15" x14ac:dyDescent="0.25">
      <c r="A611" s="84" t="s">
        <v>237</v>
      </c>
      <c r="B611" s="27">
        <v>0</v>
      </c>
      <c r="C611" s="27">
        <v>0</v>
      </c>
      <c r="D611" s="15">
        <f t="shared" si="93"/>
        <v>0</v>
      </c>
      <c r="E611" s="85">
        <v>0</v>
      </c>
      <c r="F611" s="85">
        <v>0</v>
      </c>
      <c r="G611" s="28">
        <f t="shared" si="87"/>
        <v>0</v>
      </c>
      <c r="H611" s="85">
        <v>0</v>
      </c>
      <c r="I611" s="85">
        <v>0</v>
      </c>
      <c r="J611" s="28">
        <f t="shared" si="88"/>
        <v>0</v>
      </c>
      <c r="K611" s="28">
        <f t="shared" si="89"/>
        <v>0</v>
      </c>
      <c r="L611" s="28" t="s">
        <v>302</v>
      </c>
      <c r="M611" s="26"/>
      <c r="N611" s="30" t="s">
        <v>304</v>
      </c>
      <c r="O611" s="172" t="s">
        <v>191</v>
      </c>
      <c r="P611" s="172" t="s">
        <v>310</v>
      </c>
      <c r="Q611" s="26" t="s">
        <v>190</v>
      </c>
      <c r="R611" s="96" t="s">
        <v>192</v>
      </c>
    </row>
    <row r="612" spans="1:18" s="40" customFormat="1" ht="15" x14ac:dyDescent="0.25">
      <c r="A612" s="55" t="s">
        <v>230</v>
      </c>
      <c r="B612" s="38">
        <v>46</v>
      </c>
      <c r="C612" s="38">
        <v>63</v>
      </c>
      <c r="D612" s="35">
        <f>SUM(B612:C612)</f>
        <v>109</v>
      </c>
      <c r="E612" s="56">
        <f>92/60</f>
        <v>1.5333333333333334</v>
      </c>
      <c r="F612" s="56">
        <v>2.3144654088050314</v>
      </c>
      <c r="G612" s="36">
        <f t="shared" si="87"/>
        <v>3.847798742138365</v>
      </c>
      <c r="H612" s="56">
        <f>222/60</f>
        <v>3.7</v>
      </c>
      <c r="I612" s="56">
        <v>3.1698113207547172</v>
      </c>
      <c r="J612" s="36">
        <f t="shared" si="88"/>
        <v>6.8698113207547173</v>
      </c>
      <c r="K612" s="36">
        <f t="shared" si="89"/>
        <v>10.717610062893083</v>
      </c>
      <c r="L612" s="36" t="s">
        <v>302</v>
      </c>
      <c r="M612" s="39"/>
      <c r="N612" s="53" t="s">
        <v>304</v>
      </c>
      <c r="O612" s="173" t="s">
        <v>308</v>
      </c>
      <c r="P612" s="173" t="s">
        <v>310</v>
      </c>
      <c r="Q612" s="39" t="s">
        <v>199</v>
      </c>
      <c r="R612" s="95" t="s">
        <v>198</v>
      </c>
    </row>
    <row r="613" spans="1:18" s="40" customFormat="1" ht="15" x14ac:dyDescent="0.25">
      <c r="A613" s="55" t="s">
        <v>231</v>
      </c>
      <c r="B613" s="38">
        <v>23</v>
      </c>
      <c r="C613" s="38">
        <v>27</v>
      </c>
      <c r="D613" s="35">
        <f t="shared" ref="D613:D618" si="94">SUM(B613:C613)</f>
        <v>50</v>
      </c>
      <c r="E613" s="56">
        <f>23/60</f>
        <v>0.38333333333333336</v>
      </c>
      <c r="F613" s="56">
        <v>1.1572327044025157</v>
      </c>
      <c r="G613" s="36">
        <f t="shared" si="87"/>
        <v>1.540566037735849</v>
      </c>
      <c r="H613" s="56">
        <f>100/60</f>
        <v>1.6666666666666667</v>
      </c>
      <c r="I613" s="56">
        <v>1.358490566037736</v>
      </c>
      <c r="J613" s="36">
        <f t="shared" si="88"/>
        <v>3.0251572327044025</v>
      </c>
      <c r="K613" s="36">
        <f t="shared" si="89"/>
        <v>4.5657232704402517</v>
      </c>
      <c r="L613" s="36" t="s">
        <v>302</v>
      </c>
      <c r="M613" s="39"/>
      <c r="N613" s="53" t="s">
        <v>304</v>
      </c>
      <c r="O613" s="173" t="s">
        <v>308</v>
      </c>
      <c r="P613" s="173" t="s">
        <v>310</v>
      </c>
      <c r="Q613" s="39" t="s">
        <v>199</v>
      </c>
      <c r="R613" s="95" t="s">
        <v>198</v>
      </c>
    </row>
    <row r="614" spans="1:18" s="40" customFormat="1" ht="15" x14ac:dyDescent="0.25">
      <c r="A614" s="55" t="s">
        <v>232</v>
      </c>
      <c r="B614" s="38">
        <v>0</v>
      </c>
      <c r="C614" s="38">
        <v>0</v>
      </c>
      <c r="D614" s="35">
        <f t="shared" si="94"/>
        <v>0</v>
      </c>
      <c r="E614" s="56">
        <v>0</v>
      </c>
      <c r="F614" s="56">
        <v>0</v>
      </c>
      <c r="G614" s="36">
        <f t="shared" si="87"/>
        <v>0</v>
      </c>
      <c r="H614" s="56">
        <v>0</v>
      </c>
      <c r="I614" s="56">
        <v>0</v>
      </c>
      <c r="J614" s="36">
        <f t="shared" si="88"/>
        <v>0</v>
      </c>
      <c r="K614" s="36">
        <f t="shared" si="89"/>
        <v>0</v>
      </c>
      <c r="L614" s="36" t="s">
        <v>302</v>
      </c>
      <c r="M614" s="39"/>
      <c r="N614" s="53" t="s">
        <v>304</v>
      </c>
      <c r="O614" s="173" t="s">
        <v>308</v>
      </c>
      <c r="P614" s="173" t="s">
        <v>310</v>
      </c>
      <c r="Q614" s="39" t="s">
        <v>199</v>
      </c>
      <c r="R614" s="95" t="s">
        <v>198</v>
      </c>
    </row>
    <row r="615" spans="1:18" s="40" customFormat="1" ht="15" x14ac:dyDescent="0.25">
      <c r="A615" s="55" t="s">
        <v>233</v>
      </c>
      <c r="B615" s="38">
        <v>62</v>
      </c>
      <c r="C615" s="38">
        <v>86</v>
      </c>
      <c r="D615" s="35">
        <f t="shared" si="94"/>
        <v>148</v>
      </c>
      <c r="E615" s="56">
        <f>1687/60</f>
        <v>28.116666666666667</v>
      </c>
      <c r="F615" s="56">
        <f>1350/60</f>
        <v>22.5</v>
      </c>
      <c r="G615" s="36">
        <f t="shared" si="87"/>
        <v>50.616666666666667</v>
      </c>
      <c r="H615" s="56">
        <f>620/60</f>
        <v>10.333333333333334</v>
      </c>
      <c r="I615" s="56">
        <f>970/60</f>
        <v>16.166666666666668</v>
      </c>
      <c r="J615" s="36">
        <f t="shared" si="88"/>
        <v>26.5</v>
      </c>
      <c r="K615" s="36">
        <f t="shared" si="89"/>
        <v>77.116666666666674</v>
      </c>
      <c r="L615" s="36" t="s">
        <v>302</v>
      </c>
      <c r="M615" s="39"/>
      <c r="N615" s="53" t="s">
        <v>304</v>
      </c>
      <c r="O615" s="173" t="s">
        <v>308</v>
      </c>
      <c r="P615" s="173" t="s">
        <v>310</v>
      </c>
      <c r="Q615" s="39" t="s">
        <v>199</v>
      </c>
      <c r="R615" s="95" t="s">
        <v>198</v>
      </c>
    </row>
    <row r="616" spans="1:18" s="40" customFormat="1" ht="15" x14ac:dyDescent="0.25">
      <c r="A616" s="55" t="s">
        <v>235</v>
      </c>
      <c r="B616" s="38">
        <v>1</v>
      </c>
      <c r="C616" s="38">
        <v>1</v>
      </c>
      <c r="D616" s="35">
        <f t="shared" si="94"/>
        <v>2</v>
      </c>
      <c r="E616" s="56">
        <f>10/60</f>
        <v>0.16666666666666666</v>
      </c>
      <c r="F616" s="56">
        <f>120/60</f>
        <v>2</v>
      </c>
      <c r="G616" s="36">
        <f t="shared" si="87"/>
        <v>2.1666666666666665</v>
      </c>
      <c r="H616" s="56">
        <f>10/60</f>
        <v>0.16666666666666666</v>
      </c>
      <c r="I616" s="56">
        <f>5/60</f>
        <v>8.3333333333333329E-2</v>
      </c>
      <c r="J616" s="36">
        <f t="shared" si="88"/>
        <v>0.25</v>
      </c>
      <c r="K616" s="36">
        <f t="shared" si="89"/>
        <v>2.4166666666666665</v>
      </c>
      <c r="L616" s="36" t="s">
        <v>302</v>
      </c>
      <c r="M616" s="39"/>
      <c r="N616" s="53" t="s">
        <v>304</v>
      </c>
      <c r="O616" s="173" t="s">
        <v>308</v>
      </c>
      <c r="P616" s="173" t="s">
        <v>310</v>
      </c>
      <c r="Q616" s="39" t="s">
        <v>199</v>
      </c>
      <c r="R616" s="95" t="s">
        <v>198</v>
      </c>
    </row>
    <row r="617" spans="1:18" s="40" customFormat="1" ht="15" x14ac:dyDescent="0.25">
      <c r="A617" s="55" t="s">
        <v>236</v>
      </c>
      <c r="B617" s="38">
        <v>56</v>
      </c>
      <c r="C617" s="38">
        <v>38</v>
      </c>
      <c r="D617" s="35">
        <f t="shared" si="94"/>
        <v>94</v>
      </c>
      <c r="E617" s="56">
        <f>5325/60</f>
        <v>88.75</v>
      </c>
      <c r="F617" s="56">
        <f>3130/60</f>
        <v>52.166666666666664</v>
      </c>
      <c r="G617" s="36">
        <f t="shared" si="87"/>
        <v>140.91666666666666</v>
      </c>
      <c r="H617" s="56">
        <f>1890/60</f>
        <v>31.5</v>
      </c>
      <c r="I617" s="56">
        <f>1890/60</f>
        <v>31.5</v>
      </c>
      <c r="J617" s="36">
        <f t="shared" si="88"/>
        <v>63</v>
      </c>
      <c r="K617" s="36">
        <f t="shared" si="89"/>
        <v>203.91666666666666</v>
      </c>
      <c r="L617" s="36" t="s">
        <v>302</v>
      </c>
      <c r="M617" s="39"/>
      <c r="N617" s="53" t="s">
        <v>304</v>
      </c>
      <c r="O617" s="173" t="s">
        <v>308</v>
      </c>
      <c r="P617" s="173" t="s">
        <v>310</v>
      </c>
      <c r="Q617" s="39" t="s">
        <v>199</v>
      </c>
      <c r="R617" s="95" t="s">
        <v>198</v>
      </c>
    </row>
    <row r="618" spans="1:18" s="40" customFormat="1" ht="15" x14ac:dyDescent="0.25">
      <c r="A618" s="55" t="s">
        <v>237</v>
      </c>
      <c r="B618" s="38">
        <v>0</v>
      </c>
      <c r="C618" s="38">
        <v>0</v>
      </c>
      <c r="D618" s="35">
        <f t="shared" si="94"/>
        <v>0</v>
      </c>
      <c r="E618" s="56">
        <v>0</v>
      </c>
      <c r="F618" s="56">
        <v>0</v>
      </c>
      <c r="G618" s="36">
        <f t="shared" si="87"/>
        <v>0</v>
      </c>
      <c r="H618" s="56">
        <v>0</v>
      </c>
      <c r="I618" s="56">
        <v>0</v>
      </c>
      <c r="J618" s="36">
        <f t="shared" si="88"/>
        <v>0</v>
      </c>
      <c r="K618" s="36">
        <f t="shared" si="89"/>
        <v>0</v>
      </c>
      <c r="L618" s="36" t="s">
        <v>302</v>
      </c>
      <c r="M618" s="39"/>
      <c r="N618" s="53" t="s">
        <v>304</v>
      </c>
      <c r="O618" s="173" t="s">
        <v>308</v>
      </c>
      <c r="P618" s="173" t="s">
        <v>310</v>
      </c>
      <c r="Q618" s="39" t="s">
        <v>199</v>
      </c>
      <c r="R618" s="95" t="s">
        <v>198</v>
      </c>
    </row>
    <row r="619" spans="1:18" s="32" customFormat="1" ht="15" x14ac:dyDescent="0.25">
      <c r="A619" s="84" t="s">
        <v>230</v>
      </c>
      <c r="B619" s="27">
        <v>16</v>
      </c>
      <c r="C619" s="27">
        <v>68</v>
      </c>
      <c r="D619" s="15">
        <f>SUM(B619:C619)</f>
        <v>84</v>
      </c>
      <c r="E619" s="85">
        <v>0.53333333333333333</v>
      </c>
      <c r="F619" s="85">
        <v>1</v>
      </c>
      <c r="G619" s="28">
        <f t="shared" ref="G619:G627" si="95">E619+F619</f>
        <v>1.5333333333333332</v>
      </c>
      <c r="H619" s="85">
        <v>4.05</v>
      </c>
      <c r="I619" s="85">
        <v>4.5</v>
      </c>
      <c r="J619" s="28">
        <f t="shared" ref="J619:J627" si="96">H619+I619</f>
        <v>8.5500000000000007</v>
      </c>
      <c r="K619" s="28">
        <f t="shared" ref="K619:K627" si="97">G619+J619</f>
        <v>10.083333333333334</v>
      </c>
      <c r="L619" s="28" t="s">
        <v>302</v>
      </c>
      <c r="M619" s="26" t="s">
        <v>241</v>
      </c>
      <c r="N619" s="30" t="s">
        <v>227</v>
      </c>
      <c r="O619" s="172" t="s">
        <v>308</v>
      </c>
      <c r="P619" s="172" t="s">
        <v>310</v>
      </c>
      <c r="Q619" s="26" t="s">
        <v>120</v>
      </c>
      <c r="R619" s="96" t="s">
        <v>121</v>
      </c>
    </row>
    <row r="620" spans="1:18" s="32" customFormat="1" ht="15" x14ac:dyDescent="0.25">
      <c r="A620" s="84" t="s">
        <v>231</v>
      </c>
      <c r="B620" s="27">
        <v>6</v>
      </c>
      <c r="C620" s="27">
        <v>27</v>
      </c>
      <c r="D620" s="15">
        <f t="shared" ref="D620:D627" si="98">SUM(B620:C620)</f>
        <v>33</v>
      </c>
      <c r="E620" s="85">
        <v>0.1</v>
      </c>
      <c r="F620" s="85">
        <v>3.3333333333333333E-2</v>
      </c>
      <c r="G620" s="28">
        <f t="shared" si="95"/>
        <v>0.13333333333333333</v>
      </c>
      <c r="H620" s="85">
        <v>1.6833333333333333</v>
      </c>
      <c r="I620" s="85">
        <v>2.5</v>
      </c>
      <c r="J620" s="28">
        <f t="shared" si="96"/>
        <v>4.1833333333333336</v>
      </c>
      <c r="K620" s="28">
        <f t="shared" si="97"/>
        <v>4.3166666666666673</v>
      </c>
      <c r="L620" s="28" t="s">
        <v>302</v>
      </c>
      <c r="M620" s="26" t="s">
        <v>241</v>
      </c>
      <c r="N620" s="30" t="s">
        <v>227</v>
      </c>
      <c r="O620" s="172" t="s">
        <v>308</v>
      </c>
      <c r="P620" s="172" t="s">
        <v>310</v>
      </c>
      <c r="Q620" s="26" t="s">
        <v>120</v>
      </c>
      <c r="R620" s="96" t="s">
        <v>121</v>
      </c>
    </row>
    <row r="621" spans="1:18" s="32" customFormat="1" ht="15" x14ac:dyDescent="0.25">
      <c r="A621" s="84" t="s">
        <v>232</v>
      </c>
      <c r="B621" s="27">
        <v>42</v>
      </c>
      <c r="C621" s="27">
        <v>0</v>
      </c>
      <c r="D621" s="15">
        <f t="shared" si="98"/>
        <v>42</v>
      </c>
      <c r="E621" s="85">
        <v>23.833333333333332</v>
      </c>
      <c r="F621" s="85">
        <v>14</v>
      </c>
      <c r="G621" s="28">
        <f t="shared" si="95"/>
        <v>37.833333333333329</v>
      </c>
      <c r="H621" s="85">
        <v>0</v>
      </c>
      <c r="I621" s="85">
        <v>0</v>
      </c>
      <c r="J621" s="28">
        <f t="shared" si="96"/>
        <v>0</v>
      </c>
      <c r="K621" s="28">
        <f t="shared" si="97"/>
        <v>37.833333333333329</v>
      </c>
      <c r="L621" s="28" t="s">
        <v>302</v>
      </c>
      <c r="M621" s="26"/>
      <c r="N621" s="30" t="s">
        <v>227</v>
      </c>
      <c r="O621" s="172" t="s">
        <v>308</v>
      </c>
      <c r="P621" s="172" t="s">
        <v>310</v>
      </c>
      <c r="Q621" s="26" t="s">
        <v>120</v>
      </c>
      <c r="R621" s="96" t="s">
        <v>121</v>
      </c>
    </row>
    <row r="622" spans="1:18" s="32" customFormat="1" ht="15" x14ac:dyDescent="0.25">
      <c r="A622" s="84" t="s">
        <v>233</v>
      </c>
      <c r="B622" s="27">
        <v>0</v>
      </c>
      <c r="C622" s="27">
        <v>0</v>
      </c>
      <c r="D622" s="15">
        <f t="shared" si="98"/>
        <v>0</v>
      </c>
      <c r="E622" s="85">
        <v>0</v>
      </c>
      <c r="F622" s="85">
        <v>0</v>
      </c>
      <c r="G622" s="28">
        <f t="shared" si="95"/>
        <v>0</v>
      </c>
      <c r="H622" s="85">
        <v>0</v>
      </c>
      <c r="I622" s="85">
        <v>0</v>
      </c>
      <c r="J622" s="28">
        <f t="shared" si="96"/>
        <v>0</v>
      </c>
      <c r="K622" s="28">
        <f t="shared" si="97"/>
        <v>0</v>
      </c>
      <c r="L622" s="28" t="s">
        <v>302</v>
      </c>
      <c r="M622" s="26"/>
      <c r="N622" s="30" t="s">
        <v>227</v>
      </c>
      <c r="O622" s="172" t="s">
        <v>308</v>
      </c>
      <c r="P622" s="172" t="s">
        <v>310</v>
      </c>
      <c r="Q622" s="26" t="s">
        <v>120</v>
      </c>
      <c r="R622" s="96" t="s">
        <v>121</v>
      </c>
    </row>
    <row r="623" spans="1:18" s="32" customFormat="1" ht="15" x14ac:dyDescent="0.25">
      <c r="A623" s="84" t="s">
        <v>234</v>
      </c>
      <c r="B623" s="27">
        <v>48</v>
      </c>
      <c r="C623" s="27">
        <v>89</v>
      </c>
      <c r="D623" s="15">
        <f t="shared" si="98"/>
        <v>137</v>
      </c>
      <c r="E623" s="85">
        <v>4</v>
      </c>
      <c r="F623" s="85">
        <v>4</v>
      </c>
      <c r="G623" s="28">
        <f t="shared" si="95"/>
        <v>8</v>
      </c>
      <c r="H623" s="85">
        <v>8.35</v>
      </c>
      <c r="I623" s="85">
        <v>12.55</v>
      </c>
      <c r="J623" s="28">
        <f t="shared" si="96"/>
        <v>20.9</v>
      </c>
      <c r="K623" s="28">
        <f t="shared" si="97"/>
        <v>28.9</v>
      </c>
      <c r="L623" s="28" t="s">
        <v>302</v>
      </c>
      <c r="M623" s="26"/>
      <c r="N623" s="30" t="s">
        <v>227</v>
      </c>
      <c r="O623" s="172" t="s">
        <v>308</v>
      </c>
      <c r="P623" s="172" t="s">
        <v>310</v>
      </c>
      <c r="Q623" s="26" t="s">
        <v>120</v>
      </c>
      <c r="R623" s="96" t="s">
        <v>121</v>
      </c>
    </row>
    <row r="624" spans="1:18" s="32" customFormat="1" ht="15" x14ac:dyDescent="0.25">
      <c r="A624" s="84" t="s">
        <v>235</v>
      </c>
      <c r="B624" s="27">
        <v>2</v>
      </c>
      <c r="C624" s="27">
        <v>0</v>
      </c>
      <c r="D624" s="15">
        <f t="shared" si="98"/>
        <v>2</v>
      </c>
      <c r="E624" s="85">
        <v>0</v>
      </c>
      <c r="F624" s="85">
        <v>4</v>
      </c>
      <c r="G624" s="28">
        <f t="shared" si="95"/>
        <v>4</v>
      </c>
      <c r="H624" s="85">
        <v>0</v>
      </c>
      <c r="I624" s="85">
        <v>0</v>
      </c>
      <c r="J624" s="28">
        <f t="shared" si="96"/>
        <v>0</v>
      </c>
      <c r="K624" s="28">
        <f t="shared" si="97"/>
        <v>4</v>
      </c>
      <c r="L624" s="28" t="s">
        <v>302</v>
      </c>
      <c r="M624" s="26"/>
      <c r="N624" s="30" t="s">
        <v>227</v>
      </c>
      <c r="O624" s="172" t="s">
        <v>308</v>
      </c>
      <c r="P624" s="172" t="s">
        <v>310</v>
      </c>
      <c r="Q624" s="26" t="s">
        <v>120</v>
      </c>
      <c r="R624" s="96" t="s">
        <v>121</v>
      </c>
    </row>
    <row r="625" spans="1:18" s="32" customFormat="1" ht="15" x14ac:dyDescent="0.25">
      <c r="A625" s="84" t="s">
        <v>236</v>
      </c>
      <c r="B625" s="27">
        <v>25</v>
      </c>
      <c r="C625" s="27">
        <v>21</v>
      </c>
      <c r="D625" s="15">
        <f t="shared" si="98"/>
        <v>46</v>
      </c>
      <c r="E625" s="85">
        <v>20.5</v>
      </c>
      <c r="F625" s="85">
        <v>15</v>
      </c>
      <c r="G625" s="28">
        <f t="shared" si="95"/>
        <v>35.5</v>
      </c>
      <c r="H625" s="85">
        <v>14.333333333333334</v>
      </c>
      <c r="I625" s="85">
        <v>14.333333333333334</v>
      </c>
      <c r="J625" s="28">
        <f t="shared" si="96"/>
        <v>28.666666666666668</v>
      </c>
      <c r="K625" s="28">
        <f t="shared" si="97"/>
        <v>64.166666666666671</v>
      </c>
      <c r="L625" s="28" t="s">
        <v>302</v>
      </c>
      <c r="M625" s="26"/>
      <c r="N625" s="30" t="s">
        <v>227</v>
      </c>
      <c r="O625" s="172" t="s">
        <v>308</v>
      </c>
      <c r="P625" s="172" t="s">
        <v>310</v>
      </c>
      <c r="Q625" s="26" t="s">
        <v>120</v>
      </c>
      <c r="R625" s="96" t="s">
        <v>121</v>
      </c>
    </row>
    <row r="626" spans="1:18" s="32" customFormat="1" ht="15" x14ac:dyDescent="0.25">
      <c r="A626" s="84" t="s">
        <v>237</v>
      </c>
      <c r="B626" s="27">
        <v>0</v>
      </c>
      <c r="C626" s="27">
        <v>0</v>
      </c>
      <c r="D626" s="15">
        <f t="shared" si="98"/>
        <v>0</v>
      </c>
      <c r="E626" s="85">
        <v>0</v>
      </c>
      <c r="F626" s="85">
        <v>0</v>
      </c>
      <c r="G626" s="28">
        <f t="shared" si="95"/>
        <v>0</v>
      </c>
      <c r="H626" s="85">
        <v>0</v>
      </c>
      <c r="I626" s="85">
        <v>0</v>
      </c>
      <c r="J626" s="28">
        <f t="shared" si="96"/>
        <v>0</v>
      </c>
      <c r="K626" s="28">
        <f t="shared" si="97"/>
        <v>0</v>
      </c>
      <c r="L626" s="28" t="s">
        <v>302</v>
      </c>
      <c r="M626" s="26"/>
      <c r="N626" s="30" t="s">
        <v>227</v>
      </c>
      <c r="O626" s="172" t="s">
        <v>308</v>
      </c>
      <c r="P626" s="172" t="s">
        <v>310</v>
      </c>
      <c r="Q626" s="26" t="s">
        <v>120</v>
      </c>
      <c r="R626" s="96" t="s">
        <v>121</v>
      </c>
    </row>
    <row r="627" spans="1:18" s="32" customFormat="1" ht="15" x14ac:dyDescent="0.25">
      <c r="A627" s="84" t="s">
        <v>238</v>
      </c>
      <c r="B627" s="27">
        <v>0</v>
      </c>
      <c r="C627" s="27">
        <v>0</v>
      </c>
      <c r="D627" s="15">
        <f t="shared" si="98"/>
        <v>0</v>
      </c>
      <c r="E627" s="85">
        <v>0</v>
      </c>
      <c r="F627" s="85">
        <v>0</v>
      </c>
      <c r="G627" s="28">
        <f t="shared" si="95"/>
        <v>0</v>
      </c>
      <c r="H627" s="85">
        <v>0</v>
      </c>
      <c r="I627" s="85">
        <v>0</v>
      </c>
      <c r="J627" s="28">
        <f t="shared" si="96"/>
        <v>0</v>
      </c>
      <c r="K627" s="28">
        <f t="shared" si="97"/>
        <v>0</v>
      </c>
      <c r="L627" s="28" t="s">
        <v>302</v>
      </c>
      <c r="M627" s="26"/>
      <c r="N627" s="30" t="s">
        <v>227</v>
      </c>
      <c r="O627" s="172" t="s">
        <v>308</v>
      </c>
      <c r="P627" s="172" t="s">
        <v>310</v>
      </c>
      <c r="Q627" s="26" t="s">
        <v>120</v>
      </c>
      <c r="R627" s="96" t="s">
        <v>121</v>
      </c>
    </row>
  </sheetData>
  <autoFilter ref="B3:R627"/>
  <mergeCells count="12">
    <mergeCell ref="R1:R3"/>
    <mergeCell ref="K2:K3"/>
    <mergeCell ref="E1:K1"/>
    <mergeCell ref="E2:G2"/>
    <mergeCell ref="H2:J2"/>
    <mergeCell ref="P1:P3"/>
    <mergeCell ref="Q1:Q3"/>
    <mergeCell ref="B1:D2"/>
    <mergeCell ref="A1:A3"/>
    <mergeCell ref="M1:M3"/>
    <mergeCell ref="N1:N3"/>
    <mergeCell ref="O1:O3"/>
  </mergeCells>
  <hyperlinks>
    <hyperlink ref="R4" r:id="rId1"/>
    <hyperlink ref="R5" r:id="rId2"/>
    <hyperlink ref="R6" r:id="rId3"/>
    <hyperlink ref="R7" r:id="rId4"/>
    <hyperlink ref="R8" r:id="rId5"/>
    <hyperlink ref="R9" r:id="rId6"/>
    <hyperlink ref="R10" r:id="rId7"/>
    <hyperlink ref="R11" r:id="rId8"/>
    <hyperlink ref="R12" r:id="rId9"/>
    <hyperlink ref="R22" r:id="rId10"/>
    <hyperlink ref="R23" r:id="rId11"/>
    <hyperlink ref="R24" r:id="rId12"/>
    <hyperlink ref="R25" r:id="rId13"/>
    <hyperlink ref="R26" r:id="rId14"/>
    <hyperlink ref="R27" r:id="rId15"/>
    <hyperlink ref="R28" r:id="rId16"/>
    <hyperlink ref="R29" r:id="rId17"/>
    <hyperlink ref="R30" r:id="rId18"/>
    <hyperlink ref="R31" r:id="rId19"/>
    <hyperlink ref="R32" r:id="rId20"/>
    <hyperlink ref="R33" r:id="rId21"/>
    <hyperlink ref="R34" r:id="rId22"/>
    <hyperlink ref="R35" r:id="rId23"/>
    <hyperlink ref="R36" r:id="rId24"/>
    <hyperlink ref="R37" r:id="rId25"/>
    <hyperlink ref="R38" r:id="rId26"/>
    <hyperlink ref="R39" r:id="rId27"/>
    <hyperlink ref="R290" r:id="rId28"/>
    <hyperlink ref="R291" r:id="rId29"/>
    <hyperlink ref="R292" r:id="rId30"/>
    <hyperlink ref="R293" r:id="rId31"/>
    <hyperlink ref="R294" r:id="rId32"/>
    <hyperlink ref="R295" r:id="rId33"/>
    <hyperlink ref="R296" r:id="rId34"/>
    <hyperlink ref="R297" r:id="rId35"/>
    <hyperlink ref="R298" r:id="rId36"/>
    <hyperlink ref="R362" r:id="rId37" display="\\file01\projects\Lanteria\Bay Audiology\Estimates\"/>
    <hyperlink ref="R363" r:id="rId38" display="\\file01\projects\Lanteria\Bay Audiology\Estimates\"/>
    <hyperlink ref="R364" r:id="rId39" display="\\file01\projects\Lanteria\Bay Audiology\Estimates\"/>
    <hyperlink ref="R365" r:id="rId40" display="\\file01\projects\Lanteria\Bay Audiology\Estimates\"/>
    <hyperlink ref="R366" r:id="rId41" display="\\file01\projects\Lanteria\Bay Audiology\Estimates\"/>
    <hyperlink ref="R367" r:id="rId42" display="\\file01\projects\Lanteria\Bay Audiology\Estimates\"/>
    <hyperlink ref="R368" r:id="rId43" display="\\file01\projects\Lanteria\Bay Audiology\Estimates\"/>
    <hyperlink ref="R369" r:id="rId44" display="\\file01\projects\Lanteria\Bay Audiology\Estimates\"/>
    <hyperlink ref="R370" r:id="rId45" display="\\file01\projects\Lanteria\Bay Audiology\Estimates\"/>
    <hyperlink ref="R470" r:id="rId46" display="\\file01\projects\Nova Natie 2016\Upgrade to LQS4.0\Estimates\"/>
    <hyperlink ref="R471" r:id="rId47" display="\\file01\projects\Nova Natie 2016\Upgrade to LQS4.0\Estimates\"/>
    <hyperlink ref="R472" r:id="rId48" display="\\file01\projects\Nova Natie 2016\Upgrade to LQS4.0\Estimates\"/>
    <hyperlink ref="R473" r:id="rId49" display="\\file01\projects\Nova Natie 2016\Upgrade to LQS4.0\Estimates\"/>
    <hyperlink ref="R474" r:id="rId50" display="\\file01\projects\Nova Natie 2016\Upgrade to LQS4.0\Estimates\"/>
    <hyperlink ref="R475" r:id="rId51" display="\\file01\projects\Nova Natie 2016\Upgrade to LQS4.0\Estimates\"/>
    <hyperlink ref="R476" r:id="rId52" display="\\file01\projects\Nova Natie 2016\Upgrade to LQS4.0\Estimates\"/>
    <hyperlink ref="R477" r:id="rId53" display="\\file01\projects\Nova Natie 2016\Upgrade to LQS4.0\Estimates\"/>
    <hyperlink ref="R478" r:id="rId54" display="\\file01\projects\Nova Natie 2016\Upgrade to LQS4.0\Estimates\"/>
    <hyperlink ref="R13" r:id="rId55"/>
    <hyperlink ref="R14" r:id="rId56"/>
    <hyperlink ref="R15" r:id="rId57"/>
    <hyperlink ref="R16" r:id="rId58"/>
    <hyperlink ref="R17" r:id="rId59"/>
    <hyperlink ref="R18" r:id="rId60"/>
    <hyperlink ref="R19" r:id="rId61"/>
    <hyperlink ref="R20" r:id="rId62"/>
    <hyperlink ref="R21" r:id="rId63"/>
    <hyperlink ref="R40" r:id="rId64"/>
    <hyperlink ref="R41" r:id="rId65"/>
    <hyperlink ref="R42" r:id="rId66"/>
    <hyperlink ref="R43" r:id="rId67"/>
    <hyperlink ref="R44" r:id="rId68"/>
    <hyperlink ref="R45" r:id="rId69"/>
    <hyperlink ref="R46" r:id="rId70"/>
    <hyperlink ref="R47" r:id="rId71"/>
    <hyperlink ref="R48" r:id="rId72"/>
    <hyperlink ref="R58" r:id="rId73"/>
    <hyperlink ref="R59" r:id="rId74"/>
    <hyperlink ref="R60" r:id="rId75"/>
    <hyperlink ref="R61" r:id="rId76"/>
    <hyperlink ref="R62" r:id="rId77"/>
    <hyperlink ref="R63" r:id="rId78"/>
    <hyperlink ref="R64" r:id="rId79"/>
    <hyperlink ref="R65" r:id="rId80"/>
    <hyperlink ref="R66" r:id="rId81"/>
    <hyperlink ref="R67" r:id="rId82"/>
    <hyperlink ref="R68" r:id="rId83"/>
    <hyperlink ref="R69" r:id="rId84"/>
    <hyperlink ref="R70" r:id="rId85"/>
    <hyperlink ref="R71" r:id="rId86"/>
    <hyperlink ref="R72" r:id="rId87"/>
    <hyperlink ref="R73" r:id="rId88"/>
    <hyperlink ref="R74" r:id="rId89"/>
    <hyperlink ref="R75" r:id="rId90"/>
    <hyperlink ref="R76" r:id="rId91"/>
    <hyperlink ref="R77" r:id="rId92"/>
    <hyperlink ref="R78" r:id="rId93"/>
    <hyperlink ref="R79" r:id="rId94"/>
    <hyperlink ref="R80" r:id="rId95"/>
    <hyperlink ref="R81" r:id="rId96"/>
    <hyperlink ref="R82" r:id="rId97"/>
    <hyperlink ref="R83" r:id="rId98"/>
    <hyperlink ref="R84" r:id="rId99"/>
    <hyperlink ref="R85" r:id="rId100"/>
    <hyperlink ref="R86" r:id="rId101"/>
    <hyperlink ref="R87" r:id="rId102"/>
    <hyperlink ref="R88" r:id="rId103"/>
    <hyperlink ref="R89" r:id="rId104"/>
    <hyperlink ref="R90" r:id="rId105"/>
    <hyperlink ref="R91" r:id="rId106"/>
    <hyperlink ref="R92" r:id="rId107"/>
    <hyperlink ref="R93" r:id="rId108"/>
    <hyperlink ref="R94" r:id="rId109"/>
    <hyperlink ref="R95" r:id="rId110"/>
    <hyperlink ref="R96" r:id="rId111"/>
    <hyperlink ref="R97" r:id="rId112"/>
    <hyperlink ref="R98" r:id="rId113"/>
    <hyperlink ref="R99" r:id="rId114"/>
    <hyperlink ref="R100" r:id="rId115"/>
    <hyperlink ref="R101" r:id="rId116"/>
    <hyperlink ref="R102" r:id="rId117"/>
    <hyperlink ref="R103" r:id="rId118"/>
    <hyperlink ref="R104" r:id="rId119"/>
    <hyperlink ref="R105" r:id="rId120"/>
    <hyperlink ref="R106" r:id="rId121"/>
    <hyperlink ref="R107" r:id="rId122"/>
    <hyperlink ref="R108" r:id="rId123"/>
    <hyperlink ref="R109" r:id="rId124"/>
    <hyperlink ref="R110" r:id="rId125"/>
    <hyperlink ref="R111" r:id="rId126"/>
    <hyperlink ref="R112" r:id="rId127"/>
    <hyperlink ref="R113" r:id="rId128"/>
    <hyperlink ref="R114" r:id="rId129"/>
    <hyperlink ref="R115" r:id="rId130"/>
    <hyperlink ref="R116" r:id="rId131"/>
    <hyperlink ref="R117" r:id="rId132"/>
    <hyperlink ref="R118" r:id="rId133"/>
    <hyperlink ref="R119" r:id="rId134"/>
    <hyperlink ref="R120" r:id="rId135"/>
    <hyperlink ref="R121" r:id="rId136"/>
    <hyperlink ref="R122" r:id="rId137"/>
    <hyperlink ref="R123" r:id="rId138"/>
    <hyperlink ref="R124" r:id="rId139"/>
    <hyperlink ref="R125" r:id="rId140"/>
    <hyperlink ref="R126" r:id="rId141"/>
    <hyperlink ref="R127" r:id="rId142"/>
    <hyperlink ref="R128" r:id="rId143"/>
    <hyperlink ref="R129" r:id="rId144"/>
    <hyperlink ref="R130" r:id="rId145"/>
    <hyperlink ref="R131" r:id="rId146"/>
    <hyperlink ref="R132" r:id="rId147"/>
    <hyperlink ref="R133" r:id="rId148"/>
    <hyperlink ref="R134" r:id="rId149"/>
    <hyperlink ref="R135" r:id="rId150"/>
    <hyperlink ref="R136" r:id="rId151"/>
    <hyperlink ref="R137" r:id="rId152"/>
    <hyperlink ref="R138" r:id="rId153"/>
    <hyperlink ref="R139" r:id="rId154"/>
    <hyperlink ref="R140" r:id="rId155"/>
    <hyperlink ref="R141" r:id="rId156"/>
    <hyperlink ref="R142" r:id="rId157"/>
    <hyperlink ref="R143" r:id="rId158"/>
    <hyperlink ref="R144" r:id="rId159"/>
    <hyperlink ref="R145" r:id="rId160"/>
    <hyperlink ref="R146" r:id="rId161"/>
    <hyperlink ref="R147" r:id="rId162"/>
    <hyperlink ref="R148" r:id="rId163"/>
    <hyperlink ref="R149" r:id="rId164"/>
    <hyperlink ref="R150" r:id="rId165"/>
    <hyperlink ref="R151" r:id="rId166"/>
    <hyperlink ref="R152" r:id="rId167"/>
    <hyperlink ref="R153" r:id="rId168"/>
    <hyperlink ref="R154" r:id="rId169"/>
    <hyperlink ref="R155" r:id="rId170"/>
    <hyperlink ref="R156" r:id="rId171"/>
    <hyperlink ref="R157" r:id="rId172"/>
    <hyperlink ref="R158" r:id="rId173"/>
    <hyperlink ref="R159" r:id="rId174"/>
    <hyperlink ref="R160" r:id="rId175"/>
    <hyperlink ref="R161" r:id="rId176"/>
    <hyperlink ref="R162" r:id="rId177"/>
    <hyperlink ref="R163" r:id="rId178"/>
    <hyperlink ref="R164" r:id="rId179"/>
    <hyperlink ref="R165" r:id="rId180"/>
    <hyperlink ref="R166" r:id="rId181"/>
    <hyperlink ref="R167" r:id="rId182"/>
    <hyperlink ref="R168" r:id="rId183"/>
    <hyperlink ref="R169" r:id="rId184"/>
    <hyperlink ref="R170" r:id="rId185"/>
    <hyperlink ref="R171" r:id="rId186"/>
    <hyperlink ref="R172" r:id="rId187"/>
    <hyperlink ref="R173" r:id="rId188"/>
    <hyperlink ref="R174" r:id="rId189"/>
    <hyperlink ref="R175" r:id="rId190"/>
    <hyperlink ref="R176" r:id="rId191"/>
    <hyperlink ref="R177" r:id="rId192"/>
    <hyperlink ref="R178" r:id="rId193"/>
    <hyperlink ref="R179" r:id="rId194"/>
    <hyperlink ref="R180" r:id="rId195"/>
    <hyperlink ref="R181" r:id="rId196"/>
    <hyperlink ref="R182" r:id="rId197"/>
    <hyperlink ref="R183" r:id="rId198"/>
    <hyperlink ref="R184" r:id="rId199"/>
    <hyperlink ref="R185" r:id="rId200"/>
    <hyperlink ref="R186" r:id="rId201"/>
    <hyperlink ref="R187" r:id="rId202"/>
    <hyperlink ref="R188" r:id="rId203"/>
    <hyperlink ref="R189" r:id="rId204"/>
    <hyperlink ref="R190" r:id="rId205"/>
    <hyperlink ref="R191" r:id="rId206"/>
    <hyperlink ref="R192" r:id="rId207"/>
    <hyperlink ref="R194" r:id="rId208" display="\\file01\projects\Cegeka\Levimo\Localization from W1 to CZ\Estimates\W1_and_CZ\"/>
    <hyperlink ref="R195" r:id="rId209" display="\\file01\projects\Cegeka\Levimo\Localization from W1 to CZ\Estimates\W1_and_CZ\"/>
    <hyperlink ref="R196" r:id="rId210" display="\\file01\projects\Cegeka\Levimo\Localization from W1 to CZ\Estimates\W1_and_CZ\"/>
    <hyperlink ref="R197" r:id="rId211" display="\\file01\projects\Cegeka\Levimo\Localization from W1 to CZ\Estimates\W1_and_CZ\"/>
    <hyperlink ref="R198" r:id="rId212" display="\\file01\projects\Cegeka\Levimo\Localization from W1 to CZ\Estimates\W1_and_CZ\"/>
    <hyperlink ref="R199" r:id="rId213" display="\\file01\projects\Cegeka\Levimo\Localization from W1 to CZ\Estimates\W1_and_CZ\"/>
    <hyperlink ref="R200" r:id="rId214" display="\\file01\projects\Cegeka\Levimo\Localization from W1 to CZ\Estimates\W1_and_CZ\"/>
    <hyperlink ref="R201" r:id="rId215" display="\\file01\projects\Cegeka\Levimo\Localization from W1 to CZ\Estimates\W1_and_CZ\"/>
    <hyperlink ref="R202" r:id="rId216"/>
    <hyperlink ref="R203" r:id="rId217"/>
    <hyperlink ref="R204" r:id="rId218"/>
    <hyperlink ref="R205" r:id="rId219"/>
    <hyperlink ref="R206" r:id="rId220"/>
    <hyperlink ref="R207" r:id="rId221"/>
    <hyperlink ref="R208" r:id="rId222"/>
    <hyperlink ref="R209" r:id="rId223"/>
    <hyperlink ref="R210" r:id="rId224"/>
    <hyperlink ref="R211" r:id="rId225"/>
    <hyperlink ref="R212" r:id="rId226"/>
    <hyperlink ref="R213" r:id="rId227"/>
    <hyperlink ref="R214" r:id="rId228"/>
    <hyperlink ref="R215" r:id="rId229"/>
    <hyperlink ref="R216" r:id="rId230"/>
    <hyperlink ref="R217" r:id="rId231"/>
    <hyperlink ref="R218" r:id="rId232"/>
    <hyperlink ref="R219" r:id="rId233"/>
    <hyperlink ref="R220" r:id="rId234"/>
    <hyperlink ref="R221" r:id="rId235"/>
    <hyperlink ref="R222" r:id="rId236"/>
    <hyperlink ref="R223" r:id="rId237"/>
    <hyperlink ref="R224" r:id="rId238"/>
    <hyperlink ref="R225" r:id="rId239"/>
    <hyperlink ref="R226" r:id="rId240"/>
    <hyperlink ref="R227" r:id="rId241"/>
    <hyperlink ref="R228" r:id="rId242"/>
    <hyperlink ref="R229" r:id="rId243"/>
    <hyperlink ref="R230" r:id="rId244"/>
    <hyperlink ref="R231" r:id="rId245"/>
    <hyperlink ref="R232" r:id="rId246"/>
    <hyperlink ref="R233" r:id="rId247"/>
    <hyperlink ref="R234" r:id="rId248"/>
    <hyperlink ref="R235" r:id="rId249"/>
    <hyperlink ref="R236" r:id="rId250"/>
    <hyperlink ref="R237" r:id="rId251"/>
    <hyperlink ref="R238" r:id="rId252"/>
    <hyperlink ref="R239" r:id="rId253"/>
    <hyperlink ref="R240" r:id="rId254"/>
    <hyperlink ref="R241" r:id="rId255"/>
    <hyperlink ref="R242" r:id="rId256"/>
    <hyperlink ref="R243" r:id="rId257"/>
    <hyperlink ref="R244" r:id="rId258"/>
    <hyperlink ref="R245" r:id="rId259"/>
    <hyperlink ref="R246" r:id="rId260"/>
    <hyperlink ref="R49" r:id="rId261"/>
    <hyperlink ref="R50" r:id="rId262"/>
    <hyperlink ref="R51" r:id="rId263"/>
    <hyperlink ref="R52" r:id="rId264"/>
    <hyperlink ref="R53" r:id="rId265"/>
    <hyperlink ref="R54" r:id="rId266"/>
    <hyperlink ref="R55" r:id="rId267"/>
    <hyperlink ref="R56" r:id="rId268"/>
    <hyperlink ref="R57" r:id="rId269"/>
  </hyperlinks>
  <pageMargins left="0.7" right="0.7" top="0.75" bottom="0.75" header="0.3" footer="0.3"/>
  <pageSetup paperSize="9" orientation="portrait" verticalDpi="0" r:id="rId2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zoomScale="96" zoomScaleNormal="96" workbookViewId="0">
      <pane ySplit="3" topLeftCell="A4" activePane="bottomLeft" state="frozen"/>
      <selection pane="bottomLeft" activeCell="F39" sqref="F39"/>
    </sheetView>
  </sheetViews>
  <sheetFormatPr defaultRowHeight="14.25" x14ac:dyDescent="0.25"/>
  <cols>
    <col min="1" max="1" width="18.42578125" style="2" customWidth="1"/>
    <col min="2" max="3" width="9.42578125" style="5" customWidth="1"/>
    <col min="4" max="4" width="9.42578125" style="14" customWidth="1"/>
    <col min="5" max="9" width="9.42578125" style="25" customWidth="1"/>
    <col min="10" max="10" width="18.85546875" style="2" customWidth="1"/>
    <col min="11" max="11" width="6.42578125" style="23" customWidth="1"/>
    <col min="12" max="13" width="11.140625" style="2" customWidth="1"/>
    <col min="14" max="14" width="16.140625" style="2" customWidth="1"/>
    <col min="15" max="15" width="58.140625" style="2" customWidth="1"/>
    <col min="16" max="16384" width="9.140625" style="2"/>
  </cols>
  <sheetData>
    <row r="1" spans="1:19" ht="15" customHeight="1" x14ac:dyDescent="0.25">
      <c r="A1" s="155" t="s">
        <v>228</v>
      </c>
      <c r="B1" s="155" t="s">
        <v>11</v>
      </c>
      <c r="C1" s="155"/>
      <c r="D1" s="155"/>
      <c r="E1" s="161" t="s">
        <v>225</v>
      </c>
      <c r="F1" s="162"/>
      <c r="G1" s="162"/>
      <c r="H1" s="162"/>
      <c r="I1" s="163"/>
      <c r="J1" s="155" t="s">
        <v>7</v>
      </c>
      <c r="K1" s="155" t="s">
        <v>226</v>
      </c>
      <c r="L1" s="155" t="s">
        <v>0</v>
      </c>
      <c r="M1" s="155" t="s">
        <v>1</v>
      </c>
      <c r="N1" s="155" t="s">
        <v>2</v>
      </c>
      <c r="O1" s="157" t="s">
        <v>3</v>
      </c>
    </row>
    <row r="2" spans="1:19" ht="14.25" customHeight="1" x14ac:dyDescent="0.25">
      <c r="A2" s="156"/>
      <c r="B2" s="156"/>
      <c r="C2" s="156"/>
      <c r="D2" s="156"/>
      <c r="E2" s="167" t="s">
        <v>8</v>
      </c>
      <c r="F2" s="167"/>
      <c r="G2" s="167" t="s">
        <v>229</v>
      </c>
      <c r="H2" s="167"/>
      <c r="I2" s="159" t="s">
        <v>240</v>
      </c>
      <c r="J2" s="156"/>
      <c r="K2" s="156"/>
      <c r="L2" s="156"/>
      <c r="M2" s="156"/>
      <c r="N2" s="156"/>
      <c r="O2" s="158"/>
    </row>
    <row r="3" spans="1:19" ht="28.5" x14ac:dyDescent="0.25">
      <c r="A3" s="156"/>
      <c r="B3" s="63" t="s">
        <v>8</v>
      </c>
      <c r="C3" s="63" t="s">
        <v>14</v>
      </c>
      <c r="D3" s="63" t="s">
        <v>6</v>
      </c>
      <c r="E3" s="145" t="s">
        <v>4</v>
      </c>
      <c r="F3" s="145" t="s">
        <v>5</v>
      </c>
      <c r="G3" s="145" t="s">
        <v>4</v>
      </c>
      <c r="H3" s="145" t="s">
        <v>5</v>
      </c>
      <c r="I3" s="160"/>
      <c r="J3" s="156"/>
      <c r="K3" s="156"/>
      <c r="L3" s="156"/>
      <c r="M3" s="156"/>
      <c r="N3" s="156"/>
      <c r="O3" s="158"/>
    </row>
    <row r="4" spans="1:19" s="77" customFormat="1" ht="15" x14ac:dyDescent="0.25">
      <c r="A4" s="73"/>
      <c r="B4" s="71">
        <v>176</v>
      </c>
      <c r="C4" s="71">
        <v>289</v>
      </c>
      <c r="D4" s="72">
        <f t="shared" ref="D4:D84" si="0">B4+C4</f>
        <v>465</v>
      </c>
      <c r="E4" s="98"/>
      <c r="F4" s="98"/>
      <c r="G4" s="98"/>
      <c r="H4" s="98"/>
      <c r="I4" s="98"/>
      <c r="J4" s="73" t="s">
        <v>25</v>
      </c>
      <c r="K4" s="75" t="s">
        <v>227</v>
      </c>
      <c r="L4" s="75">
        <v>2018</v>
      </c>
      <c r="M4" s="75">
        <v>2018</v>
      </c>
      <c r="N4" s="73" t="s">
        <v>29</v>
      </c>
      <c r="O4" s="76" t="s">
        <v>30</v>
      </c>
    </row>
    <row r="5" spans="1:19" s="118" customFormat="1" ht="15" x14ac:dyDescent="0.25">
      <c r="A5" s="111" t="s">
        <v>230</v>
      </c>
      <c r="B5" s="112">
        <v>33</v>
      </c>
      <c r="C5" s="112">
        <v>88</v>
      </c>
      <c r="D5" s="72">
        <f>SUM(B5:C5)</f>
        <v>121</v>
      </c>
      <c r="E5" s="113">
        <v>66</v>
      </c>
      <c r="F5" s="113">
        <v>0</v>
      </c>
      <c r="G5" s="113">
        <v>264</v>
      </c>
      <c r="H5" s="113">
        <v>0</v>
      </c>
      <c r="I5" s="98">
        <f>SUM(E5:H5)</f>
        <v>330</v>
      </c>
      <c r="J5" s="115" t="s">
        <v>26</v>
      </c>
      <c r="K5" s="116" t="s">
        <v>227</v>
      </c>
      <c r="L5" s="116">
        <v>2018</v>
      </c>
      <c r="M5" s="116">
        <v>2018</v>
      </c>
      <c r="N5" s="115" t="s">
        <v>29</v>
      </c>
      <c r="O5" s="117" t="s">
        <v>30</v>
      </c>
    </row>
    <row r="6" spans="1:19" s="118" customFormat="1" ht="15" x14ac:dyDescent="0.25">
      <c r="A6" s="111" t="s">
        <v>231</v>
      </c>
      <c r="B6" s="112">
        <v>51</v>
      </c>
      <c r="C6" s="112">
        <v>27</v>
      </c>
      <c r="D6" s="72">
        <f t="shared" ref="D6:D13" si="1">SUM(B6:C6)</f>
        <v>78</v>
      </c>
      <c r="E6" s="113">
        <v>51</v>
      </c>
      <c r="F6" s="113">
        <v>0</v>
      </c>
      <c r="G6" s="113">
        <v>83</v>
      </c>
      <c r="H6" s="113">
        <v>0</v>
      </c>
      <c r="I6" s="98">
        <f t="shared" ref="I6:I13" si="2">SUM(E6:H6)</f>
        <v>134</v>
      </c>
      <c r="J6" s="115" t="s">
        <v>26</v>
      </c>
      <c r="K6" s="116" t="s">
        <v>227</v>
      </c>
      <c r="L6" s="116">
        <v>2018</v>
      </c>
      <c r="M6" s="116">
        <v>2018</v>
      </c>
      <c r="N6" s="115" t="s">
        <v>29</v>
      </c>
      <c r="O6" s="117" t="s">
        <v>30</v>
      </c>
    </row>
    <row r="7" spans="1:19" s="118" customFormat="1" ht="15" x14ac:dyDescent="0.25">
      <c r="A7" s="111" t="s">
        <v>232</v>
      </c>
      <c r="B7" s="112">
        <v>0</v>
      </c>
      <c r="C7" s="112">
        <v>0</v>
      </c>
      <c r="D7" s="72">
        <f t="shared" si="1"/>
        <v>0</v>
      </c>
      <c r="E7" s="113">
        <v>0</v>
      </c>
      <c r="F7" s="113">
        <v>0</v>
      </c>
      <c r="G7" s="113">
        <v>0</v>
      </c>
      <c r="H7" s="113">
        <v>0</v>
      </c>
      <c r="I7" s="98">
        <f t="shared" si="2"/>
        <v>0</v>
      </c>
      <c r="J7" s="115" t="s">
        <v>26</v>
      </c>
      <c r="K7" s="116" t="s">
        <v>227</v>
      </c>
      <c r="L7" s="116">
        <v>2018</v>
      </c>
      <c r="M7" s="116">
        <v>2018</v>
      </c>
      <c r="N7" s="115" t="s">
        <v>29</v>
      </c>
      <c r="O7" s="117" t="s">
        <v>30</v>
      </c>
    </row>
    <row r="8" spans="1:19" s="118" customFormat="1" ht="15" x14ac:dyDescent="0.25">
      <c r="A8" s="111" t="s">
        <v>233</v>
      </c>
      <c r="B8" s="112">
        <v>0</v>
      </c>
      <c r="C8" s="112">
        <v>0</v>
      </c>
      <c r="D8" s="72">
        <f t="shared" si="1"/>
        <v>0</v>
      </c>
      <c r="E8" s="113">
        <v>0</v>
      </c>
      <c r="F8" s="113">
        <v>0</v>
      </c>
      <c r="G8" s="113">
        <v>0</v>
      </c>
      <c r="H8" s="113">
        <v>0</v>
      </c>
      <c r="I8" s="98">
        <f t="shared" si="2"/>
        <v>0</v>
      </c>
      <c r="J8" s="115" t="s">
        <v>26</v>
      </c>
      <c r="K8" s="116" t="s">
        <v>227</v>
      </c>
      <c r="L8" s="116">
        <v>2018</v>
      </c>
      <c r="M8" s="116">
        <v>2018</v>
      </c>
      <c r="N8" s="115" t="s">
        <v>29</v>
      </c>
      <c r="O8" s="117" t="s">
        <v>30</v>
      </c>
    </row>
    <row r="9" spans="1:19" s="118" customFormat="1" ht="15" x14ac:dyDescent="0.25">
      <c r="A9" s="111" t="s">
        <v>234</v>
      </c>
      <c r="B9" s="112">
        <v>66</v>
      </c>
      <c r="C9" s="112">
        <v>166</v>
      </c>
      <c r="D9" s="72">
        <f t="shared" si="1"/>
        <v>232</v>
      </c>
      <c r="E9" s="113">
        <v>330</v>
      </c>
      <c r="F9" s="113">
        <v>330</v>
      </c>
      <c r="G9" s="113">
        <v>510</v>
      </c>
      <c r="H9" s="113">
        <v>860</v>
      </c>
      <c r="I9" s="98">
        <f t="shared" si="2"/>
        <v>2030</v>
      </c>
      <c r="J9" s="115" t="s">
        <v>26</v>
      </c>
      <c r="K9" s="116" t="s">
        <v>227</v>
      </c>
      <c r="L9" s="116">
        <v>2018</v>
      </c>
      <c r="M9" s="116">
        <v>2018</v>
      </c>
      <c r="N9" s="115" t="s">
        <v>29</v>
      </c>
      <c r="O9" s="117" t="s">
        <v>30</v>
      </c>
    </row>
    <row r="10" spans="1:19" s="118" customFormat="1" ht="15" x14ac:dyDescent="0.25">
      <c r="A10" s="111" t="s">
        <v>235</v>
      </c>
      <c r="B10" s="112">
        <v>1</v>
      </c>
      <c r="C10" s="112">
        <v>0</v>
      </c>
      <c r="D10" s="72">
        <f t="shared" si="1"/>
        <v>1</v>
      </c>
      <c r="E10" s="113">
        <v>10</v>
      </c>
      <c r="F10" s="113">
        <v>120</v>
      </c>
      <c r="G10" s="113">
        <v>0</v>
      </c>
      <c r="H10" s="113">
        <v>0</v>
      </c>
      <c r="I10" s="98">
        <f t="shared" si="2"/>
        <v>130</v>
      </c>
      <c r="J10" s="115" t="s">
        <v>26</v>
      </c>
      <c r="K10" s="116" t="s">
        <v>227</v>
      </c>
      <c r="L10" s="116">
        <v>2018</v>
      </c>
      <c r="M10" s="116">
        <v>2018</v>
      </c>
      <c r="N10" s="115" t="s">
        <v>29</v>
      </c>
      <c r="O10" s="117" t="s">
        <v>30</v>
      </c>
    </row>
    <row r="11" spans="1:19" s="118" customFormat="1" ht="15" x14ac:dyDescent="0.25">
      <c r="A11" s="111" t="s">
        <v>236</v>
      </c>
      <c r="B11" s="112">
        <v>19</v>
      </c>
      <c r="C11" s="112">
        <v>8</v>
      </c>
      <c r="D11" s="72">
        <f t="shared" si="1"/>
        <v>27</v>
      </c>
      <c r="E11" s="113">
        <v>95</v>
      </c>
      <c r="F11" s="113">
        <v>190</v>
      </c>
      <c r="G11" s="113">
        <v>80</v>
      </c>
      <c r="H11" s="113">
        <v>80</v>
      </c>
      <c r="I11" s="98">
        <f t="shared" si="2"/>
        <v>445</v>
      </c>
      <c r="J11" s="115" t="s">
        <v>26</v>
      </c>
      <c r="K11" s="116" t="s">
        <v>227</v>
      </c>
      <c r="L11" s="116">
        <v>2018</v>
      </c>
      <c r="M11" s="116">
        <v>2018</v>
      </c>
      <c r="N11" s="115" t="s">
        <v>29</v>
      </c>
      <c r="O11" s="117" t="s">
        <v>30</v>
      </c>
    </row>
    <row r="12" spans="1:19" s="118" customFormat="1" ht="15" x14ac:dyDescent="0.25">
      <c r="A12" s="111" t="s">
        <v>237</v>
      </c>
      <c r="B12" s="112">
        <v>1</v>
      </c>
      <c r="C12" s="112">
        <v>0</v>
      </c>
      <c r="D12" s="72">
        <f t="shared" si="1"/>
        <v>1</v>
      </c>
      <c r="E12" s="113">
        <v>1</v>
      </c>
      <c r="F12" s="113">
        <v>20</v>
      </c>
      <c r="G12" s="113">
        <v>0</v>
      </c>
      <c r="H12" s="113">
        <v>0</v>
      </c>
      <c r="I12" s="98">
        <f t="shared" si="2"/>
        <v>21</v>
      </c>
      <c r="J12" s="115" t="s">
        <v>26</v>
      </c>
      <c r="K12" s="116" t="s">
        <v>227</v>
      </c>
      <c r="L12" s="116">
        <v>2018</v>
      </c>
      <c r="M12" s="116">
        <v>2018</v>
      </c>
      <c r="N12" s="115" t="s">
        <v>29</v>
      </c>
      <c r="O12" s="117" t="s">
        <v>30</v>
      </c>
    </row>
    <row r="13" spans="1:19" s="118" customFormat="1" ht="15" x14ac:dyDescent="0.25">
      <c r="A13" s="111" t="s">
        <v>238</v>
      </c>
      <c r="B13" s="112">
        <v>5</v>
      </c>
      <c r="C13" s="112">
        <v>0</v>
      </c>
      <c r="D13" s="72">
        <f t="shared" si="1"/>
        <v>5</v>
      </c>
      <c r="E13" s="113">
        <v>5</v>
      </c>
      <c r="F13" s="113">
        <v>0</v>
      </c>
      <c r="G13" s="113">
        <v>0</v>
      </c>
      <c r="H13" s="113">
        <v>0</v>
      </c>
      <c r="I13" s="98">
        <f t="shared" si="2"/>
        <v>5</v>
      </c>
      <c r="J13" s="115" t="s">
        <v>26</v>
      </c>
      <c r="K13" s="116" t="s">
        <v>227</v>
      </c>
      <c r="L13" s="116">
        <v>2018</v>
      </c>
      <c r="M13" s="116">
        <v>2018</v>
      </c>
      <c r="N13" s="115" t="s">
        <v>29</v>
      </c>
      <c r="O13" s="117" t="s">
        <v>30</v>
      </c>
    </row>
    <row r="14" spans="1:19" s="77" customFormat="1" ht="15" x14ac:dyDescent="0.25">
      <c r="A14" s="70" t="s">
        <v>239</v>
      </c>
      <c r="B14" s="71">
        <f>SUM(B5:B13)</f>
        <v>176</v>
      </c>
      <c r="C14" s="71">
        <f t="shared" ref="C14:I14" si="3">SUM(C5:C13)</f>
        <v>289</v>
      </c>
      <c r="D14" s="71">
        <f>SUM(D5:D13)</f>
        <v>465</v>
      </c>
      <c r="E14" s="71">
        <f t="shared" si="3"/>
        <v>558</v>
      </c>
      <c r="F14" s="71">
        <f t="shared" si="3"/>
        <v>660</v>
      </c>
      <c r="G14" s="71">
        <f t="shared" si="3"/>
        <v>937</v>
      </c>
      <c r="H14" s="71">
        <f t="shared" si="3"/>
        <v>940</v>
      </c>
      <c r="I14" s="71">
        <f t="shared" si="3"/>
        <v>3095</v>
      </c>
      <c r="J14" s="115" t="s">
        <v>26</v>
      </c>
      <c r="K14" s="116" t="s">
        <v>227</v>
      </c>
      <c r="L14" s="116">
        <v>2018</v>
      </c>
      <c r="M14" s="116">
        <v>2018</v>
      </c>
      <c r="N14" s="115" t="s">
        <v>29</v>
      </c>
      <c r="O14" s="117" t="s">
        <v>30</v>
      </c>
      <c r="P14" s="118"/>
      <c r="Q14" s="118"/>
      <c r="R14" s="118"/>
      <c r="S14" s="118"/>
    </row>
    <row r="15" spans="1:19" s="148" customFormat="1" ht="15" x14ac:dyDescent="0.25">
      <c r="A15" s="146"/>
      <c r="B15" s="99">
        <v>378</v>
      </c>
      <c r="C15" s="99">
        <v>245</v>
      </c>
      <c r="D15" s="100">
        <v>623</v>
      </c>
      <c r="E15" s="101"/>
      <c r="F15" s="101"/>
      <c r="G15" s="101"/>
      <c r="H15" s="101"/>
      <c r="I15" s="101"/>
      <c r="J15" s="146"/>
      <c r="K15" s="147"/>
      <c r="L15" s="147" t="s">
        <v>10</v>
      </c>
      <c r="M15" s="147">
        <v>2016</v>
      </c>
      <c r="N15" s="146" t="s">
        <v>115</v>
      </c>
      <c r="O15" s="105" t="s">
        <v>116</v>
      </c>
    </row>
    <row r="16" spans="1:19" s="106" customFormat="1" ht="15" x14ac:dyDescent="0.25">
      <c r="A16" s="139" t="s">
        <v>230</v>
      </c>
      <c r="B16" s="102">
        <v>53</v>
      </c>
      <c r="C16" s="102">
        <v>57</v>
      </c>
      <c r="D16" s="100">
        <f>SUM(B16:C16)</f>
        <v>110</v>
      </c>
      <c r="E16" s="140">
        <v>1.1666666666666667</v>
      </c>
      <c r="F16" s="140">
        <v>0</v>
      </c>
      <c r="G16" s="140">
        <v>2.9333333333333331</v>
      </c>
      <c r="H16" s="140">
        <v>0</v>
      </c>
      <c r="I16" s="101">
        <f>SUM(E16:H16)</f>
        <v>4.0999999999999996</v>
      </c>
      <c r="J16" s="103"/>
      <c r="K16" s="103"/>
      <c r="L16" s="104" t="s">
        <v>10</v>
      </c>
      <c r="M16" s="104">
        <v>2016</v>
      </c>
      <c r="N16" s="103" t="s">
        <v>115</v>
      </c>
      <c r="O16" s="141" t="s">
        <v>116</v>
      </c>
    </row>
    <row r="17" spans="1:15" s="106" customFormat="1" ht="15" x14ac:dyDescent="0.25">
      <c r="A17" s="139" t="s">
        <v>231</v>
      </c>
      <c r="B17" s="102">
        <v>45</v>
      </c>
      <c r="C17" s="102">
        <v>36</v>
      </c>
      <c r="D17" s="100">
        <f t="shared" ref="D17:D24" si="4">SUM(B17:C17)</f>
        <v>81</v>
      </c>
      <c r="E17" s="140">
        <v>0.26666666666666666</v>
      </c>
      <c r="F17" s="140">
        <v>0</v>
      </c>
      <c r="G17" s="140">
        <v>2.1166666666666667</v>
      </c>
      <c r="H17" s="140">
        <v>0</v>
      </c>
      <c r="I17" s="101">
        <f t="shared" ref="I17:I24" si="5">SUM(E17:H17)</f>
        <v>2.3833333333333333</v>
      </c>
      <c r="J17" s="103"/>
      <c r="K17" s="103"/>
      <c r="L17" s="104" t="s">
        <v>10</v>
      </c>
      <c r="M17" s="104">
        <v>2016</v>
      </c>
      <c r="N17" s="103" t="s">
        <v>115</v>
      </c>
      <c r="O17" s="141" t="s">
        <v>116</v>
      </c>
    </row>
    <row r="18" spans="1:15" s="106" customFormat="1" ht="15" x14ac:dyDescent="0.25">
      <c r="A18" s="139" t="s">
        <v>232</v>
      </c>
      <c r="B18" s="102">
        <v>34</v>
      </c>
      <c r="C18" s="102">
        <v>0</v>
      </c>
      <c r="D18" s="100">
        <f t="shared" si="4"/>
        <v>34</v>
      </c>
      <c r="E18" s="140">
        <v>7.916666666666667</v>
      </c>
      <c r="F18" s="140">
        <v>0</v>
      </c>
      <c r="G18" s="140">
        <v>0</v>
      </c>
      <c r="H18" s="140">
        <v>0</v>
      </c>
      <c r="I18" s="101">
        <f t="shared" si="5"/>
        <v>7.916666666666667</v>
      </c>
      <c r="J18" s="103"/>
      <c r="K18" s="103"/>
      <c r="L18" s="104" t="s">
        <v>10</v>
      </c>
      <c r="M18" s="104">
        <v>2016</v>
      </c>
      <c r="N18" s="103" t="s">
        <v>115</v>
      </c>
      <c r="O18" s="141" t="s">
        <v>116</v>
      </c>
    </row>
    <row r="19" spans="1:15" s="106" customFormat="1" ht="15" x14ac:dyDescent="0.25">
      <c r="A19" s="139" t="s">
        <v>233</v>
      </c>
      <c r="B19" s="102">
        <v>0</v>
      </c>
      <c r="C19" s="102">
        <v>0</v>
      </c>
      <c r="D19" s="100">
        <f t="shared" si="4"/>
        <v>0</v>
      </c>
      <c r="E19" s="140">
        <v>3.15</v>
      </c>
      <c r="F19" s="140">
        <v>0</v>
      </c>
      <c r="G19" s="140">
        <v>0</v>
      </c>
      <c r="H19" s="140">
        <v>0</v>
      </c>
      <c r="I19" s="101">
        <f t="shared" si="5"/>
        <v>3.15</v>
      </c>
      <c r="J19" s="103"/>
      <c r="K19" s="103"/>
      <c r="L19" s="104" t="s">
        <v>10</v>
      </c>
      <c r="M19" s="104">
        <v>2016</v>
      </c>
      <c r="N19" s="103" t="s">
        <v>115</v>
      </c>
      <c r="O19" s="141" t="s">
        <v>116</v>
      </c>
    </row>
    <row r="20" spans="1:15" s="106" customFormat="1" ht="15" x14ac:dyDescent="0.25">
      <c r="A20" s="139" t="s">
        <v>234</v>
      </c>
      <c r="B20" s="102">
        <v>75</v>
      </c>
      <c r="C20" s="102">
        <v>73</v>
      </c>
      <c r="D20" s="100">
        <f t="shared" si="4"/>
        <v>148</v>
      </c>
      <c r="E20" s="140">
        <v>4.25</v>
      </c>
      <c r="F20" s="140">
        <v>0</v>
      </c>
      <c r="G20" s="140">
        <v>143.18333333333334</v>
      </c>
      <c r="H20" s="140">
        <v>0</v>
      </c>
      <c r="I20" s="101">
        <f t="shared" si="5"/>
        <v>147.43333333333334</v>
      </c>
      <c r="J20" s="103"/>
      <c r="K20" s="103"/>
      <c r="L20" s="104" t="s">
        <v>10</v>
      </c>
      <c r="M20" s="104">
        <v>2016</v>
      </c>
      <c r="N20" s="103" t="s">
        <v>115</v>
      </c>
      <c r="O20" s="141" t="s">
        <v>116</v>
      </c>
    </row>
    <row r="21" spans="1:15" s="106" customFormat="1" ht="15" x14ac:dyDescent="0.25">
      <c r="A21" s="139" t="s">
        <v>235</v>
      </c>
      <c r="B21" s="102">
        <v>8</v>
      </c>
      <c r="C21" s="102">
        <v>3</v>
      </c>
      <c r="D21" s="100">
        <f t="shared" si="4"/>
        <v>11</v>
      </c>
      <c r="E21" s="140">
        <v>1</v>
      </c>
      <c r="F21" s="140">
        <v>0</v>
      </c>
      <c r="G21" s="140">
        <v>0.5</v>
      </c>
      <c r="H21" s="140">
        <v>0</v>
      </c>
      <c r="I21" s="101">
        <f t="shared" si="5"/>
        <v>1.5</v>
      </c>
      <c r="J21" s="103"/>
      <c r="K21" s="103"/>
      <c r="L21" s="104" t="s">
        <v>10</v>
      </c>
      <c r="M21" s="104">
        <v>2016</v>
      </c>
      <c r="N21" s="103" t="s">
        <v>115</v>
      </c>
      <c r="O21" s="141" t="s">
        <v>116</v>
      </c>
    </row>
    <row r="22" spans="1:15" s="106" customFormat="1" ht="15" x14ac:dyDescent="0.25">
      <c r="A22" s="139" t="s">
        <v>236</v>
      </c>
      <c r="B22" s="102">
        <v>68</v>
      </c>
      <c r="C22" s="102">
        <v>13</v>
      </c>
      <c r="D22" s="100">
        <f t="shared" si="4"/>
        <v>81</v>
      </c>
      <c r="E22" s="140">
        <v>91.75</v>
      </c>
      <c r="F22" s="140">
        <v>0</v>
      </c>
      <c r="G22" s="140">
        <v>8</v>
      </c>
      <c r="H22" s="140">
        <v>0</v>
      </c>
      <c r="I22" s="101">
        <f t="shared" si="5"/>
        <v>99.75</v>
      </c>
      <c r="J22" s="103"/>
      <c r="K22" s="103"/>
      <c r="L22" s="104" t="s">
        <v>10</v>
      </c>
      <c r="M22" s="104">
        <v>2016</v>
      </c>
      <c r="N22" s="103" t="s">
        <v>115</v>
      </c>
      <c r="O22" s="141" t="s">
        <v>116</v>
      </c>
    </row>
    <row r="23" spans="1:15" s="106" customFormat="1" ht="15" x14ac:dyDescent="0.25">
      <c r="A23" s="139" t="s">
        <v>237</v>
      </c>
      <c r="B23" s="102">
        <v>28</v>
      </c>
      <c r="C23" s="102">
        <v>0</v>
      </c>
      <c r="D23" s="100">
        <f t="shared" si="4"/>
        <v>28</v>
      </c>
      <c r="E23" s="140">
        <v>0.15</v>
      </c>
      <c r="F23" s="140">
        <v>0</v>
      </c>
      <c r="G23" s="140">
        <v>0</v>
      </c>
      <c r="H23" s="140">
        <v>0</v>
      </c>
      <c r="I23" s="101">
        <f t="shared" si="5"/>
        <v>0.15</v>
      </c>
      <c r="J23" s="103"/>
      <c r="K23" s="103"/>
      <c r="L23" s="104" t="s">
        <v>10</v>
      </c>
      <c r="M23" s="104">
        <v>2016</v>
      </c>
      <c r="N23" s="103" t="s">
        <v>115</v>
      </c>
      <c r="O23" s="141" t="s">
        <v>116</v>
      </c>
    </row>
    <row r="24" spans="1:15" s="106" customFormat="1" ht="15" x14ac:dyDescent="0.25">
      <c r="A24" s="139" t="s">
        <v>238</v>
      </c>
      <c r="B24" s="102">
        <v>0</v>
      </c>
      <c r="C24" s="102">
        <v>0</v>
      </c>
      <c r="D24" s="100">
        <f t="shared" si="4"/>
        <v>0</v>
      </c>
      <c r="E24" s="140">
        <v>0</v>
      </c>
      <c r="F24" s="140">
        <v>0</v>
      </c>
      <c r="G24" s="140">
        <v>0</v>
      </c>
      <c r="H24" s="140">
        <v>0</v>
      </c>
      <c r="I24" s="101">
        <f t="shared" si="5"/>
        <v>0</v>
      </c>
      <c r="J24" s="103"/>
      <c r="K24" s="103"/>
      <c r="L24" s="104" t="s">
        <v>10</v>
      </c>
      <c r="M24" s="104">
        <v>2016</v>
      </c>
      <c r="N24" s="103" t="s">
        <v>115</v>
      </c>
      <c r="O24" s="141" t="s">
        <v>116</v>
      </c>
    </row>
    <row r="25" spans="1:15" s="148" customFormat="1" ht="15" x14ac:dyDescent="0.25">
      <c r="A25" s="149" t="s">
        <v>239</v>
      </c>
      <c r="B25" s="99">
        <f t="shared" ref="B25:I25" si="6">SUM(B16:B24)</f>
        <v>311</v>
      </c>
      <c r="C25" s="99">
        <f t="shared" si="6"/>
        <v>182</v>
      </c>
      <c r="D25" s="99">
        <f t="shared" si="6"/>
        <v>493</v>
      </c>
      <c r="E25" s="99">
        <f t="shared" si="6"/>
        <v>109.65</v>
      </c>
      <c r="F25" s="99">
        <f t="shared" si="6"/>
        <v>0</v>
      </c>
      <c r="G25" s="99">
        <f t="shared" si="6"/>
        <v>156.73333333333335</v>
      </c>
      <c r="H25" s="99">
        <f t="shared" si="6"/>
        <v>0</v>
      </c>
      <c r="I25" s="99">
        <f t="shared" si="6"/>
        <v>266.38333333333333</v>
      </c>
      <c r="J25" s="146"/>
      <c r="K25" s="146"/>
      <c r="L25" s="150"/>
      <c r="M25" s="147"/>
      <c r="N25" s="146"/>
      <c r="O25" s="151"/>
    </row>
    <row r="26" spans="1:15" s="77" customFormat="1" ht="15" x14ac:dyDescent="0.25">
      <c r="A26" s="73"/>
      <c r="B26" s="71">
        <v>211</v>
      </c>
      <c r="C26" s="71">
        <v>207</v>
      </c>
      <c r="D26" s="72">
        <v>418</v>
      </c>
      <c r="E26" s="98"/>
      <c r="F26" s="98"/>
      <c r="G26" s="98"/>
      <c r="H26" s="98"/>
      <c r="I26" s="98"/>
      <c r="J26" s="73"/>
      <c r="K26" s="75"/>
      <c r="L26" s="75" t="s">
        <v>10</v>
      </c>
      <c r="M26" s="75">
        <v>2016</v>
      </c>
      <c r="N26" s="73" t="s">
        <v>110</v>
      </c>
      <c r="O26" s="76" t="s">
        <v>109</v>
      </c>
    </row>
    <row r="27" spans="1:15" s="118" customFormat="1" ht="15" x14ac:dyDescent="0.25">
      <c r="A27" s="111" t="s">
        <v>230</v>
      </c>
      <c r="B27" s="112">
        <v>34</v>
      </c>
      <c r="C27" s="112">
        <v>59</v>
      </c>
      <c r="D27" s="72">
        <f>SUM(B27:C27)</f>
        <v>93</v>
      </c>
      <c r="E27" s="113">
        <v>0.73333333333333328</v>
      </c>
      <c r="F27" s="113">
        <v>0.24444444444444444</v>
      </c>
      <c r="G27" s="113">
        <v>3.05</v>
      </c>
      <c r="H27" s="113">
        <v>1.0166666666666666</v>
      </c>
      <c r="I27" s="98">
        <f>SUM(E27:H27)</f>
        <v>5.0444444444444443</v>
      </c>
      <c r="J27" s="115"/>
      <c r="K27" s="115"/>
      <c r="L27" s="116" t="s">
        <v>10</v>
      </c>
      <c r="M27" s="116">
        <v>2016</v>
      </c>
      <c r="N27" s="115" t="s">
        <v>110</v>
      </c>
      <c r="O27" s="117" t="s">
        <v>109</v>
      </c>
    </row>
    <row r="28" spans="1:15" s="118" customFormat="1" ht="15" x14ac:dyDescent="0.25">
      <c r="A28" s="111" t="s">
        <v>231</v>
      </c>
      <c r="B28" s="112">
        <v>23</v>
      </c>
      <c r="C28" s="112">
        <v>14</v>
      </c>
      <c r="D28" s="72">
        <f t="shared" ref="D28:D35" si="7">SUM(B28:C28)</f>
        <v>37</v>
      </c>
      <c r="E28" s="113">
        <v>0.11666666666666667</v>
      </c>
      <c r="F28" s="113">
        <v>3.888888888888889E-2</v>
      </c>
      <c r="G28" s="113">
        <v>0.78333333333333333</v>
      </c>
      <c r="H28" s="113">
        <v>0.26111111111111113</v>
      </c>
      <c r="I28" s="98">
        <f t="shared" ref="I28:I35" si="8">SUM(E28:H28)</f>
        <v>1.2</v>
      </c>
      <c r="J28" s="115"/>
      <c r="K28" s="115"/>
      <c r="L28" s="116" t="s">
        <v>10</v>
      </c>
      <c r="M28" s="116">
        <v>2016</v>
      </c>
      <c r="N28" s="115" t="s">
        <v>110</v>
      </c>
      <c r="O28" s="117" t="s">
        <v>109</v>
      </c>
    </row>
    <row r="29" spans="1:15" s="118" customFormat="1" ht="15" x14ac:dyDescent="0.25">
      <c r="A29" s="111" t="s">
        <v>232</v>
      </c>
      <c r="B29" s="112">
        <v>26</v>
      </c>
      <c r="C29" s="112">
        <v>0</v>
      </c>
      <c r="D29" s="72">
        <f t="shared" si="7"/>
        <v>26</v>
      </c>
      <c r="E29" s="113">
        <v>2.1666666666666665</v>
      </c>
      <c r="F29" s="113">
        <v>2.3333333333333335</v>
      </c>
      <c r="G29" s="113">
        <v>0</v>
      </c>
      <c r="H29" s="113">
        <v>0</v>
      </c>
      <c r="I29" s="98">
        <f t="shared" si="8"/>
        <v>4.5</v>
      </c>
      <c r="J29" s="115"/>
      <c r="K29" s="115"/>
      <c r="L29" s="116" t="s">
        <v>10</v>
      </c>
      <c r="M29" s="116">
        <v>2016</v>
      </c>
      <c r="N29" s="115" t="s">
        <v>110</v>
      </c>
      <c r="O29" s="117" t="s">
        <v>109</v>
      </c>
    </row>
    <row r="30" spans="1:15" s="118" customFormat="1" ht="15" x14ac:dyDescent="0.25">
      <c r="A30" s="111" t="s">
        <v>233</v>
      </c>
      <c r="B30" s="112">
        <v>40</v>
      </c>
      <c r="C30" s="112">
        <v>65</v>
      </c>
      <c r="D30" s="72">
        <f t="shared" si="7"/>
        <v>105</v>
      </c>
      <c r="E30" s="113">
        <v>0.35</v>
      </c>
      <c r="F30" s="113">
        <v>1</v>
      </c>
      <c r="G30" s="113">
        <v>8.4</v>
      </c>
      <c r="H30" s="113">
        <v>12.833333333333334</v>
      </c>
      <c r="I30" s="98">
        <f t="shared" si="8"/>
        <v>22.583333333333336</v>
      </c>
      <c r="J30" s="115"/>
      <c r="K30" s="115"/>
      <c r="L30" s="116" t="s">
        <v>10</v>
      </c>
      <c r="M30" s="116">
        <v>2016</v>
      </c>
      <c r="N30" s="115" t="s">
        <v>110</v>
      </c>
      <c r="O30" s="117" t="s">
        <v>109</v>
      </c>
    </row>
    <row r="31" spans="1:15" s="118" customFormat="1" ht="15" x14ac:dyDescent="0.25">
      <c r="A31" s="111" t="s">
        <v>234</v>
      </c>
      <c r="B31" s="112">
        <v>39</v>
      </c>
      <c r="C31" s="112">
        <v>60</v>
      </c>
      <c r="D31" s="72">
        <f t="shared" si="7"/>
        <v>99</v>
      </c>
      <c r="E31" s="113">
        <v>1.25</v>
      </c>
      <c r="F31" s="113">
        <v>1.25</v>
      </c>
      <c r="G31" s="113">
        <v>113.45</v>
      </c>
      <c r="H31" s="113">
        <v>127.5</v>
      </c>
      <c r="I31" s="98">
        <f t="shared" si="8"/>
        <v>243.45</v>
      </c>
      <c r="J31" s="115"/>
      <c r="K31" s="115"/>
      <c r="L31" s="116" t="s">
        <v>10</v>
      </c>
      <c r="M31" s="116">
        <v>2016</v>
      </c>
      <c r="N31" s="115" t="s">
        <v>110</v>
      </c>
      <c r="O31" s="117" t="s">
        <v>109</v>
      </c>
    </row>
    <row r="32" spans="1:15" s="118" customFormat="1" ht="15" x14ac:dyDescent="0.25">
      <c r="A32" s="111" t="s">
        <v>235</v>
      </c>
      <c r="B32" s="112">
        <v>5</v>
      </c>
      <c r="C32" s="112">
        <v>0</v>
      </c>
      <c r="D32" s="72">
        <f t="shared" si="7"/>
        <v>5</v>
      </c>
      <c r="E32" s="113">
        <v>0</v>
      </c>
      <c r="F32" s="113">
        <v>8</v>
      </c>
      <c r="G32" s="113">
        <v>0</v>
      </c>
      <c r="H32" s="113">
        <v>0</v>
      </c>
      <c r="I32" s="98">
        <f t="shared" si="8"/>
        <v>8</v>
      </c>
      <c r="J32" s="115"/>
      <c r="K32" s="115"/>
      <c r="L32" s="116" t="s">
        <v>10</v>
      </c>
      <c r="M32" s="116">
        <v>2016</v>
      </c>
      <c r="N32" s="115" t="s">
        <v>110</v>
      </c>
      <c r="O32" s="117" t="s">
        <v>109</v>
      </c>
    </row>
    <row r="33" spans="1:15" s="118" customFormat="1" ht="15" x14ac:dyDescent="0.25">
      <c r="A33" s="111" t="s">
        <v>236</v>
      </c>
      <c r="B33" s="112">
        <v>23</v>
      </c>
      <c r="C33" s="112">
        <v>9</v>
      </c>
      <c r="D33" s="72">
        <f t="shared" si="7"/>
        <v>32</v>
      </c>
      <c r="E33" s="113">
        <v>15</v>
      </c>
      <c r="F33" s="113">
        <v>7</v>
      </c>
      <c r="G33" s="113">
        <v>4.333333333333333</v>
      </c>
      <c r="H33" s="113">
        <v>4.333333333333333</v>
      </c>
      <c r="I33" s="98">
        <f t="shared" si="8"/>
        <v>30.666666666666664</v>
      </c>
      <c r="J33" s="115"/>
      <c r="K33" s="115"/>
      <c r="L33" s="116" t="s">
        <v>10</v>
      </c>
      <c r="M33" s="116">
        <v>2016</v>
      </c>
      <c r="N33" s="115" t="s">
        <v>110</v>
      </c>
      <c r="O33" s="117" t="s">
        <v>109</v>
      </c>
    </row>
    <row r="34" spans="1:15" s="118" customFormat="1" ht="15" x14ac:dyDescent="0.25">
      <c r="A34" s="111" t="s">
        <v>237</v>
      </c>
      <c r="B34" s="112">
        <v>21</v>
      </c>
      <c r="C34" s="112">
        <v>0</v>
      </c>
      <c r="D34" s="72">
        <f t="shared" si="7"/>
        <v>21</v>
      </c>
      <c r="E34" s="113">
        <v>3.3333333333333333E-2</v>
      </c>
      <c r="F34" s="113">
        <v>0.66666666666666663</v>
      </c>
      <c r="G34" s="113">
        <v>0</v>
      </c>
      <c r="H34" s="113">
        <v>0</v>
      </c>
      <c r="I34" s="98">
        <f t="shared" si="8"/>
        <v>0.7</v>
      </c>
      <c r="J34" s="115"/>
      <c r="K34" s="115"/>
      <c r="L34" s="116" t="s">
        <v>10</v>
      </c>
      <c r="M34" s="116">
        <v>2016</v>
      </c>
      <c r="N34" s="115" t="s">
        <v>110</v>
      </c>
      <c r="O34" s="117" t="s">
        <v>109</v>
      </c>
    </row>
    <row r="35" spans="1:15" s="118" customFormat="1" ht="15" x14ac:dyDescent="0.25">
      <c r="A35" s="111" t="s">
        <v>238</v>
      </c>
      <c r="B35" s="112">
        <v>0</v>
      </c>
      <c r="C35" s="112">
        <v>0</v>
      </c>
      <c r="D35" s="72">
        <f t="shared" si="7"/>
        <v>0</v>
      </c>
      <c r="E35" s="113">
        <v>0</v>
      </c>
      <c r="F35" s="113">
        <v>0</v>
      </c>
      <c r="G35" s="113">
        <v>0</v>
      </c>
      <c r="H35" s="113">
        <v>0</v>
      </c>
      <c r="I35" s="98">
        <f t="shared" si="8"/>
        <v>0</v>
      </c>
      <c r="J35" s="115"/>
      <c r="K35" s="115"/>
      <c r="L35" s="116" t="s">
        <v>10</v>
      </c>
      <c r="M35" s="116">
        <v>2016</v>
      </c>
      <c r="N35" s="115" t="s">
        <v>110</v>
      </c>
      <c r="O35" s="117" t="s">
        <v>109</v>
      </c>
    </row>
    <row r="36" spans="1:15" s="77" customFormat="1" ht="15" x14ac:dyDescent="0.25">
      <c r="A36" s="70" t="s">
        <v>239</v>
      </c>
      <c r="B36" s="71">
        <f t="shared" ref="B36:I36" si="9">SUM(B27:B35)</f>
        <v>211</v>
      </c>
      <c r="C36" s="71">
        <f t="shared" si="9"/>
        <v>207</v>
      </c>
      <c r="D36" s="71">
        <f t="shared" si="9"/>
        <v>418</v>
      </c>
      <c r="E36" s="71">
        <f t="shared" si="9"/>
        <v>19.650000000000002</v>
      </c>
      <c r="F36" s="71">
        <f t="shared" si="9"/>
        <v>20.533333333333335</v>
      </c>
      <c r="G36" s="71">
        <f t="shared" si="9"/>
        <v>130.01666666666668</v>
      </c>
      <c r="H36" s="71">
        <f t="shared" si="9"/>
        <v>145.94444444444446</v>
      </c>
      <c r="I36" s="71">
        <f t="shared" si="9"/>
        <v>316.14444444444445</v>
      </c>
      <c r="J36" s="73"/>
      <c r="K36" s="73"/>
      <c r="L36" s="74"/>
      <c r="M36" s="75"/>
      <c r="N36" s="73"/>
      <c r="O36" s="76"/>
    </row>
    <row r="37" spans="1:15" s="83" customFormat="1" ht="15" x14ac:dyDescent="0.25">
      <c r="A37" s="80"/>
      <c r="B37" s="29">
        <v>237</v>
      </c>
      <c r="C37" s="29">
        <v>284</v>
      </c>
      <c r="D37" s="15">
        <v>521</v>
      </c>
      <c r="E37" s="28"/>
      <c r="F37" s="28"/>
      <c r="G37" s="28"/>
      <c r="H37" s="28"/>
      <c r="I37" s="28"/>
      <c r="J37" s="80"/>
      <c r="K37" s="81"/>
      <c r="L37" s="81" t="s">
        <v>68</v>
      </c>
      <c r="M37" s="81">
        <v>2016</v>
      </c>
      <c r="N37" s="80" t="s">
        <v>216</v>
      </c>
      <c r="O37" s="31" t="s">
        <v>217</v>
      </c>
    </row>
    <row r="38" spans="1:15" s="32" customFormat="1" ht="15" x14ac:dyDescent="0.25">
      <c r="A38" s="84"/>
      <c r="B38" s="27"/>
      <c r="C38" s="27"/>
      <c r="D38" s="15">
        <f>SUM(B38:C38)</f>
        <v>0</v>
      </c>
      <c r="E38" s="85"/>
      <c r="F38" s="85"/>
      <c r="G38" s="85"/>
      <c r="H38" s="85"/>
      <c r="I38" s="28">
        <f>SUM(E38:H38)</f>
        <v>0</v>
      </c>
      <c r="J38" s="26"/>
      <c r="K38" s="26"/>
      <c r="L38" s="30" t="s">
        <v>68</v>
      </c>
      <c r="M38" s="30">
        <v>2016</v>
      </c>
      <c r="N38" s="26" t="s">
        <v>216</v>
      </c>
      <c r="O38" s="96" t="s">
        <v>217</v>
      </c>
    </row>
    <row r="39" spans="1:15" s="32" customFormat="1" ht="15" x14ac:dyDescent="0.25">
      <c r="A39" s="84"/>
      <c r="B39" s="27"/>
      <c r="C39" s="27"/>
      <c r="D39" s="15">
        <f t="shared" ref="D39:D46" si="10">SUM(B39:C39)</f>
        <v>0</v>
      </c>
      <c r="E39" s="85"/>
      <c r="F39" s="85"/>
      <c r="G39" s="85"/>
      <c r="H39" s="85"/>
      <c r="I39" s="28">
        <f t="shared" ref="I39:I46" si="11">SUM(E39:H39)</f>
        <v>0</v>
      </c>
      <c r="J39" s="26"/>
      <c r="K39" s="26"/>
      <c r="L39" s="30" t="s">
        <v>68</v>
      </c>
      <c r="M39" s="30">
        <v>2016</v>
      </c>
      <c r="N39" s="26" t="s">
        <v>216</v>
      </c>
      <c r="O39" s="96" t="s">
        <v>217</v>
      </c>
    </row>
    <row r="40" spans="1:15" s="32" customFormat="1" ht="15" x14ac:dyDescent="0.25">
      <c r="A40" s="84"/>
      <c r="B40" s="27"/>
      <c r="C40" s="27"/>
      <c r="D40" s="15">
        <f t="shared" si="10"/>
        <v>0</v>
      </c>
      <c r="E40" s="85"/>
      <c r="F40" s="85"/>
      <c r="G40" s="85"/>
      <c r="H40" s="85"/>
      <c r="I40" s="28">
        <f t="shared" si="11"/>
        <v>0</v>
      </c>
      <c r="J40" s="26"/>
      <c r="K40" s="26"/>
      <c r="L40" s="30" t="s">
        <v>68</v>
      </c>
      <c r="M40" s="30">
        <v>2016</v>
      </c>
      <c r="N40" s="26" t="s">
        <v>216</v>
      </c>
      <c r="O40" s="96" t="s">
        <v>217</v>
      </c>
    </row>
    <row r="41" spans="1:15" s="32" customFormat="1" ht="15" x14ac:dyDescent="0.25">
      <c r="A41" s="84"/>
      <c r="B41" s="27"/>
      <c r="C41" s="27"/>
      <c r="D41" s="15">
        <f t="shared" si="10"/>
        <v>0</v>
      </c>
      <c r="E41" s="85"/>
      <c r="F41" s="85"/>
      <c r="G41" s="85"/>
      <c r="H41" s="85"/>
      <c r="I41" s="28">
        <f t="shared" si="11"/>
        <v>0</v>
      </c>
      <c r="J41" s="26"/>
      <c r="K41" s="26"/>
      <c r="L41" s="30" t="s">
        <v>68</v>
      </c>
      <c r="M41" s="30">
        <v>2016</v>
      </c>
      <c r="N41" s="26" t="s">
        <v>216</v>
      </c>
      <c r="O41" s="96" t="s">
        <v>217</v>
      </c>
    </row>
    <row r="42" spans="1:15" s="32" customFormat="1" ht="15" x14ac:dyDescent="0.25">
      <c r="A42" s="84"/>
      <c r="B42" s="27"/>
      <c r="C42" s="27"/>
      <c r="D42" s="15">
        <f t="shared" si="10"/>
        <v>0</v>
      </c>
      <c r="E42" s="85"/>
      <c r="F42" s="85"/>
      <c r="G42" s="85"/>
      <c r="H42" s="85"/>
      <c r="I42" s="28">
        <f t="shared" si="11"/>
        <v>0</v>
      </c>
      <c r="J42" s="26"/>
      <c r="K42" s="26"/>
      <c r="L42" s="30" t="s">
        <v>68</v>
      </c>
      <c r="M42" s="30">
        <v>2016</v>
      </c>
      <c r="N42" s="26" t="s">
        <v>216</v>
      </c>
      <c r="O42" s="96" t="s">
        <v>217</v>
      </c>
    </row>
    <row r="43" spans="1:15" s="32" customFormat="1" ht="15" x14ac:dyDescent="0.25">
      <c r="A43" s="84"/>
      <c r="B43" s="27"/>
      <c r="C43" s="27"/>
      <c r="D43" s="15">
        <f t="shared" si="10"/>
        <v>0</v>
      </c>
      <c r="E43" s="85"/>
      <c r="F43" s="85"/>
      <c r="G43" s="85"/>
      <c r="H43" s="85"/>
      <c r="I43" s="28">
        <f t="shared" si="11"/>
        <v>0</v>
      </c>
      <c r="J43" s="26"/>
      <c r="K43" s="26"/>
      <c r="L43" s="30" t="s">
        <v>68</v>
      </c>
      <c r="M43" s="30">
        <v>2016</v>
      </c>
      <c r="N43" s="26" t="s">
        <v>216</v>
      </c>
      <c r="O43" s="96" t="s">
        <v>217</v>
      </c>
    </row>
    <row r="44" spans="1:15" s="32" customFormat="1" ht="15" x14ac:dyDescent="0.25">
      <c r="A44" s="84"/>
      <c r="B44" s="27"/>
      <c r="C44" s="27"/>
      <c r="D44" s="15">
        <f t="shared" si="10"/>
        <v>0</v>
      </c>
      <c r="E44" s="85"/>
      <c r="F44" s="85"/>
      <c r="G44" s="85"/>
      <c r="H44" s="85"/>
      <c r="I44" s="28">
        <f t="shared" si="11"/>
        <v>0</v>
      </c>
      <c r="J44" s="26"/>
      <c r="K44" s="26"/>
      <c r="L44" s="30" t="s">
        <v>68</v>
      </c>
      <c r="M44" s="30">
        <v>2016</v>
      </c>
      <c r="N44" s="26" t="s">
        <v>216</v>
      </c>
      <c r="O44" s="96" t="s">
        <v>217</v>
      </c>
    </row>
    <row r="45" spans="1:15" s="32" customFormat="1" ht="15" x14ac:dyDescent="0.25">
      <c r="A45" s="84"/>
      <c r="B45" s="27"/>
      <c r="C45" s="27"/>
      <c r="D45" s="15">
        <f t="shared" si="10"/>
        <v>0</v>
      </c>
      <c r="E45" s="85"/>
      <c r="F45" s="85"/>
      <c r="G45" s="85"/>
      <c r="H45" s="85"/>
      <c r="I45" s="28">
        <f t="shared" si="11"/>
        <v>0</v>
      </c>
      <c r="J45" s="26"/>
      <c r="K45" s="26"/>
      <c r="L45" s="30" t="s">
        <v>68</v>
      </c>
      <c r="M45" s="30">
        <v>2016</v>
      </c>
      <c r="N45" s="26" t="s">
        <v>216</v>
      </c>
      <c r="O45" s="96" t="s">
        <v>217</v>
      </c>
    </row>
    <row r="46" spans="1:15" s="32" customFormat="1" ht="15" x14ac:dyDescent="0.25">
      <c r="A46" s="84"/>
      <c r="B46" s="27"/>
      <c r="C46" s="27"/>
      <c r="D46" s="15">
        <f t="shared" si="10"/>
        <v>0</v>
      </c>
      <c r="E46" s="85"/>
      <c r="F46" s="85"/>
      <c r="G46" s="85"/>
      <c r="H46" s="85"/>
      <c r="I46" s="28">
        <f t="shared" si="11"/>
        <v>0</v>
      </c>
      <c r="J46" s="26"/>
      <c r="K46" s="26"/>
      <c r="L46" s="30" t="s">
        <v>68</v>
      </c>
      <c r="M46" s="30">
        <v>2016</v>
      </c>
      <c r="N46" s="26" t="s">
        <v>216</v>
      </c>
      <c r="O46" s="96" t="s">
        <v>217</v>
      </c>
    </row>
    <row r="47" spans="1:15" s="83" customFormat="1" ht="15" x14ac:dyDescent="0.25">
      <c r="A47" s="86" t="s">
        <v>239</v>
      </c>
      <c r="B47" s="29">
        <f t="shared" ref="B47:I47" si="12">SUM(B38:B46)</f>
        <v>0</v>
      </c>
      <c r="C47" s="29">
        <f t="shared" si="12"/>
        <v>0</v>
      </c>
      <c r="D47" s="29">
        <f t="shared" si="12"/>
        <v>0</v>
      </c>
      <c r="E47" s="29">
        <f t="shared" si="12"/>
        <v>0</v>
      </c>
      <c r="F47" s="29">
        <f t="shared" si="12"/>
        <v>0</v>
      </c>
      <c r="G47" s="29">
        <f t="shared" si="12"/>
        <v>0</v>
      </c>
      <c r="H47" s="29">
        <f t="shared" si="12"/>
        <v>0</v>
      </c>
      <c r="I47" s="29">
        <f t="shared" si="12"/>
        <v>0</v>
      </c>
      <c r="J47" s="80"/>
      <c r="K47" s="80"/>
      <c r="L47" s="30" t="s">
        <v>68</v>
      </c>
      <c r="M47" s="30">
        <v>2016</v>
      </c>
      <c r="N47" s="26" t="s">
        <v>216</v>
      </c>
      <c r="O47" s="96" t="s">
        <v>217</v>
      </c>
    </row>
    <row r="48" spans="1:15" s="62" customFormat="1" ht="15" x14ac:dyDescent="0.25">
      <c r="A48" s="58"/>
      <c r="B48" s="37"/>
      <c r="C48" s="37"/>
      <c r="D48" s="35"/>
      <c r="E48" s="36"/>
      <c r="F48" s="36"/>
      <c r="G48" s="36"/>
      <c r="H48" s="36"/>
      <c r="I48" s="36"/>
      <c r="J48" s="58"/>
      <c r="K48" s="60"/>
      <c r="L48" s="60"/>
      <c r="M48" s="60"/>
      <c r="N48" s="58"/>
      <c r="O48" s="61"/>
    </row>
    <row r="49" spans="1:15" s="40" customFormat="1" ht="15" x14ac:dyDescent="0.25">
      <c r="A49" s="55"/>
      <c r="B49" s="38"/>
      <c r="C49" s="38"/>
      <c r="D49" s="35">
        <f>SUM(B49:C49)</f>
        <v>0</v>
      </c>
      <c r="E49" s="56"/>
      <c r="F49" s="56"/>
      <c r="G49" s="56"/>
      <c r="H49" s="56"/>
      <c r="I49" s="36">
        <f>SUM(E49:H49)</f>
        <v>0</v>
      </c>
      <c r="J49" s="39"/>
      <c r="K49" s="39"/>
      <c r="L49" s="52"/>
      <c r="M49" s="53"/>
      <c r="N49" s="39"/>
      <c r="O49" s="54"/>
    </row>
    <row r="50" spans="1:15" s="40" customFormat="1" ht="15" x14ac:dyDescent="0.25">
      <c r="A50" s="55"/>
      <c r="B50" s="38"/>
      <c r="C50" s="38"/>
      <c r="D50" s="35">
        <f t="shared" ref="D50:D57" si="13">SUM(B50:C50)</f>
        <v>0</v>
      </c>
      <c r="E50" s="56"/>
      <c r="F50" s="56"/>
      <c r="G50" s="56"/>
      <c r="H50" s="56"/>
      <c r="I50" s="36">
        <f t="shared" ref="I50:I57" si="14">SUM(E50:H50)</f>
        <v>0</v>
      </c>
      <c r="J50" s="39"/>
      <c r="K50" s="39"/>
      <c r="L50" s="52"/>
      <c r="M50" s="53"/>
      <c r="N50" s="39"/>
      <c r="O50" s="54"/>
    </row>
    <row r="51" spans="1:15" s="40" customFormat="1" ht="15" x14ac:dyDescent="0.25">
      <c r="A51" s="55"/>
      <c r="B51" s="38"/>
      <c r="C51" s="38"/>
      <c r="D51" s="35">
        <f t="shared" si="13"/>
        <v>0</v>
      </c>
      <c r="E51" s="56"/>
      <c r="F51" s="56"/>
      <c r="G51" s="56"/>
      <c r="H51" s="56"/>
      <c r="I51" s="36">
        <f t="shared" si="14"/>
        <v>0</v>
      </c>
      <c r="J51" s="39"/>
      <c r="K51" s="39"/>
      <c r="L51" s="52"/>
      <c r="M51" s="53"/>
      <c r="N51" s="39"/>
      <c r="O51" s="54"/>
    </row>
    <row r="52" spans="1:15" s="40" customFormat="1" ht="15" x14ac:dyDescent="0.25">
      <c r="A52" s="55"/>
      <c r="B52" s="38"/>
      <c r="C52" s="38"/>
      <c r="D52" s="35">
        <f t="shared" si="13"/>
        <v>0</v>
      </c>
      <c r="E52" s="56"/>
      <c r="F52" s="56"/>
      <c r="G52" s="56"/>
      <c r="H52" s="56"/>
      <c r="I52" s="36">
        <f t="shared" si="14"/>
        <v>0</v>
      </c>
      <c r="J52" s="39"/>
      <c r="K52" s="39"/>
      <c r="L52" s="52"/>
      <c r="M52" s="53"/>
      <c r="N52" s="39"/>
      <c r="O52" s="54"/>
    </row>
    <row r="53" spans="1:15" s="40" customFormat="1" ht="15" x14ac:dyDescent="0.25">
      <c r="A53" s="55"/>
      <c r="B53" s="38"/>
      <c r="C53" s="38"/>
      <c r="D53" s="35">
        <f t="shared" si="13"/>
        <v>0</v>
      </c>
      <c r="E53" s="56"/>
      <c r="F53" s="56"/>
      <c r="G53" s="56"/>
      <c r="H53" s="56"/>
      <c r="I53" s="36">
        <f t="shared" si="14"/>
        <v>0</v>
      </c>
      <c r="J53" s="39"/>
      <c r="K53" s="39"/>
      <c r="L53" s="52"/>
      <c r="M53" s="53"/>
      <c r="N53" s="39"/>
      <c r="O53" s="54"/>
    </row>
    <row r="54" spans="1:15" s="40" customFormat="1" ht="15" x14ac:dyDescent="0.25">
      <c r="A54" s="55"/>
      <c r="B54" s="38"/>
      <c r="C54" s="38"/>
      <c r="D54" s="35">
        <f t="shared" si="13"/>
        <v>0</v>
      </c>
      <c r="E54" s="56"/>
      <c r="F54" s="56"/>
      <c r="G54" s="56"/>
      <c r="H54" s="56"/>
      <c r="I54" s="36">
        <f t="shared" si="14"/>
        <v>0</v>
      </c>
      <c r="J54" s="39"/>
      <c r="K54" s="39"/>
      <c r="L54" s="52"/>
      <c r="M54" s="53"/>
      <c r="N54" s="39"/>
      <c r="O54" s="54"/>
    </row>
    <row r="55" spans="1:15" s="40" customFormat="1" ht="15" x14ac:dyDescent="0.25">
      <c r="A55" s="55"/>
      <c r="B55" s="38"/>
      <c r="C55" s="38"/>
      <c r="D55" s="35">
        <f t="shared" si="13"/>
        <v>0</v>
      </c>
      <c r="E55" s="56"/>
      <c r="F55" s="56"/>
      <c r="G55" s="56"/>
      <c r="H55" s="56"/>
      <c r="I55" s="36">
        <f t="shared" si="14"/>
        <v>0</v>
      </c>
      <c r="J55" s="39"/>
      <c r="K55" s="39"/>
      <c r="L55" s="52"/>
      <c r="M55" s="53"/>
      <c r="N55" s="39"/>
      <c r="O55" s="54"/>
    </row>
    <row r="56" spans="1:15" s="40" customFormat="1" ht="15" x14ac:dyDescent="0.25">
      <c r="A56" s="55"/>
      <c r="B56" s="38"/>
      <c r="C56" s="38"/>
      <c r="D56" s="35">
        <f t="shared" si="13"/>
        <v>0</v>
      </c>
      <c r="E56" s="56"/>
      <c r="F56" s="56"/>
      <c r="G56" s="56"/>
      <c r="H56" s="56"/>
      <c r="I56" s="36">
        <f t="shared" si="14"/>
        <v>0</v>
      </c>
      <c r="J56" s="39"/>
      <c r="K56" s="39"/>
      <c r="L56" s="52"/>
      <c r="M56" s="53"/>
      <c r="N56" s="39"/>
      <c r="O56" s="54"/>
    </row>
    <row r="57" spans="1:15" s="40" customFormat="1" ht="15" x14ac:dyDescent="0.25">
      <c r="A57" s="55"/>
      <c r="B57" s="38"/>
      <c r="C57" s="38"/>
      <c r="D57" s="35">
        <f t="shared" si="13"/>
        <v>0</v>
      </c>
      <c r="E57" s="56"/>
      <c r="F57" s="56"/>
      <c r="G57" s="56"/>
      <c r="H57" s="56"/>
      <c r="I57" s="36">
        <f t="shared" si="14"/>
        <v>0</v>
      </c>
      <c r="J57" s="39"/>
      <c r="K57" s="39"/>
      <c r="L57" s="52"/>
      <c r="M57" s="53"/>
      <c r="N57" s="39"/>
      <c r="O57" s="54"/>
    </row>
    <row r="58" spans="1:15" s="62" customFormat="1" ht="15" x14ac:dyDescent="0.25">
      <c r="A58" s="57" t="s">
        <v>239</v>
      </c>
      <c r="B58" s="37">
        <f t="shared" ref="B58:I58" si="15">SUM(B49:B57)</f>
        <v>0</v>
      </c>
      <c r="C58" s="37">
        <f t="shared" si="15"/>
        <v>0</v>
      </c>
      <c r="D58" s="37">
        <f t="shared" si="15"/>
        <v>0</v>
      </c>
      <c r="E58" s="37">
        <f t="shared" si="15"/>
        <v>0</v>
      </c>
      <c r="F58" s="37">
        <f t="shared" si="15"/>
        <v>0</v>
      </c>
      <c r="G58" s="37">
        <f t="shared" si="15"/>
        <v>0</v>
      </c>
      <c r="H58" s="37">
        <f t="shared" si="15"/>
        <v>0</v>
      </c>
      <c r="I58" s="37">
        <f t="shared" si="15"/>
        <v>0</v>
      </c>
      <c r="J58" s="58"/>
      <c r="K58" s="58"/>
      <c r="L58" s="59"/>
      <c r="M58" s="60"/>
      <c r="N58" s="58"/>
      <c r="O58" s="61"/>
    </row>
    <row r="59" spans="1:15" s="83" customFormat="1" ht="15" x14ac:dyDescent="0.25">
      <c r="A59" s="80"/>
      <c r="B59" s="29"/>
      <c r="C59" s="29"/>
      <c r="D59" s="15"/>
      <c r="E59" s="28"/>
      <c r="F59" s="28"/>
      <c r="G59" s="28"/>
      <c r="H59" s="28"/>
      <c r="I59" s="28"/>
      <c r="J59" s="80"/>
      <c r="K59" s="81"/>
      <c r="L59" s="81"/>
      <c r="M59" s="81"/>
      <c r="N59" s="80"/>
      <c r="O59" s="82"/>
    </row>
    <row r="60" spans="1:15" s="32" customFormat="1" ht="15" x14ac:dyDescent="0.25">
      <c r="A60" s="84"/>
      <c r="B60" s="27"/>
      <c r="C60" s="27"/>
      <c r="D60" s="15">
        <f>SUM(B60:C60)</f>
        <v>0</v>
      </c>
      <c r="E60" s="85"/>
      <c r="F60" s="85"/>
      <c r="G60" s="85"/>
      <c r="H60" s="85"/>
      <c r="I60" s="28">
        <f>SUM(E60:H60)</f>
        <v>0</v>
      </c>
      <c r="J60" s="26"/>
      <c r="K60" s="26"/>
      <c r="L60" s="42"/>
      <c r="M60" s="30"/>
      <c r="N60" s="26"/>
      <c r="O60" s="31"/>
    </row>
    <row r="61" spans="1:15" s="32" customFormat="1" ht="15" x14ac:dyDescent="0.25">
      <c r="A61" s="84"/>
      <c r="B61" s="27"/>
      <c r="C61" s="27"/>
      <c r="D61" s="15">
        <f t="shared" ref="D61:D68" si="16">SUM(B61:C61)</f>
        <v>0</v>
      </c>
      <c r="E61" s="85"/>
      <c r="F61" s="85"/>
      <c r="G61" s="85"/>
      <c r="H61" s="85"/>
      <c r="I61" s="28">
        <f t="shared" ref="I61:I68" si="17">SUM(E61:H61)</f>
        <v>0</v>
      </c>
      <c r="J61" s="26"/>
      <c r="K61" s="26"/>
      <c r="L61" s="42"/>
      <c r="M61" s="30"/>
      <c r="N61" s="26"/>
      <c r="O61" s="31"/>
    </row>
    <row r="62" spans="1:15" s="32" customFormat="1" ht="15" x14ac:dyDescent="0.25">
      <c r="A62" s="84"/>
      <c r="B62" s="27"/>
      <c r="C62" s="27"/>
      <c r="D62" s="15">
        <f t="shared" si="16"/>
        <v>0</v>
      </c>
      <c r="E62" s="85"/>
      <c r="F62" s="85"/>
      <c r="G62" s="85"/>
      <c r="H62" s="85"/>
      <c r="I62" s="28">
        <f t="shared" si="17"/>
        <v>0</v>
      </c>
      <c r="J62" s="26"/>
      <c r="K62" s="26"/>
      <c r="L62" s="42"/>
      <c r="M62" s="30"/>
      <c r="N62" s="26"/>
      <c r="O62" s="31"/>
    </row>
    <row r="63" spans="1:15" s="32" customFormat="1" ht="15" x14ac:dyDescent="0.25">
      <c r="A63" s="84"/>
      <c r="B63" s="27"/>
      <c r="C63" s="27"/>
      <c r="D63" s="15">
        <f t="shared" si="16"/>
        <v>0</v>
      </c>
      <c r="E63" s="85"/>
      <c r="F63" s="85"/>
      <c r="G63" s="85"/>
      <c r="H63" s="85"/>
      <c r="I63" s="28">
        <f t="shared" si="17"/>
        <v>0</v>
      </c>
      <c r="J63" s="26"/>
      <c r="K63" s="26"/>
      <c r="L63" s="42"/>
      <c r="M63" s="30"/>
      <c r="N63" s="26"/>
      <c r="O63" s="31"/>
    </row>
    <row r="64" spans="1:15" s="32" customFormat="1" ht="15" x14ac:dyDescent="0.25">
      <c r="A64" s="84"/>
      <c r="B64" s="27"/>
      <c r="C64" s="27"/>
      <c r="D64" s="15">
        <f t="shared" si="16"/>
        <v>0</v>
      </c>
      <c r="E64" s="85"/>
      <c r="F64" s="85"/>
      <c r="G64" s="85"/>
      <c r="H64" s="85"/>
      <c r="I64" s="28">
        <f t="shared" si="17"/>
        <v>0</v>
      </c>
      <c r="J64" s="26"/>
      <c r="K64" s="26"/>
      <c r="L64" s="42"/>
      <c r="M64" s="30"/>
      <c r="N64" s="26"/>
      <c r="O64" s="31"/>
    </row>
    <row r="65" spans="1:15" s="32" customFormat="1" ht="15" x14ac:dyDescent="0.25">
      <c r="A65" s="84"/>
      <c r="B65" s="27"/>
      <c r="C65" s="27"/>
      <c r="D65" s="15">
        <f t="shared" si="16"/>
        <v>0</v>
      </c>
      <c r="E65" s="85"/>
      <c r="F65" s="85"/>
      <c r="G65" s="85"/>
      <c r="H65" s="85"/>
      <c r="I65" s="28">
        <f t="shared" si="17"/>
        <v>0</v>
      </c>
      <c r="J65" s="26"/>
      <c r="K65" s="26"/>
      <c r="L65" s="42"/>
      <c r="M65" s="30"/>
      <c r="N65" s="26"/>
      <c r="O65" s="31"/>
    </row>
    <row r="66" spans="1:15" s="32" customFormat="1" ht="15" x14ac:dyDescent="0.25">
      <c r="A66" s="84"/>
      <c r="B66" s="27"/>
      <c r="C66" s="27"/>
      <c r="D66" s="15">
        <f t="shared" si="16"/>
        <v>0</v>
      </c>
      <c r="E66" s="85"/>
      <c r="F66" s="85"/>
      <c r="G66" s="85"/>
      <c r="H66" s="85"/>
      <c r="I66" s="28">
        <f t="shared" si="17"/>
        <v>0</v>
      </c>
      <c r="J66" s="26"/>
      <c r="K66" s="26"/>
      <c r="L66" s="42"/>
      <c r="M66" s="30"/>
      <c r="N66" s="26"/>
      <c r="O66" s="31"/>
    </row>
    <row r="67" spans="1:15" s="32" customFormat="1" ht="15" x14ac:dyDescent="0.25">
      <c r="A67" s="84"/>
      <c r="B67" s="27"/>
      <c r="C67" s="27"/>
      <c r="D67" s="15">
        <f t="shared" si="16"/>
        <v>0</v>
      </c>
      <c r="E67" s="85"/>
      <c r="F67" s="85"/>
      <c r="G67" s="85"/>
      <c r="H67" s="85"/>
      <c r="I67" s="28">
        <f t="shared" si="17"/>
        <v>0</v>
      </c>
      <c r="J67" s="26"/>
      <c r="K67" s="26"/>
      <c r="L67" s="42"/>
      <c r="M67" s="30"/>
      <c r="N67" s="26"/>
      <c r="O67" s="31"/>
    </row>
    <row r="68" spans="1:15" s="32" customFormat="1" ht="15" x14ac:dyDescent="0.25">
      <c r="A68" s="84"/>
      <c r="B68" s="27"/>
      <c r="C68" s="27"/>
      <c r="D68" s="15">
        <f t="shared" si="16"/>
        <v>0</v>
      </c>
      <c r="E68" s="85"/>
      <c r="F68" s="85"/>
      <c r="G68" s="85"/>
      <c r="H68" s="85"/>
      <c r="I68" s="28">
        <f t="shared" si="17"/>
        <v>0</v>
      </c>
      <c r="J68" s="26"/>
      <c r="K68" s="26"/>
      <c r="L68" s="42"/>
      <c r="M68" s="30"/>
      <c r="N68" s="26"/>
      <c r="O68" s="31"/>
    </row>
    <row r="69" spans="1:15" s="83" customFormat="1" ht="15" x14ac:dyDescent="0.25">
      <c r="A69" s="86" t="s">
        <v>239</v>
      </c>
      <c r="B69" s="29">
        <f t="shared" ref="B69:I69" si="18">SUM(B60:B68)</f>
        <v>0</v>
      </c>
      <c r="C69" s="29">
        <f t="shared" si="18"/>
        <v>0</v>
      </c>
      <c r="D69" s="29">
        <f t="shared" si="18"/>
        <v>0</v>
      </c>
      <c r="E69" s="29">
        <f t="shared" si="18"/>
        <v>0</v>
      </c>
      <c r="F69" s="29">
        <f t="shared" si="18"/>
        <v>0</v>
      </c>
      <c r="G69" s="29">
        <f t="shared" si="18"/>
        <v>0</v>
      </c>
      <c r="H69" s="29">
        <f t="shared" si="18"/>
        <v>0</v>
      </c>
      <c r="I69" s="29">
        <f t="shared" si="18"/>
        <v>0</v>
      </c>
      <c r="J69" s="80"/>
      <c r="K69" s="80"/>
      <c r="L69" s="87"/>
      <c r="M69" s="81"/>
      <c r="N69" s="80"/>
      <c r="O69" s="82"/>
    </row>
    <row r="70" spans="1:15" ht="15" x14ac:dyDescent="0.25">
      <c r="A70" s="7"/>
      <c r="B70" s="9"/>
      <c r="C70" s="9"/>
      <c r="D70" s="13"/>
      <c r="E70" s="24"/>
      <c r="F70" s="24"/>
      <c r="G70" s="24"/>
      <c r="H70" s="24"/>
      <c r="I70" s="24"/>
      <c r="J70" s="7"/>
      <c r="K70" s="7"/>
      <c r="L70" s="4"/>
      <c r="M70" s="4"/>
      <c r="N70" s="7"/>
      <c r="O70" s="16"/>
    </row>
    <row r="71" spans="1:15" ht="15" x14ac:dyDescent="0.25">
      <c r="A71" s="7"/>
      <c r="B71" s="9"/>
      <c r="C71" s="9"/>
      <c r="D71" s="13"/>
      <c r="E71" s="24"/>
      <c r="F71" s="24"/>
      <c r="G71" s="24"/>
      <c r="H71" s="24"/>
      <c r="I71" s="24"/>
      <c r="J71" s="7"/>
      <c r="K71" s="7"/>
      <c r="L71" s="4"/>
      <c r="M71" s="4"/>
      <c r="N71" s="7"/>
      <c r="O71" s="16"/>
    </row>
    <row r="72" spans="1:15" ht="15" x14ac:dyDescent="0.25">
      <c r="A72" s="7"/>
      <c r="B72" s="9"/>
      <c r="C72" s="9"/>
      <c r="D72" s="13"/>
      <c r="E72" s="24"/>
      <c r="F72" s="24"/>
      <c r="G72" s="24"/>
      <c r="H72" s="24"/>
      <c r="I72" s="24"/>
      <c r="J72" s="7"/>
      <c r="K72" s="4"/>
      <c r="L72" s="4"/>
      <c r="M72" s="4"/>
      <c r="N72" s="7"/>
      <c r="O72" s="16"/>
    </row>
    <row r="73" spans="1:15" ht="15" x14ac:dyDescent="0.25">
      <c r="A73" s="7"/>
      <c r="B73" s="9"/>
      <c r="C73" s="9"/>
      <c r="D73" s="13"/>
      <c r="E73" s="24"/>
      <c r="F73" s="24"/>
      <c r="G73" s="24"/>
      <c r="H73" s="24"/>
      <c r="I73" s="24"/>
      <c r="J73" s="7"/>
      <c r="K73" s="4"/>
      <c r="L73" s="4"/>
      <c r="M73" s="4"/>
      <c r="N73" s="7"/>
      <c r="O73" s="16"/>
    </row>
    <row r="74" spans="1:15" ht="15" x14ac:dyDescent="0.25">
      <c r="A74" s="7"/>
      <c r="B74" s="9"/>
      <c r="C74" s="9"/>
      <c r="D74" s="13"/>
      <c r="E74" s="24"/>
      <c r="F74" s="24"/>
      <c r="G74" s="24"/>
      <c r="H74" s="24"/>
      <c r="I74" s="24"/>
      <c r="J74" s="7"/>
      <c r="K74" s="7"/>
      <c r="L74" s="4"/>
      <c r="M74" s="4"/>
      <c r="N74" s="7"/>
      <c r="O74" s="16"/>
    </row>
    <row r="75" spans="1:15" s="69" customFormat="1" ht="15" x14ac:dyDescent="0.25">
      <c r="A75" s="66"/>
      <c r="B75" s="65">
        <v>424</v>
      </c>
      <c r="C75" s="65">
        <v>187</v>
      </c>
      <c r="D75" s="64">
        <f t="shared" si="0"/>
        <v>611</v>
      </c>
      <c r="E75" s="97"/>
      <c r="F75" s="97"/>
      <c r="G75" s="97"/>
      <c r="H75" s="97"/>
      <c r="I75" s="97"/>
      <c r="J75" s="66"/>
      <c r="K75" s="66"/>
      <c r="L75" s="67" t="s">
        <v>10</v>
      </c>
      <c r="M75" s="67">
        <v>2015</v>
      </c>
      <c r="N75" s="66" t="s">
        <v>70</v>
      </c>
      <c r="O75" s="68" t="s">
        <v>69</v>
      </c>
    </row>
    <row r="76" spans="1:15" s="69" customFormat="1" ht="15" x14ac:dyDescent="0.25">
      <c r="A76" s="66"/>
      <c r="B76" s="65">
        <v>548</v>
      </c>
      <c r="C76" s="65">
        <v>319</v>
      </c>
      <c r="D76" s="64">
        <f t="shared" si="0"/>
        <v>867</v>
      </c>
      <c r="E76" s="97"/>
      <c r="F76" s="97"/>
      <c r="G76" s="97"/>
      <c r="H76" s="97"/>
      <c r="I76" s="97"/>
      <c r="J76" s="66"/>
      <c r="K76" s="66"/>
      <c r="L76" s="67" t="s">
        <v>10</v>
      </c>
      <c r="M76" s="67">
        <v>2015</v>
      </c>
      <c r="N76" s="66" t="s">
        <v>72</v>
      </c>
      <c r="O76" s="68" t="s">
        <v>71</v>
      </c>
    </row>
    <row r="77" spans="1:15" s="69" customFormat="1" ht="15" x14ac:dyDescent="0.25">
      <c r="A77" s="66"/>
      <c r="B77" s="65">
        <v>599</v>
      </c>
      <c r="C77" s="65">
        <v>135</v>
      </c>
      <c r="D77" s="64">
        <f t="shared" si="0"/>
        <v>734</v>
      </c>
      <c r="E77" s="97"/>
      <c r="F77" s="97"/>
      <c r="G77" s="97"/>
      <c r="H77" s="97"/>
      <c r="I77" s="97"/>
      <c r="J77" s="66"/>
      <c r="K77" s="66"/>
      <c r="L77" s="67" t="s">
        <v>10</v>
      </c>
      <c r="M77" s="67">
        <v>2013</v>
      </c>
      <c r="N77" s="66" t="s">
        <v>77</v>
      </c>
      <c r="O77" s="68" t="s">
        <v>78</v>
      </c>
    </row>
    <row r="78" spans="1:15" s="69" customFormat="1" ht="15" x14ac:dyDescent="0.25">
      <c r="B78" s="65">
        <v>292</v>
      </c>
      <c r="C78" s="65">
        <v>109</v>
      </c>
      <c r="D78" s="64">
        <f t="shared" si="0"/>
        <v>401</v>
      </c>
      <c r="E78" s="97"/>
      <c r="F78" s="97"/>
      <c r="G78" s="97"/>
      <c r="H78" s="97"/>
      <c r="I78" s="97"/>
      <c r="J78" s="69" t="s">
        <v>80</v>
      </c>
      <c r="L78" s="67" t="s">
        <v>24</v>
      </c>
      <c r="M78" s="67" t="s">
        <v>37</v>
      </c>
      <c r="N78" s="66" t="s">
        <v>81</v>
      </c>
      <c r="O78" s="68" t="s">
        <v>79</v>
      </c>
    </row>
    <row r="79" spans="1:15" s="69" customFormat="1" ht="15" x14ac:dyDescent="0.25">
      <c r="A79" s="66"/>
      <c r="B79" s="65">
        <v>127</v>
      </c>
      <c r="C79" s="65">
        <v>1442</v>
      </c>
      <c r="D79" s="64">
        <f t="shared" si="0"/>
        <v>1569</v>
      </c>
      <c r="E79" s="97"/>
      <c r="F79" s="97"/>
      <c r="G79" s="97"/>
      <c r="H79" s="97"/>
      <c r="I79" s="97"/>
      <c r="J79" s="66" t="s">
        <v>84</v>
      </c>
      <c r="K79" s="67" t="s">
        <v>227</v>
      </c>
      <c r="L79" s="67">
        <v>2017</v>
      </c>
      <c r="M79" s="67" t="s">
        <v>45</v>
      </c>
      <c r="N79" s="66" t="s">
        <v>83</v>
      </c>
      <c r="O79" s="68" t="s">
        <v>82</v>
      </c>
    </row>
    <row r="80" spans="1:15" s="69" customFormat="1" ht="15" x14ac:dyDescent="0.25">
      <c r="A80" s="66"/>
      <c r="B80" s="65">
        <v>169</v>
      </c>
      <c r="C80" s="65">
        <v>225</v>
      </c>
      <c r="D80" s="64">
        <f t="shared" si="0"/>
        <v>394</v>
      </c>
      <c r="E80" s="97"/>
      <c r="F80" s="97"/>
      <c r="G80" s="97"/>
      <c r="H80" s="97"/>
      <c r="I80" s="97"/>
      <c r="J80" s="66" t="s">
        <v>95</v>
      </c>
      <c r="K80" s="67" t="s">
        <v>227</v>
      </c>
      <c r="L80" s="67" t="s">
        <v>37</v>
      </c>
      <c r="M80" s="67">
        <v>2015</v>
      </c>
      <c r="N80" s="66" t="s">
        <v>96</v>
      </c>
      <c r="O80" s="68" t="s">
        <v>94</v>
      </c>
    </row>
    <row r="81" spans="1:15" s="69" customFormat="1" ht="15" x14ac:dyDescent="0.25">
      <c r="A81" s="66"/>
      <c r="B81" s="65">
        <v>157</v>
      </c>
      <c r="C81" s="65">
        <v>103</v>
      </c>
      <c r="D81" s="64">
        <f t="shared" si="0"/>
        <v>260</v>
      </c>
      <c r="E81" s="97"/>
      <c r="F81" s="97"/>
      <c r="G81" s="97"/>
      <c r="H81" s="97"/>
      <c r="I81" s="97"/>
      <c r="J81" s="66"/>
      <c r="K81" s="66"/>
      <c r="L81" s="67" t="s">
        <v>24</v>
      </c>
      <c r="M81" s="67">
        <v>2015</v>
      </c>
      <c r="N81" s="66" t="s">
        <v>104</v>
      </c>
      <c r="O81" s="68" t="s">
        <v>103</v>
      </c>
    </row>
    <row r="82" spans="1:15" s="69" customFormat="1" ht="15" x14ac:dyDescent="0.25">
      <c r="A82" s="66"/>
      <c r="B82" s="65">
        <v>53</v>
      </c>
      <c r="C82" s="65">
        <v>71</v>
      </c>
      <c r="D82" s="64">
        <f t="shared" si="0"/>
        <v>124</v>
      </c>
      <c r="E82" s="97"/>
      <c r="F82" s="97"/>
      <c r="G82" s="97"/>
      <c r="H82" s="97"/>
      <c r="I82" s="97"/>
      <c r="J82" s="66"/>
      <c r="K82" s="66"/>
      <c r="L82" s="67" t="s">
        <v>24</v>
      </c>
      <c r="M82" s="67">
        <v>2015</v>
      </c>
      <c r="N82" s="66" t="s">
        <v>107</v>
      </c>
      <c r="O82" s="68" t="s">
        <v>108</v>
      </c>
    </row>
    <row r="83" spans="1:15" s="118" customFormat="1" ht="15" x14ac:dyDescent="0.25">
      <c r="A83" s="115"/>
      <c r="B83" s="112">
        <v>211</v>
      </c>
      <c r="C83" s="112">
        <v>207</v>
      </c>
      <c r="D83" s="72">
        <f t="shared" si="0"/>
        <v>418</v>
      </c>
      <c r="E83" s="98"/>
      <c r="F83" s="98"/>
      <c r="G83" s="98"/>
      <c r="H83" s="98"/>
      <c r="I83" s="98"/>
      <c r="J83" s="115"/>
      <c r="K83" s="115"/>
      <c r="L83" s="116" t="s">
        <v>10</v>
      </c>
      <c r="M83" s="116">
        <v>2016</v>
      </c>
      <c r="N83" s="115" t="s">
        <v>110</v>
      </c>
      <c r="O83" s="138" t="s">
        <v>109</v>
      </c>
    </row>
    <row r="84" spans="1:15" s="118" customFormat="1" ht="15" x14ac:dyDescent="0.25">
      <c r="A84" s="115"/>
      <c r="B84" s="112">
        <v>378</v>
      </c>
      <c r="C84" s="112">
        <v>245</v>
      </c>
      <c r="D84" s="72">
        <f t="shared" si="0"/>
        <v>623</v>
      </c>
      <c r="E84" s="98"/>
      <c r="F84" s="98"/>
      <c r="G84" s="98"/>
      <c r="H84" s="98"/>
      <c r="I84" s="98"/>
      <c r="J84" s="115"/>
      <c r="K84" s="115"/>
      <c r="L84" s="116" t="s">
        <v>10</v>
      </c>
      <c r="M84" s="116">
        <v>2016</v>
      </c>
      <c r="N84" s="115" t="s">
        <v>115</v>
      </c>
      <c r="O84" s="110" t="s">
        <v>116</v>
      </c>
    </row>
    <row r="85" spans="1:15" s="51" customFormat="1" ht="15" x14ac:dyDescent="0.25">
      <c r="A85" s="43"/>
      <c r="B85" s="44">
        <v>344</v>
      </c>
      <c r="C85" s="44">
        <v>514</v>
      </c>
      <c r="D85" s="45">
        <f t="shared" ref="D85:D106" si="19">B85+C85</f>
        <v>858</v>
      </c>
      <c r="E85" s="46"/>
      <c r="F85" s="46"/>
      <c r="G85" s="46"/>
      <c r="H85" s="46"/>
      <c r="I85" s="46"/>
      <c r="J85" s="43" t="s">
        <v>141</v>
      </c>
      <c r="K85" s="49" t="s">
        <v>227</v>
      </c>
      <c r="L85" s="49" t="s">
        <v>37</v>
      </c>
      <c r="M85" s="49" t="s">
        <v>45</v>
      </c>
      <c r="N85" s="43" t="s">
        <v>143</v>
      </c>
      <c r="O85" s="50" t="s">
        <v>242</v>
      </c>
    </row>
    <row r="86" spans="1:15" s="106" customFormat="1" ht="15" x14ac:dyDescent="0.25">
      <c r="A86" s="103"/>
      <c r="B86" s="102">
        <v>378</v>
      </c>
      <c r="C86" s="102">
        <v>366</v>
      </c>
      <c r="D86" s="100">
        <f t="shared" si="19"/>
        <v>744</v>
      </c>
      <c r="E86" s="101"/>
      <c r="F86" s="101"/>
      <c r="G86" s="101"/>
      <c r="H86" s="101"/>
      <c r="I86" s="101"/>
      <c r="J86" s="103"/>
      <c r="K86" s="103"/>
      <c r="L86" s="104" t="s">
        <v>68</v>
      </c>
      <c r="M86" s="104" t="s">
        <v>10</v>
      </c>
      <c r="N86" s="103" t="s">
        <v>155</v>
      </c>
      <c r="O86" s="105" t="s">
        <v>156</v>
      </c>
    </row>
    <row r="87" spans="1:15" s="106" customFormat="1" ht="15" x14ac:dyDescent="0.25">
      <c r="A87" s="103"/>
      <c r="B87" s="102">
        <v>596</v>
      </c>
      <c r="C87" s="102">
        <v>509</v>
      </c>
      <c r="D87" s="100">
        <f t="shared" si="19"/>
        <v>1105</v>
      </c>
      <c r="E87" s="101"/>
      <c r="F87" s="101"/>
      <c r="G87" s="101"/>
      <c r="H87" s="101"/>
      <c r="I87" s="101"/>
      <c r="J87" s="103"/>
      <c r="K87" s="103"/>
      <c r="L87" s="104" t="s">
        <v>158</v>
      </c>
      <c r="M87" s="104" t="s">
        <v>45</v>
      </c>
      <c r="N87" s="103" t="s">
        <v>159</v>
      </c>
      <c r="O87" s="105" t="s">
        <v>157</v>
      </c>
    </row>
    <row r="88" spans="1:15" s="69" customFormat="1" ht="15" x14ac:dyDescent="0.25">
      <c r="A88" s="66"/>
      <c r="B88" s="65">
        <v>1039</v>
      </c>
      <c r="C88" s="65">
        <v>1058</v>
      </c>
      <c r="D88" s="64">
        <f t="shared" si="19"/>
        <v>2097</v>
      </c>
      <c r="E88" s="97"/>
      <c r="F88" s="97"/>
      <c r="G88" s="97"/>
      <c r="H88" s="97"/>
      <c r="I88" s="97"/>
      <c r="J88" s="66"/>
      <c r="K88" s="66"/>
      <c r="L88" s="67" t="s">
        <v>68</v>
      </c>
      <c r="M88" s="67" t="s">
        <v>45</v>
      </c>
      <c r="N88" s="66" t="s">
        <v>165</v>
      </c>
      <c r="O88" s="68" t="s">
        <v>164</v>
      </c>
    </row>
    <row r="89" spans="1:15" s="106" customFormat="1" ht="15" x14ac:dyDescent="0.25">
      <c r="A89" s="103"/>
      <c r="B89" s="102">
        <v>6</v>
      </c>
      <c r="C89" s="102">
        <v>65</v>
      </c>
      <c r="D89" s="100">
        <f t="shared" si="19"/>
        <v>71</v>
      </c>
      <c r="E89" s="101"/>
      <c r="F89" s="101"/>
      <c r="G89" s="101"/>
      <c r="H89" s="101"/>
      <c r="I89" s="101"/>
      <c r="J89" s="103"/>
      <c r="K89" s="103"/>
      <c r="L89" s="104" t="s">
        <v>24</v>
      </c>
      <c r="M89" s="104">
        <v>2015</v>
      </c>
      <c r="N89" s="103" t="s">
        <v>176</v>
      </c>
      <c r="O89" s="105" t="s">
        <v>175</v>
      </c>
    </row>
    <row r="90" spans="1:15" s="106" customFormat="1" ht="15" x14ac:dyDescent="0.25">
      <c r="A90" s="103"/>
      <c r="B90" s="102">
        <v>6</v>
      </c>
      <c r="C90" s="102">
        <v>58</v>
      </c>
      <c r="D90" s="100">
        <f t="shared" si="19"/>
        <v>64</v>
      </c>
      <c r="E90" s="101"/>
      <c r="F90" s="101"/>
      <c r="G90" s="101"/>
      <c r="H90" s="101"/>
      <c r="I90" s="101"/>
      <c r="J90" s="103"/>
      <c r="K90" s="103"/>
      <c r="L90" s="104" t="s">
        <v>24</v>
      </c>
      <c r="M90" s="104">
        <v>2015</v>
      </c>
      <c r="N90" s="103" t="s">
        <v>180</v>
      </c>
      <c r="O90" s="105" t="s">
        <v>177</v>
      </c>
    </row>
    <row r="91" spans="1:15" s="106" customFormat="1" ht="15" x14ac:dyDescent="0.25">
      <c r="A91" s="103"/>
      <c r="B91" s="102">
        <v>527</v>
      </c>
      <c r="C91" s="102">
        <v>355</v>
      </c>
      <c r="D91" s="100">
        <f t="shared" si="19"/>
        <v>882</v>
      </c>
      <c r="E91" s="101"/>
      <c r="F91" s="101"/>
      <c r="G91" s="101"/>
      <c r="H91" s="101"/>
      <c r="I91" s="101"/>
      <c r="J91" s="103"/>
      <c r="K91" s="103"/>
      <c r="L91" s="104" t="s">
        <v>10</v>
      </c>
      <c r="M91" s="104">
        <v>2015</v>
      </c>
      <c r="N91" s="103" t="s">
        <v>179</v>
      </c>
      <c r="O91" s="105" t="s">
        <v>178</v>
      </c>
    </row>
    <row r="92" spans="1:15" s="106" customFormat="1" ht="15" x14ac:dyDescent="0.25">
      <c r="A92" s="103"/>
      <c r="B92" s="102">
        <v>634</v>
      </c>
      <c r="C92" s="102">
        <v>384</v>
      </c>
      <c r="D92" s="100">
        <f t="shared" si="19"/>
        <v>1018</v>
      </c>
      <c r="E92" s="101"/>
      <c r="F92" s="101"/>
      <c r="G92" s="101"/>
      <c r="H92" s="101"/>
      <c r="I92" s="101"/>
      <c r="J92" s="103"/>
      <c r="K92" s="103"/>
      <c r="L92" s="104" t="s">
        <v>10</v>
      </c>
      <c r="M92" s="104">
        <v>2015</v>
      </c>
      <c r="N92" s="103" t="s">
        <v>182</v>
      </c>
      <c r="O92" s="105" t="s">
        <v>181</v>
      </c>
    </row>
    <row r="93" spans="1:15" s="106" customFormat="1" ht="15" x14ac:dyDescent="0.25">
      <c r="A93" s="103"/>
      <c r="B93" s="102">
        <v>37</v>
      </c>
      <c r="C93" s="102">
        <v>75</v>
      </c>
      <c r="D93" s="100">
        <f t="shared" si="19"/>
        <v>112</v>
      </c>
      <c r="E93" s="101"/>
      <c r="F93" s="101"/>
      <c r="G93" s="101"/>
      <c r="H93" s="101"/>
      <c r="I93" s="101"/>
      <c r="J93" s="103"/>
      <c r="K93" s="103"/>
      <c r="L93" s="104" t="s">
        <v>184</v>
      </c>
      <c r="M93" s="104" t="s">
        <v>37</v>
      </c>
      <c r="N93" s="103" t="s">
        <v>183</v>
      </c>
      <c r="O93" s="105" t="s">
        <v>185</v>
      </c>
    </row>
    <row r="94" spans="1:15" s="106" customFormat="1" ht="15" x14ac:dyDescent="0.25">
      <c r="A94" s="103"/>
      <c r="B94" s="102">
        <v>99</v>
      </c>
      <c r="C94" s="102">
        <v>204</v>
      </c>
      <c r="D94" s="100">
        <f t="shared" si="19"/>
        <v>303</v>
      </c>
      <c r="E94" s="101"/>
      <c r="F94" s="101"/>
      <c r="G94" s="101"/>
      <c r="H94" s="101"/>
      <c r="I94" s="101"/>
      <c r="J94" s="103"/>
      <c r="K94" s="104" t="s">
        <v>227</v>
      </c>
      <c r="L94" s="104" t="s">
        <v>37</v>
      </c>
      <c r="M94" s="104" t="s">
        <v>45</v>
      </c>
      <c r="N94" s="103" t="s">
        <v>186</v>
      </c>
      <c r="O94" s="105" t="s">
        <v>187</v>
      </c>
    </row>
    <row r="95" spans="1:15" s="106" customFormat="1" ht="15" x14ac:dyDescent="0.25">
      <c r="A95" s="103"/>
      <c r="B95" s="102">
        <v>49</v>
      </c>
      <c r="C95" s="102">
        <v>259</v>
      </c>
      <c r="D95" s="100">
        <f t="shared" si="19"/>
        <v>308</v>
      </c>
      <c r="E95" s="101"/>
      <c r="F95" s="101"/>
      <c r="G95" s="101"/>
      <c r="H95" s="101"/>
      <c r="I95" s="101"/>
      <c r="J95" s="103"/>
      <c r="K95" s="103"/>
      <c r="L95" s="104" t="s">
        <v>24</v>
      </c>
      <c r="M95" s="104">
        <v>2015</v>
      </c>
      <c r="N95" s="103" t="s">
        <v>189</v>
      </c>
      <c r="O95" s="105" t="s">
        <v>188</v>
      </c>
    </row>
    <row r="96" spans="1:15" s="106" customFormat="1" ht="15" x14ac:dyDescent="0.25">
      <c r="A96" s="103"/>
      <c r="B96" s="102">
        <v>247</v>
      </c>
      <c r="C96" s="102">
        <v>221</v>
      </c>
      <c r="D96" s="100">
        <f t="shared" si="19"/>
        <v>468</v>
      </c>
      <c r="E96" s="101"/>
      <c r="F96" s="101"/>
      <c r="G96" s="101"/>
      <c r="H96" s="101"/>
      <c r="I96" s="101"/>
      <c r="J96" s="103"/>
      <c r="K96" s="103"/>
      <c r="L96" s="104" t="s">
        <v>10</v>
      </c>
      <c r="M96" s="104">
        <v>2015</v>
      </c>
      <c r="N96" s="103" t="s">
        <v>194</v>
      </c>
      <c r="O96" s="105" t="s">
        <v>193</v>
      </c>
    </row>
    <row r="97" spans="1:15" s="106" customFormat="1" ht="15" x14ac:dyDescent="0.25">
      <c r="A97" s="103"/>
      <c r="B97" s="102">
        <v>186</v>
      </c>
      <c r="C97" s="102">
        <v>261</v>
      </c>
      <c r="D97" s="100">
        <f t="shared" si="19"/>
        <v>447</v>
      </c>
      <c r="E97" s="101"/>
      <c r="F97" s="101"/>
      <c r="G97" s="101"/>
      <c r="H97" s="101"/>
      <c r="I97" s="101"/>
      <c r="J97" s="103"/>
      <c r="K97" s="103"/>
      <c r="L97" s="104" t="s">
        <v>196</v>
      </c>
      <c r="M97" s="104">
        <v>2015</v>
      </c>
      <c r="N97" s="103" t="s">
        <v>197</v>
      </c>
      <c r="O97" s="105" t="s">
        <v>195</v>
      </c>
    </row>
    <row r="98" spans="1:15" s="106" customFormat="1" ht="15" x14ac:dyDescent="0.25">
      <c r="A98" s="103"/>
      <c r="B98" s="102">
        <v>220</v>
      </c>
      <c r="C98" s="102">
        <v>189</v>
      </c>
      <c r="D98" s="100">
        <f t="shared" si="19"/>
        <v>409</v>
      </c>
      <c r="E98" s="101"/>
      <c r="F98" s="101"/>
      <c r="G98" s="101"/>
      <c r="H98" s="101"/>
      <c r="I98" s="101"/>
      <c r="J98" s="103"/>
      <c r="K98" s="103"/>
      <c r="L98" s="104" t="s">
        <v>10</v>
      </c>
      <c r="M98" s="104">
        <v>2015</v>
      </c>
      <c r="N98" s="103" t="s">
        <v>200</v>
      </c>
      <c r="O98" s="105" t="s">
        <v>201</v>
      </c>
    </row>
    <row r="99" spans="1:15" s="106" customFormat="1" ht="15" x14ac:dyDescent="0.25">
      <c r="A99" s="103"/>
      <c r="B99" s="102">
        <v>25</v>
      </c>
      <c r="C99" s="102">
        <v>51</v>
      </c>
      <c r="D99" s="100">
        <f t="shared" si="19"/>
        <v>76</v>
      </c>
      <c r="E99" s="101"/>
      <c r="F99" s="101"/>
      <c r="G99" s="101"/>
      <c r="H99" s="101"/>
      <c r="I99" s="101"/>
      <c r="J99" s="103"/>
      <c r="K99" s="103"/>
      <c r="L99" s="104" t="s">
        <v>203</v>
      </c>
      <c r="M99" s="104">
        <v>2015</v>
      </c>
      <c r="N99" s="103" t="s">
        <v>202</v>
      </c>
      <c r="O99" s="105" t="s">
        <v>204</v>
      </c>
    </row>
    <row r="100" spans="1:15" s="106" customFormat="1" ht="15" x14ac:dyDescent="0.25">
      <c r="A100" s="103"/>
      <c r="B100" s="102">
        <v>1064</v>
      </c>
      <c r="C100" s="102">
        <v>477</v>
      </c>
      <c r="D100" s="100">
        <f t="shared" si="19"/>
        <v>1541</v>
      </c>
      <c r="E100" s="101"/>
      <c r="F100" s="101"/>
      <c r="G100" s="101"/>
      <c r="H100" s="101"/>
      <c r="I100" s="101"/>
      <c r="J100" s="103"/>
      <c r="K100" s="103"/>
      <c r="L100" s="104" t="s">
        <v>196</v>
      </c>
      <c r="M100" s="104">
        <v>2015</v>
      </c>
      <c r="N100" s="103" t="s">
        <v>205</v>
      </c>
      <c r="O100" s="105" t="s">
        <v>206</v>
      </c>
    </row>
    <row r="101" spans="1:15" s="106" customFormat="1" ht="15" x14ac:dyDescent="0.25">
      <c r="A101" s="103"/>
      <c r="B101" s="102">
        <v>55</v>
      </c>
      <c r="C101" s="102">
        <v>630</v>
      </c>
      <c r="D101" s="100">
        <f t="shared" si="19"/>
        <v>685</v>
      </c>
      <c r="E101" s="101"/>
      <c r="F101" s="101"/>
      <c r="G101" s="101"/>
      <c r="H101" s="101"/>
      <c r="I101" s="101"/>
      <c r="J101" s="103"/>
      <c r="K101" s="103"/>
      <c r="L101" s="104" t="s">
        <v>10</v>
      </c>
      <c r="M101" s="104">
        <v>2013</v>
      </c>
      <c r="N101" s="103" t="s">
        <v>207</v>
      </c>
      <c r="O101" s="105" t="s">
        <v>208</v>
      </c>
    </row>
    <row r="102" spans="1:15" s="106" customFormat="1" ht="15" x14ac:dyDescent="0.25">
      <c r="A102" s="103"/>
      <c r="B102" s="102">
        <v>463</v>
      </c>
      <c r="C102" s="102">
        <v>428</v>
      </c>
      <c r="D102" s="100">
        <f t="shared" si="19"/>
        <v>891</v>
      </c>
      <c r="E102" s="101"/>
      <c r="F102" s="101"/>
      <c r="G102" s="101"/>
      <c r="H102" s="101"/>
      <c r="I102" s="101"/>
      <c r="J102" s="103"/>
      <c r="K102" s="103"/>
      <c r="L102" s="104" t="s">
        <v>196</v>
      </c>
      <c r="M102" s="104">
        <v>2015</v>
      </c>
      <c r="N102" s="103" t="s">
        <v>210</v>
      </c>
      <c r="O102" s="105" t="s">
        <v>209</v>
      </c>
    </row>
    <row r="103" spans="1:15" s="106" customFormat="1" ht="15" x14ac:dyDescent="0.25">
      <c r="A103" s="103"/>
      <c r="B103" s="102">
        <v>99</v>
      </c>
      <c r="C103" s="102">
        <v>204</v>
      </c>
      <c r="D103" s="100">
        <f t="shared" si="19"/>
        <v>303</v>
      </c>
      <c r="E103" s="101"/>
      <c r="F103" s="101"/>
      <c r="G103" s="101"/>
      <c r="H103" s="101"/>
      <c r="I103" s="101"/>
      <c r="J103" s="103"/>
      <c r="K103" s="103"/>
      <c r="L103" s="104" t="s">
        <v>10</v>
      </c>
      <c r="M103" s="104" t="s">
        <v>37</v>
      </c>
      <c r="N103" s="103" t="s">
        <v>212</v>
      </c>
      <c r="O103" s="105" t="s">
        <v>211</v>
      </c>
    </row>
    <row r="104" spans="1:15" s="106" customFormat="1" ht="15" x14ac:dyDescent="0.25">
      <c r="A104" s="103"/>
      <c r="B104" s="102">
        <v>217</v>
      </c>
      <c r="C104" s="102">
        <v>289</v>
      </c>
      <c r="D104" s="100">
        <f t="shared" si="19"/>
        <v>506</v>
      </c>
      <c r="E104" s="101"/>
      <c r="F104" s="101"/>
      <c r="G104" s="101"/>
      <c r="H104" s="101"/>
      <c r="I104" s="101"/>
      <c r="J104" s="103"/>
      <c r="K104" s="103"/>
      <c r="L104" s="104" t="s">
        <v>215</v>
      </c>
      <c r="M104" s="104" t="s">
        <v>37</v>
      </c>
      <c r="N104" s="103" t="s">
        <v>214</v>
      </c>
      <c r="O104" s="105" t="s">
        <v>213</v>
      </c>
    </row>
    <row r="105" spans="1:15" s="106" customFormat="1" ht="15" x14ac:dyDescent="0.25">
      <c r="A105" s="103"/>
      <c r="B105" s="102">
        <v>237</v>
      </c>
      <c r="C105" s="102">
        <v>284</v>
      </c>
      <c r="D105" s="100">
        <f t="shared" si="19"/>
        <v>521</v>
      </c>
      <c r="E105" s="101"/>
      <c r="F105" s="101"/>
      <c r="G105" s="101"/>
      <c r="H105" s="101"/>
      <c r="I105" s="101"/>
      <c r="J105" s="103"/>
      <c r="K105" s="103"/>
      <c r="L105" s="104" t="s">
        <v>68</v>
      </c>
      <c r="M105" s="104">
        <v>2016</v>
      </c>
      <c r="N105" s="103" t="s">
        <v>216</v>
      </c>
      <c r="O105" s="105" t="s">
        <v>217</v>
      </c>
    </row>
    <row r="106" spans="1:15" s="106" customFormat="1" ht="15" x14ac:dyDescent="0.25">
      <c r="A106" s="103"/>
      <c r="B106" s="102">
        <v>352</v>
      </c>
      <c r="C106" s="102">
        <v>447</v>
      </c>
      <c r="D106" s="100">
        <f t="shared" si="19"/>
        <v>799</v>
      </c>
      <c r="E106" s="101"/>
      <c r="F106" s="101"/>
      <c r="G106" s="101"/>
      <c r="H106" s="101"/>
      <c r="I106" s="101"/>
      <c r="J106" s="103"/>
      <c r="K106" s="103"/>
      <c r="L106" s="104" t="s">
        <v>218</v>
      </c>
      <c r="M106" s="104">
        <v>2015</v>
      </c>
      <c r="N106" s="103" t="s">
        <v>219</v>
      </c>
      <c r="O106" s="105" t="s">
        <v>220</v>
      </c>
    </row>
  </sheetData>
  <autoFilter ref="B3:O106"/>
  <mergeCells count="12">
    <mergeCell ref="M1:M3"/>
    <mergeCell ref="N1:N3"/>
    <mergeCell ref="O1:O3"/>
    <mergeCell ref="E2:F2"/>
    <mergeCell ref="G2:H2"/>
    <mergeCell ref="I2:I3"/>
    <mergeCell ref="L1:L3"/>
    <mergeCell ref="A1:A3"/>
    <mergeCell ref="B1:D2"/>
    <mergeCell ref="E1:I1"/>
    <mergeCell ref="J1:J3"/>
    <mergeCell ref="K1:K3"/>
  </mergeCells>
  <hyperlinks>
    <hyperlink ref="O4" r:id="rId1"/>
    <hyperlink ref="O85" r:id="rId2"/>
    <hyperlink ref="O86" r:id="rId3"/>
    <hyperlink ref="O87" r:id="rId4"/>
    <hyperlink ref="O88" r:id="rId5"/>
    <hyperlink ref="O89" r:id="rId6"/>
    <hyperlink ref="O90" r:id="rId7"/>
    <hyperlink ref="O91" r:id="rId8"/>
    <hyperlink ref="O92" r:id="rId9"/>
    <hyperlink ref="O93" r:id="rId10"/>
    <hyperlink ref="O94" r:id="rId11"/>
    <hyperlink ref="O95" r:id="rId12"/>
    <hyperlink ref="O96" r:id="rId13"/>
    <hyperlink ref="O97" r:id="rId14"/>
    <hyperlink ref="O98" r:id="rId15"/>
    <hyperlink ref="O99" r:id="rId16"/>
    <hyperlink ref="O100" r:id="rId17"/>
    <hyperlink ref="O101" r:id="rId18"/>
    <hyperlink ref="O102" r:id="rId19"/>
    <hyperlink ref="O103" r:id="rId20"/>
    <hyperlink ref="O104" r:id="rId21"/>
    <hyperlink ref="O105" r:id="rId22"/>
    <hyperlink ref="O106" r:id="rId23"/>
    <hyperlink ref="O80" r:id="rId24"/>
    <hyperlink ref="O76" r:id="rId25"/>
    <hyperlink ref="O75" r:id="rId26"/>
    <hyperlink ref="O77" r:id="rId27"/>
    <hyperlink ref="O78" r:id="rId28"/>
    <hyperlink ref="O79" r:id="rId29"/>
    <hyperlink ref="O81" r:id="rId30"/>
    <hyperlink ref="O82" r:id="rId31"/>
    <hyperlink ref="O83" r:id="rId32"/>
    <hyperlink ref="O84" r:id="rId33"/>
    <hyperlink ref="O15" r:id="rId34"/>
    <hyperlink ref="O37" r:id="rId35"/>
    <hyperlink ref="O5" r:id="rId36"/>
    <hyperlink ref="O6" r:id="rId37"/>
    <hyperlink ref="O7" r:id="rId38"/>
    <hyperlink ref="O8" r:id="rId39"/>
    <hyperlink ref="O9" r:id="rId40"/>
    <hyperlink ref="O10" r:id="rId41"/>
    <hyperlink ref="O11" r:id="rId42"/>
    <hyperlink ref="O12" r:id="rId43"/>
    <hyperlink ref="O13" r:id="rId44"/>
    <hyperlink ref="O14" r:id="rId45"/>
  </hyperlinks>
  <pageMargins left="0.7" right="0.7" top="0.75" bottom="0.75" header="0.3" footer="0.3"/>
  <pageSetup paperSize="9" orientation="portrait" verticalDpi="0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8"/>
  <sheetViews>
    <sheetView workbookViewId="0">
      <pane ySplit="2" topLeftCell="A3" activePane="bottomLeft" state="frozen"/>
      <selection activeCell="K1" sqref="K1"/>
      <selection pane="bottomLeft" activeCell="A32" sqref="A32:XFD32"/>
    </sheetView>
  </sheetViews>
  <sheetFormatPr defaultRowHeight="14.25" x14ac:dyDescent="0.25"/>
  <cols>
    <col min="1" max="1" width="9.7109375" style="134" customWidth="1"/>
    <col min="2" max="3" width="9.7109375" style="135" customWidth="1"/>
    <col min="4" max="6" width="13.85546875" style="135" customWidth="1"/>
    <col min="7" max="9" width="10.7109375" style="135" customWidth="1"/>
    <col min="10" max="10" width="10.85546875" style="134" customWidth="1"/>
    <col min="11" max="12" width="10.85546875" style="135" customWidth="1"/>
    <col min="13" max="15" width="9.85546875" style="135" customWidth="1"/>
    <col min="16" max="18" width="11.5703125" style="135" customWidth="1"/>
    <col min="19" max="19" width="29.42578125" style="107" customWidth="1"/>
    <col min="20" max="21" width="11.140625" style="107" customWidth="1"/>
    <col min="22" max="22" width="36.7109375" style="107" bestFit="1" customWidth="1"/>
    <col min="23" max="23" width="49" style="107" customWidth="1"/>
    <col min="24" max="25" width="17.140625" style="137" customWidth="1"/>
    <col min="26" max="16384" width="9.140625" style="107"/>
  </cols>
  <sheetData>
    <row r="1" spans="1:25" s="2" customFormat="1" ht="14.25" customHeight="1" x14ac:dyDescent="0.25">
      <c r="A1" s="156" t="s">
        <v>13</v>
      </c>
      <c r="B1" s="156" t="s">
        <v>11</v>
      </c>
      <c r="C1" s="156" t="s">
        <v>12</v>
      </c>
      <c r="D1" s="156" t="s">
        <v>224</v>
      </c>
      <c r="E1" s="156" t="s">
        <v>11</v>
      </c>
      <c r="F1" s="156" t="s">
        <v>12</v>
      </c>
      <c r="G1" s="156" t="s">
        <v>31</v>
      </c>
      <c r="H1" s="156" t="s">
        <v>11</v>
      </c>
      <c r="I1" s="156" t="s">
        <v>12</v>
      </c>
      <c r="J1" s="156" t="s">
        <v>225</v>
      </c>
      <c r="K1" s="156"/>
      <c r="L1" s="156"/>
      <c r="M1" s="156" t="s">
        <v>27</v>
      </c>
      <c r="N1" s="156"/>
      <c r="O1" s="156"/>
      <c r="P1" s="156" t="s">
        <v>28</v>
      </c>
      <c r="Q1" s="156"/>
      <c r="R1" s="156"/>
      <c r="S1" s="156" t="s">
        <v>7</v>
      </c>
      <c r="T1" s="156" t="s">
        <v>0</v>
      </c>
      <c r="U1" s="156" t="s">
        <v>1</v>
      </c>
      <c r="V1" s="156" t="s">
        <v>2</v>
      </c>
      <c r="W1" s="156" t="s">
        <v>3</v>
      </c>
      <c r="X1" s="156" t="s">
        <v>252</v>
      </c>
      <c r="Y1" s="156" t="s">
        <v>255</v>
      </c>
    </row>
    <row r="2" spans="1:25" s="2" customFormat="1" ht="28.5" x14ac:dyDescent="0.25">
      <c r="A2" s="1" t="s">
        <v>6</v>
      </c>
      <c r="B2" s="1" t="s">
        <v>8</v>
      </c>
      <c r="C2" s="1" t="s">
        <v>14</v>
      </c>
      <c r="D2" s="1" t="s">
        <v>6</v>
      </c>
      <c r="E2" s="1" t="s">
        <v>8</v>
      </c>
      <c r="F2" s="1" t="s">
        <v>14</v>
      </c>
      <c r="G2" s="1" t="s">
        <v>6</v>
      </c>
      <c r="H2" s="1" t="s">
        <v>8</v>
      </c>
      <c r="I2" s="1" t="s">
        <v>14</v>
      </c>
      <c r="J2" s="78" t="s">
        <v>6</v>
      </c>
      <c r="K2" s="1" t="s">
        <v>4</v>
      </c>
      <c r="L2" s="1" t="s">
        <v>5</v>
      </c>
      <c r="M2" s="1" t="s">
        <v>6</v>
      </c>
      <c r="N2" s="1" t="s">
        <v>4</v>
      </c>
      <c r="O2" s="1" t="s">
        <v>5</v>
      </c>
      <c r="P2" s="1" t="s">
        <v>6</v>
      </c>
      <c r="Q2" s="1" t="s">
        <v>4</v>
      </c>
      <c r="R2" s="1" t="s">
        <v>5</v>
      </c>
      <c r="S2" s="156"/>
      <c r="T2" s="156"/>
      <c r="U2" s="156"/>
      <c r="V2" s="156"/>
      <c r="W2" s="156"/>
      <c r="X2" s="156"/>
      <c r="Y2" s="156"/>
    </row>
    <row r="3" spans="1:25" s="94" customFormat="1" ht="15" x14ac:dyDescent="0.25">
      <c r="A3" s="88">
        <f t="shared" ref="A3:A18" si="0">B3+C3</f>
        <v>209</v>
      </c>
      <c r="B3" s="89">
        <v>74</v>
      </c>
      <c r="C3" s="89">
        <v>135</v>
      </c>
      <c r="D3" s="88">
        <f>E3+F3</f>
        <v>72</v>
      </c>
      <c r="E3" s="90">
        <v>17</v>
      </c>
      <c r="F3" s="90">
        <v>55</v>
      </c>
      <c r="G3" s="88">
        <f>H3+I3</f>
        <v>137</v>
      </c>
      <c r="H3" s="90">
        <f>B3-E3</f>
        <v>57</v>
      </c>
      <c r="I3" s="90">
        <f>C3-F3</f>
        <v>80</v>
      </c>
      <c r="J3" s="79">
        <f>M3+P3</f>
        <v>50</v>
      </c>
      <c r="K3" s="89">
        <f>N3+Q3</f>
        <v>21</v>
      </c>
      <c r="L3" s="89">
        <f>O3+R3</f>
        <v>29</v>
      </c>
      <c r="M3" s="88">
        <f>N3+O3</f>
        <v>4</v>
      </c>
      <c r="N3" s="90">
        <v>3</v>
      </c>
      <c r="O3" s="90">
        <v>1</v>
      </c>
      <c r="P3" s="88">
        <f t="shared" ref="P3:P18" si="1">Q3+R3</f>
        <v>46</v>
      </c>
      <c r="Q3" s="89">
        <v>18</v>
      </c>
      <c r="R3" s="89">
        <v>28</v>
      </c>
      <c r="S3" s="91"/>
      <c r="T3" s="92">
        <v>2013</v>
      </c>
      <c r="U3" s="92">
        <v>2018</v>
      </c>
      <c r="V3" s="91" t="s">
        <v>15</v>
      </c>
      <c r="W3" s="93" t="s">
        <v>16</v>
      </c>
      <c r="X3" s="92" t="s">
        <v>253</v>
      </c>
      <c r="Y3" s="92" t="s">
        <v>256</v>
      </c>
    </row>
    <row r="4" spans="1:25" s="94" customFormat="1" ht="15" x14ac:dyDescent="0.25">
      <c r="A4" s="88">
        <f t="shared" si="0"/>
        <v>209</v>
      </c>
      <c r="B4" s="89">
        <v>74</v>
      </c>
      <c r="C4" s="89">
        <v>135</v>
      </c>
      <c r="D4" s="88">
        <f t="shared" ref="D4:D18" si="2">E4+F4</f>
        <v>72</v>
      </c>
      <c r="E4" s="90">
        <v>17</v>
      </c>
      <c r="F4" s="90">
        <v>55</v>
      </c>
      <c r="G4" s="88">
        <f t="shared" ref="G4:G18" si="3">H4+I4</f>
        <v>137</v>
      </c>
      <c r="H4" s="90">
        <f t="shared" ref="H4:H18" si="4">B4-E4</f>
        <v>57</v>
      </c>
      <c r="I4" s="90">
        <f t="shared" ref="I4:I18" si="5">C4-F4</f>
        <v>80</v>
      </c>
      <c r="J4" s="79">
        <f t="shared" ref="J4:J69" si="6">M4+P4</f>
        <v>78</v>
      </c>
      <c r="K4" s="89">
        <f t="shared" ref="K4:K69" si="7">N4+Q4</f>
        <v>42</v>
      </c>
      <c r="L4" s="89">
        <f t="shared" ref="L4:L69" si="8">O4+R4</f>
        <v>36</v>
      </c>
      <c r="M4" s="88">
        <f t="shared" ref="M4:M18" si="9">N4+O4</f>
        <v>23</v>
      </c>
      <c r="N4" s="90">
        <v>15</v>
      </c>
      <c r="O4" s="108">
        <v>8</v>
      </c>
      <c r="P4" s="88">
        <f t="shared" si="1"/>
        <v>55</v>
      </c>
      <c r="Q4" s="89">
        <v>27</v>
      </c>
      <c r="R4" s="89">
        <v>28</v>
      </c>
      <c r="S4" s="91" t="s">
        <v>26</v>
      </c>
      <c r="T4" s="92">
        <v>2013</v>
      </c>
      <c r="U4" s="92">
        <v>2018</v>
      </c>
      <c r="V4" s="91" t="s">
        <v>15</v>
      </c>
      <c r="W4" s="93" t="s">
        <v>16</v>
      </c>
      <c r="X4" s="92" t="s">
        <v>253</v>
      </c>
      <c r="Y4" s="92" t="s">
        <v>256</v>
      </c>
    </row>
    <row r="5" spans="1:25" s="2" customFormat="1" ht="15" x14ac:dyDescent="0.25">
      <c r="A5" s="13">
        <f>B5+C5</f>
        <v>614</v>
      </c>
      <c r="B5" s="8">
        <v>256</v>
      </c>
      <c r="C5" s="8">
        <v>358</v>
      </c>
      <c r="D5" s="15">
        <f t="shared" si="2"/>
        <v>226</v>
      </c>
      <c r="E5" s="12">
        <v>77</v>
      </c>
      <c r="F5" s="12">
        <v>149</v>
      </c>
      <c r="G5" s="20">
        <f t="shared" si="3"/>
        <v>388</v>
      </c>
      <c r="H5" s="11">
        <f t="shared" si="4"/>
        <v>179</v>
      </c>
      <c r="I5" s="11">
        <f t="shared" si="5"/>
        <v>209</v>
      </c>
      <c r="J5" s="79">
        <f t="shared" si="6"/>
        <v>301</v>
      </c>
      <c r="K5" s="9">
        <f t="shared" si="7"/>
        <v>164</v>
      </c>
      <c r="L5" s="9">
        <f t="shared" si="8"/>
        <v>137</v>
      </c>
      <c r="M5" s="15">
        <f t="shared" si="9"/>
        <v>21</v>
      </c>
      <c r="N5" s="12">
        <v>13</v>
      </c>
      <c r="O5" s="19">
        <v>8</v>
      </c>
      <c r="P5" s="20">
        <f>Q5+R5</f>
        <v>280</v>
      </c>
      <c r="Q5" s="11">
        <v>151</v>
      </c>
      <c r="R5" s="11">
        <v>129</v>
      </c>
      <c r="S5" s="6"/>
      <c r="T5" s="3" t="s">
        <v>10</v>
      </c>
      <c r="U5" s="3">
        <v>2016</v>
      </c>
      <c r="V5" s="7" t="s">
        <v>9</v>
      </c>
      <c r="W5" s="17" t="s">
        <v>17</v>
      </c>
      <c r="X5" s="4" t="s">
        <v>254</v>
      </c>
      <c r="Y5" s="4" t="s">
        <v>257</v>
      </c>
    </row>
    <row r="6" spans="1:25" s="2" customFormat="1" ht="15" x14ac:dyDescent="0.25">
      <c r="A6" s="13">
        <f t="shared" si="0"/>
        <v>506</v>
      </c>
      <c r="B6" s="9">
        <v>150</v>
      </c>
      <c r="C6" s="9">
        <v>356</v>
      </c>
      <c r="D6" s="15">
        <f t="shared" si="2"/>
        <v>196</v>
      </c>
      <c r="E6" s="12">
        <v>47</v>
      </c>
      <c r="F6" s="12">
        <v>149</v>
      </c>
      <c r="G6" s="20">
        <f t="shared" si="3"/>
        <v>310</v>
      </c>
      <c r="H6" s="11">
        <f t="shared" si="4"/>
        <v>103</v>
      </c>
      <c r="I6" s="11">
        <f t="shared" si="5"/>
        <v>207</v>
      </c>
      <c r="J6" s="79">
        <f t="shared" si="6"/>
        <v>98</v>
      </c>
      <c r="K6" s="9">
        <f t="shared" si="7"/>
        <v>47</v>
      </c>
      <c r="L6" s="9">
        <f t="shared" si="8"/>
        <v>51</v>
      </c>
      <c r="M6" s="15">
        <f t="shared" si="9"/>
        <v>20</v>
      </c>
      <c r="N6" s="12">
        <v>12</v>
      </c>
      <c r="O6" s="19">
        <v>8</v>
      </c>
      <c r="P6" s="20">
        <f t="shared" si="1"/>
        <v>78</v>
      </c>
      <c r="Q6" s="21">
        <v>35</v>
      </c>
      <c r="R6" s="21">
        <v>43</v>
      </c>
      <c r="S6" s="7" t="s">
        <v>18</v>
      </c>
      <c r="T6" s="3" t="s">
        <v>10</v>
      </c>
      <c r="U6" s="3">
        <v>2016</v>
      </c>
      <c r="V6" s="7" t="s">
        <v>9</v>
      </c>
      <c r="W6" s="17" t="s">
        <v>17</v>
      </c>
      <c r="X6" s="4" t="s">
        <v>254</v>
      </c>
      <c r="Y6" s="4" t="s">
        <v>257</v>
      </c>
    </row>
    <row r="7" spans="1:25" s="94" customFormat="1" ht="15" x14ac:dyDescent="0.25">
      <c r="A7" s="88">
        <f t="shared" si="0"/>
        <v>188</v>
      </c>
      <c r="B7" s="89">
        <v>45</v>
      </c>
      <c r="C7" s="89">
        <v>143</v>
      </c>
      <c r="D7" s="88">
        <f t="shared" si="2"/>
        <v>92</v>
      </c>
      <c r="E7" s="90">
        <v>16</v>
      </c>
      <c r="F7" s="90">
        <v>76</v>
      </c>
      <c r="G7" s="88">
        <f t="shared" si="3"/>
        <v>96</v>
      </c>
      <c r="H7" s="90">
        <f t="shared" si="4"/>
        <v>29</v>
      </c>
      <c r="I7" s="90">
        <f t="shared" si="5"/>
        <v>67</v>
      </c>
      <c r="J7" s="79">
        <f t="shared" si="6"/>
        <v>61</v>
      </c>
      <c r="K7" s="89">
        <f t="shared" si="7"/>
        <v>32</v>
      </c>
      <c r="L7" s="89">
        <f t="shared" si="8"/>
        <v>29</v>
      </c>
      <c r="M7" s="88">
        <f t="shared" si="9"/>
        <v>6</v>
      </c>
      <c r="N7" s="90">
        <v>5</v>
      </c>
      <c r="O7" s="90">
        <v>1</v>
      </c>
      <c r="P7" s="88">
        <f t="shared" si="1"/>
        <v>55</v>
      </c>
      <c r="Q7" s="89">
        <v>27</v>
      </c>
      <c r="R7" s="89">
        <v>28</v>
      </c>
      <c r="S7" s="91"/>
      <c r="T7" s="109" t="s">
        <v>21</v>
      </c>
      <c r="U7" s="92">
        <v>2017</v>
      </c>
      <c r="V7" s="91" t="s">
        <v>20</v>
      </c>
      <c r="W7" s="93" t="s">
        <v>19</v>
      </c>
      <c r="X7" s="92" t="s">
        <v>254</v>
      </c>
      <c r="Y7" s="92" t="s">
        <v>257</v>
      </c>
    </row>
    <row r="8" spans="1:25" s="94" customFormat="1" ht="15" x14ac:dyDescent="0.25">
      <c r="A8" s="88">
        <f t="shared" si="0"/>
        <v>188</v>
      </c>
      <c r="B8" s="89">
        <v>45</v>
      </c>
      <c r="C8" s="89">
        <v>143</v>
      </c>
      <c r="D8" s="88">
        <f t="shared" si="2"/>
        <v>92</v>
      </c>
      <c r="E8" s="90">
        <v>16</v>
      </c>
      <c r="F8" s="90">
        <v>76</v>
      </c>
      <c r="G8" s="88">
        <f t="shared" si="3"/>
        <v>96</v>
      </c>
      <c r="H8" s="90">
        <f t="shared" si="4"/>
        <v>29</v>
      </c>
      <c r="I8" s="90">
        <f t="shared" si="5"/>
        <v>67</v>
      </c>
      <c r="J8" s="79">
        <f t="shared" si="6"/>
        <v>108</v>
      </c>
      <c r="K8" s="89">
        <f t="shared" si="7"/>
        <v>68</v>
      </c>
      <c r="L8" s="89">
        <f t="shared" si="8"/>
        <v>40</v>
      </c>
      <c r="M8" s="88">
        <f t="shared" si="9"/>
        <v>35</v>
      </c>
      <c r="N8" s="90">
        <v>32</v>
      </c>
      <c r="O8" s="90">
        <v>3</v>
      </c>
      <c r="P8" s="88">
        <f t="shared" si="1"/>
        <v>73</v>
      </c>
      <c r="Q8" s="89">
        <v>36</v>
      </c>
      <c r="R8" s="89">
        <v>37</v>
      </c>
      <c r="S8" s="91" t="s">
        <v>26</v>
      </c>
      <c r="T8" s="109" t="s">
        <v>21</v>
      </c>
      <c r="U8" s="92">
        <v>2017</v>
      </c>
      <c r="V8" s="91" t="s">
        <v>20</v>
      </c>
      <c r="W8" s="93" t="s">
        <v>19</v>
      </c>
      <c r="X8" s="92" t="s">
        <v>254</v>
      </c>
      <c r="Y8" s="92" t="s">
        <v>257</v>
      </c>
    </row>
    <row r="9" spans="1:25" s="94" customFormat="1" ht="15" x14ac:dyDescent="0.25">
      <c r="A9" s="88">
        <f t="shared" si="0"/>
        <v>69</v>
      </c>
      <c r="B9" s="89">
        <v>8</v>
      </c>
      <c r="C9" s="89">
        <v>61</v>
      </c>
      <c r="D9" s="88">
        <f t="shared" si="2"/>
        <v>14</v>
      </c>
      <c r="E9" s="90">
        <v>0</v>
      </c>
      <c r="F9" s="90">
        <v>14</v>
      </c>
      <c r="G9" s="88">
        <f t="shared" si="3"/>
        <v>55</v>
      </c>
      <c r="H9" s="90">
        <f t="shared" si="4"/>
        <v>8</v>
      </c>
      <c r="I9" s="90">
        <f t="shared" si="5"/>
        <v>47</v>
      </c>
      <c r="J9" s="79">
        <f t="shared" si="6"/>
        <v>60</v>
      </c>
      <c r="K9" s="89">
        <f t="shared" si="7"/>
        <v>33</v>
      </c>
      <c r="L9" s="89">
        <f t="shared" si="8"/>
        <v>27</v>
      </c>
      <c r="M9" s="88">
        <f t="shared" si="9"/>
        <v>1</v>
      </c>
      <c r="N9" s="90">
        <v>1</v>
      </c>
      <c r="O9" s="90">
        <v>0</v>
      </c>
      <c r="P9" s="88">
        <f t="shared" si="1"/>
        <v>59</v>
      </c>
      <c r="Q9" s="89">
        <v>32</v>
      </c>
      <c r="R9" s="89">
        <v>27</v>
      </c>
      <c r="S9" s="91"/>
      <c r="T9" s="92" t="s">
        <v>24</v>
      </c>
      <c r="U9" s="92">
        <v>2018</v>
      </c>
      <c r="V9" s="91" t="s">
        <v>23</v>
      </c>
      <c r="W9" s="93" t="s">
        <v>22</v>
      </c>
      <c r="X9" s="92" t="s">
        <v>253</v>
      </c>
      <c r="Y9" s="92" t="s">
        <v>256</v>
      </c>
    </row>
    <row r="10" spans="1:25" s="118" customFormat="1" ht="15" x14ac:dyDescent="0.25">
      <c r="A10" s="72">
        <f t="shared" si="0"/>
        <v>465</v>
      </c>
      <c r="B10" s="112">
        <v>176</v>
      </c>
      <c r="C10" s="112">
        <v>289</v>
      </c>
      <c r="D10" s="72">
        <f t="shared" si="2"/>
        <v>199</v>
      </c>
      <c r="E10" s="114">
        <v>84</v>
      </c>
      <c r="F10" s="114">
        <v>115</v>
      </c>
      <c r="G10" s="72">
        <f t="shared" si="3"/>
        <v>266</v>
      </c>
      <c r="H10" s="114">
        <f t="shared" si="4"/>
        <v>92</v>
      </c>
      <c r="I10" s="114">
        <f t="shared" si="5"/>
        <v>174</v>
      </c>
      <c r="J10" s="71">
        <f t="shared" si="6"/>
        <v>101</v>
      </c>
      <c r="K10" s="112">
        <f t="shared" si="7"/>
        <v>71</v>
      </c>
      <c r="L10" s="112">
        <f t="shared" si="8"/>
        <v>30</v>
      </c>
      <c r="M10" s="72">
        <f t="shared" si="9"/>
        <v>16</v>
      </c>
      <c r="N10" s="114">
        <v>11</v>
      </c>
      <c r="O10" s="114">
        <v>5</v>
      </c>
      <c r="P10" s="72">
        <f t="shared" si="1"/>
        <v>85</v>
      </c>
      <c r="Q10" s="112">
        <v>60</v>
      </c>
      <c r="R10" s="112">
        <v>25</v>
      </c>
      <c r="S10" s="115" t="s">
        <v>25</v>
      </c>
      <c r="T10" s="116">
        <v>2018</v>
      </c>
      <c r="U10" s="116">
        <v>2018</v>
      </c>
      <c r="V10" s="115" t="s">
        <v>29</v>
      </c>
      <c r="W10" s="110" t="s">
        <v>30</v>
      </c>
      <c r="X10" s="116"/>
      <c r="Y10" s="116"/>
    </row>
    <row r="11" spans="1:25" s="94" customFormat="1" ht="15" x14ac:dyDescent="0.25">
      <c r="A11" s="88">
        <f t="shared" si="0"/>
        <v>433</v>
      </c>
      <c r="B11" s="89">
        <v>189</v>
      </c>
      <c r="C11" s="89">
        <v>244</v>
      </c>
      <c r="D11" s="88">
        <f t="shared" si="2"/>
        <v>165</v>
      </c>
      <c r="E11" s="90">
        <v>56</v>
      </c>
      <c r="F11" s="90">
        <v>109</v>
      </c>
      <c r="G11" s="88">
        <f t="shared" si="3"/>
        <v>268</v>
      </c>
      <c r="H11" s="90">
        <f t="shared" si="4"/>
        <v>133</v>
      </c>
      <c r="I11" s="90">
        <f t="shared" si="5"/>
        <v>135</v>
      </c>
      <c r="J11" s="79">
        <f t="shared" si="6"/>
        <v>242</v>
      </c>
      <c r="K11" s="89">
        <f t="shared" si="7"/>
        <v>132</v>
      </c>
      <c r="L11" s="89">
        <f t="shared" si="8"/>
        <v>110</v>
      </c>
      <c r="M11" s="88">
        <f t="shared" si="9"/>
        <v>11</v>
      </c>
      <c r="N11" s="90">
        <v>8</v>
      </c>
      <c r="O11" s="90">
        <v>3</v>
      </c>
      <c r="P11" s="88">
        <f t="shared" si="1"/>
        <v>231</v>
      </c>
      <c r="Q11" s="89">
        <v>124</v>
      </c>
      <c r="R11" s="89">
        <v>107</v>
      </c>
      <c r="S11" s="91"/>
      <c r="T11" s="109" t="s">
        <v>21</v>
      </c>
      <c r="U11" s="92">
        <v>2017</v>
      </c>
      <c r="V11" s="91" t="s">
        <v>33</v>
      </c>
      <c r="W11" s="93" t="s">
        <v>32</v>
      </c>
      <c r="X11" s="92" t="s">
        <v>254</v>
      </c>
      <c r="Y11" s="92" t="s">
        <v>257</v>
      </c>
    </row>
    <row r="12" spans="1:25" s="94" customFormat="1" ht="15" x14ac:dyDescent="0.25">
      <c r="A12" s="88">
        <f t="shared" si="0"/>
        <v>433</v>
      </c>
      <c r="B12" s="89">
        <v>189</v>
      </c>
      <c r="C12" s="89">
        <v>244</v>
      </c>
      <c r="D12" s="88">
        <f t="shared" si="2"/>
        <v>165</v>
      </c>
      <c r="E12" s="90">
        <v>56</v>
      </c>
      <c r="F12" s="90">
        <v>109</v>
      </c>
      <c r="G12" s="88">
        <f t="shared" si="3"/>
        <v>268</v>
      </c>
      <c r="H12" s="90">
        <f t="shared" si="4"/>
        <v>133</v>
      </c>
      <c r="I12" s="90">
        <f t="shared" si="5"/>
        <v>135</v>
      </c>
      <c r="J12" s="79">
        <f t="shared" si="6"/>
        <v>279</v>
      </c>
      <c r="K12" s="89">
        <f t="shared" si="7"/>
        <v>156</v>
      </c>
      <c r="L12" s="89">
        <f t="shared" si="8"/>
        <v>123</v>
      </c>
      <c r="M12" s="88">
        <f t="shared" si="9"/>
        <v>48</v>
      </c>
      <c r="N12" s="90">
        <v>32</v>
      </c>
      <c r="O12" s="90">
        <v>16</v>
      </c>
      <c r="P12" s="88">
        <f t="shared" si="1"/>
        <v>231</v>
      </c>
      <c r="Q12" s="89">
        <v>124</v>
      </c>
      <c r="R12" s="89">
        <v>107</v>
      </c>
      <c r="S12" s="91" t="s">
        <v>26</v>
      </c>
      <c r="T12" s="109" t="s">
        <v>21</v>
      </c>
      <c r="U12" s="92">
        <v>2017</v>
      </c>
      <c r="V12" s="91" t="s">
        <v>33</v>
      </c>
      <c r="W12" s="93" t="s">
        <v>32</v>
      </c>
      <c r="X12" s="92" t="s">
        <v>254</v>
      </c>
      <c r="Y12" s="92" t="s">
        <v>257</v>
      </c>
    </row>
    <row r="13" spans="1:25" s="94" customFormat="1" ht="15" x14ac:dyDescent="0.25">
      <c r="A13" s="88">
        <f t="shared" si="0"/>
        <v>848</v>
      </c>
      <c r="B13" s="89">
        <v>105</v>
      </c>
      <c r="C13" s="89">
        <v>743</v>
      </c>
      <c r="D13" s="88">
        <f t="shared" si="2"/>
        <v>479</v>
      </c>
      <c r="E13" s="90">
        <v>45</v>
      </c>
      <c r="F13" s="90">
        <v>434</v>
      </c>
      <c r="G13" s="88">
        <f t="shared" si="3"/>
        <v>369</v>
      </c>
      <c r="H13" s="90">
        <f t="shared" si="4"/>
        <v>60</v>
      </c>
      <c r="I13" s="90">
        <f t="shared" si="5"/>
        <v>309</v>
      </c>
      <c r="J13" s="79">
        <f t="shared" si="6"/>
        <v>224</v>
      </c>
      <c r="K13" s="89">
        <f t="shared" si="7"/>
        <v>115</v>
      </c>
      <c r="L13" s="89">
        <f t="shared" si="8"/>
        <v>109</v>
      </c>
      <c r="M13" s="88">
        <f t="shared" si="9"/>
        <v>33</v>
      </c>
      <c r="N13" s="90">
        <v>25</v>
      </c>
      <c r="O13" s="108">
        <v>8</v>
      </c>
      <c r="P13" s="88">
        <f t="shared" si="1"/>
        <v>191</v>
      </c>
      <c r="Q13" s="89">
        <v>90</v>
      </c>
      <c r="R13" s="89">
        <v>101</v>
      </c>
      <c r="S13" s="91"/>
      <c r="T13" s="109" t="s">
        <v>21</v>
      </c>
      <c r="U13" s="92">
        <v>2017</v>
      </c>
      <c r="V13" s="91" t="s">
        <v>34</v>
      </c>
      <c r="W13" s="93" t="s">
        <v>35</v>
      </c>
      <c r="X13" s="92" t="s">
        <v>254</v>
      </c>
      <c r="Y13" s="92" t="s">
        <v>257</v>
      </c>
    </row>
    <row r="14" spans="1:25" s="94" customFormat="1" ht="15" x14ac:dyDescent="0.25">
      <c r="A14" s="88">
        <f t="shared" si="0"/>
        <v>848</v>
      </c>
      <c r="B14" s="89">
        <v>105</v>
      </c>
      <c r="C14" s="89">
        <v>743</v>
      </c>
      <c r="D14" s="88">
        <f t="shared" si="2"/>
        <v>479</v>
      </c>
      <c r="E14" s="90">
        <v>45</v>
      </c>
      <c r="F14" s="90">
        <v>434</v>
      </c>
      <c r="G14" s="88">
        <f t="shared" si="3"/>
        <v>369</v>
      </c>
      <c r="H14" s="90">
        <f t="shared" si="4"/>
        <v>60</v>
      </c>
      <c r="I14" s="90">
        <f t="shared" si="5"/>
        <v>309</v>
      </c>
      <c r="J14" s="79">
        <f t="shared" si="6"/>
        <v>374</v>
      </c>
      <c r="K14" s="89">
        <f t="shared" si="7"/>
        <v>216</v>
      </c>
      <c r="L14" s="89">
        <f t="shared" si="8"/>
        <v>158</v>
      </c>
      <c r="M14" s="88">
        <f t="shared" si="9"/>
        <v>172</v>
      </c>
      <c r="N14" s="90">
        <v>115</v>
      </c>
      <c r="O14" s="90">
        <v>57</v>
      </c>
      <c r="P14" s="88">
        <f t="shared" si="1"/>
        <v>202</v>
      </c>
      <c r="Q14" s="89">
        <v>101</v>
      </c>
      <c r="R14" s="89">
        <v>101</v>
      </c>
      <c r="S14" s="91" t="s">
        <v>26</v>
      </c>
      <c r="T14" s="109" t="s">
        <v>21</v>
      </c>
      <c r="U14" s="92">
        <v>2017</v>
      </c>
      <c r="V14" s="91" t="s">
        <v>34</v>
      </c>
      <c r="W14" s="93" t="s">
        <v>35</v>
      </c>
      <c r="X14" s="92" t="s">
        <v>254</v>
      </c>
      <c r="Y14" s="92" t="s">
        <v>257</v>
      </c>
    </row>
    <row r="15" spans="1:25" s="94" customFormat="1" ht="15" x14ac:dyDescent="0.25">
      <c r="A15" s="88">
        <f t="shared" si="0"/>
        <v>230</v>
      </c>
      <c r="B15" s="89">
        <v>66</v>
      </c>
      <c r="C15" s="89">
        <v>164</v>
      </c>
      <c r="D15" s="88">
        <f t="shared" si="2"/>
        <v>106</v>
      </c>
      <c r="E15" s="90">
        <v>27</v>
      </c>
      <c r="F15" s="90">
        <v>79</v>
      </c>
      <c r="G15" s="88">
        <f t="shared" si="3"/>
        <v>124</v>
      </c>
      <c r="H15" s="90">
        <f t="shared" si="4"/>
        <v>39</v>
      </c>
      <c r="I15" s="90">
        <f t="shared" si="5"/>
        <v>85</v>
      </c>
      <c r="J15" s="79">
        <f t="shared" si="6"/>
        <v>31</v>
      </c>
      <c r="K15" s="89">
        <f t="shared" si="7"/>
        <v>13</v>
      </c>
      <c r="L15" s="89">
        <f t="shared" si="8"/>
        <v>18</v>
      </c>
      <c r="M15" s="88">
        <f t="shared" si="9"/>
        <v>7</v>
      </c>
      <c r="N15" s="90">
        <v>5</v>
      </c>
      <c r="O15" s="90">
        <v>2</v>
      </c>
      <c r="P15" s="88">
        <f t="shared" si="1"/>
        <v>24</v>
      </c>
      <c r="Q15" s="89">
        <v>8</v>
      </c>
      <c r="R15" s="89">
        <v>16</v>
      </c>
      <c r="S15" s="91"/>
      <c r="T15" s="109" t="s">
        <v>37</v>
      </c>
      <c r="U15" s="92">
        <v>2017</v>
      </c>
      <c r="V15" s="91" t="s">
        <v>38</v>
      </c>
      <c r="W15" s="93" t="s">
        <v>36</v>
      </c>
      <c r="X15" s="92" t="s">
        <v>253</v>
      </c>
      <c r="Y15" s="92" t="s">
        <v>256</v>
      </c>
    </row>
    <row r="16" spans="1:25" s="94" customFormat="1" ht="15" x14ac:dyDescent="0.25">
      <c r="A16" s="88">
        <f t="shared" ref="A16" si="10">B16+C16</f>
        <v>364</v>
      </c>
      <c r="B16" s="89">
        <v>104</v>
      </c>
      <c r="C16" s="89">
        <v>260</v>
      </c>
      <c r="D16" s="88">
        <f t="shared" ref="D16" si="11">E16+F16</f>
        <v>205</v>
      </c>
      <c r="E16" s="90">
        <v>85</v>
      </c>
      <c r="F16" s="90">
        <v>120</v>
      </c>
      <c r="G16" s="88">
        <f t="shared" ref="G16" si="12">H16+I16</f>
        <v>159</v>
      </c>
      <c r="H16" s="90">
        <f t="shared" ref="H16" si="13">B16-E16</f>
        <v>19</v>
      </c>
      <c r="I16" s="90">
        <f t="shared" ref="I16" si="14">C16-F16</f>
        <v>140</v>
      </c>
      <c r="J16" s="79">
        <f t="shared" ref="J16" si="15">M16+P16</f>
        <v>731</v>
      </c>
      <c r="K16" s="89">
        <f t="shared" ref="K16" si="16">N16+Q16</f>
        <v>358</v>
      </c>
      <c r="L16" s="89">
        <f t="shared" ref="L16" si="17">O16+R16</f>
        <v>373</v>
      </c>
      <c r="M16" s="88">
        <f t="shared" ref="M16" si="18">N16+O16</f>
        <v>13</v>
      </c>
      <c r="N16" s="90">
        <v>10</v>
      </c>
      <c r="O16" s="90">
        <v>3</v>
      </c>
      <c r="P16" s="88">
        <f t="shared" ref="P16" si="19">Q16+R16</f>
        <v>718</v>
      </c>
      <c r="Q16" s="89">
        <v>348</v>
      </c>
      <c r="R16" s="89">
        <v>370</v>
      </c>
      <c r="S16" s="91"/>
      <c r="T16" s="92">
        <v>2009</v>
      </c>
      <c r="U16" s="92">
        <v>2017</v>
      </c>
      <c r="V16" s="91" t="s">
        <v>40</v>
      </c>
      <c r="W16" s="93" t="s">
        <v>39</v>
      </c>
      <c r="X16" s="92" t="s">
        <v>253</v>
      </c>
      <c r="Y16" s="92" t="s">
        <v>256</v>
      </c>
    </row>
    <row r="17" spans="1:25" s="94" customFormat="1" ht="15" x14ac:dyDescent="0.25">
      <c r="A17" s="88">
        <f t="shared" si="0"/>
        <v>364</v>
      </c>
      <c r="B17" s="89">
        <v>104</v>
      </c>
      <c r="C17" s="89">
        <v>260</v>
      </c>
      <c r="D17" s="88">
        <f t="shared" si="2"/>
        <v>205</v>
      </c>
      <c r="E17" s="90">
        <v>85</v>
      </c>
      <c r="F17" s="90">
        <v>120</v>
      </c>
      <c r="G17" s="88">
        <f t="shared" si="3"/>
        <v>159</v>
      </c>
      <c r="H17" s="90">
        <f t="shared" si="4"/>
        <v>19</v>
      </c>
      <c r="I17" s="90">
        <f t="shared" si="5"/>
        <v>140</v>
      </c>
      <c r="J17" s="79">
        <f t="shared" si="6"/>
        <v>774</v>
      </c>
      <c r="K17" s="89">
        <f t="shared" si="7"/>
        <v>386</v>
      </c>
      <c r="L17" s="89">
        <f t="shared" si="8"/>
        <v>388</v>
      </c>
      <c r="M17" s="88">
        <f t="shared" si="9"/>
        <v>54</v>
      </c>
      <c r="N17" s="90">
        <v>36</v>
      </c>
      <c r="O17" s="90">
        <v>18</v>
      </c>
      <c r="P17" s="88">
        <f t="shared" si="1"/>
        <v>720</v>
      </c>
      <c r="Q17" s="89">
        <v>350</v>
      </c>
      <c r="R17" s="89">
        <v>370</v>
      </c>
      <c r="S17" s="91" t="s">
        <v>26</v>
      </c>
      <c r="T17" s="92">
        <v>2009</v>
      </c>
      <c r="U17" s="92">
        <v>2017</v>
      </c>
      <c r="V17" s="91" t="s">
        <v>40</v>
      </c>
      <c r="W17" s="93" t="s">
        <v>39</v>
      </c>
      <c r="X17" s="92" t="s">
        <v>253</v>
      </c>
      <c r="Y17" s="92" t="s">
        <v>256</v>
      </c>
    </row>
    <row r="18" spans="1:25" s="94" customFormat="1" ht="15" x14ac:dyDescent="0.25">
      <c r="A18" s="88">
        <f t="shared" si="0"/>
        <v>357</v>
      </c>
      <c r="B18" s="89">
        <v>105</v>
      </c>
      <c r="C18" s="89">
        <v>252</v>
      </c>
      <c r="D18" s="88">
        <f t="shared" si="2"/>
        <v>172</v>
      </c>
      <c r="E18" s="90">
        <v>55</v>
      </c>
      <c r="F18" s="90">
        <v>117</v>
      </c>
      <c r="G18" s="88">
        <f t="shared" si="3"/>
        <v>185</v>
      </c>
      <c r="H18" s="90">
        <f t="shared" si="4"/>
        <v>50</v>
      </c>
      <c r="I18" s="90">
        <f t="shared" si="5"/>
        <v>135</v>
      </c>
      <c r="J18" s="79">
        <f t="shared" si="6"/>
        <v>198</v>
      </c>
      <c r="K18" s="89">
        <f t="shared" si="7"/>
        <v>115</v>
      </c>
      <c r="L18" s="89">
        <f t="shared" si="8"/>
        <v>83</v>
      </c>
      <c r="M18" s="88">
        <f t="shared" si="9"/>
        <v>17</v>
      </c>
      <c r="N18" s="90">
        <v>9</v>
      </c>
      <c r="O18" s="108">
        <v>8</v>
      </c>
      <c r="P18" s="88">
        <f t="shared" si="1"/>
        <v>181</v>
      </c>
      <c r="Q18" s="89">
        <v>106</v>
      </c>
      <c r="R18" s="89">
        <v>75</v>
      </c>
      <c r="S18" s="91"/>
      <c r="T18" s="92" t="s">
        <v>24</v>
      </c>
      <c r="U18" s="92">
        <v>2017</v>
      </c>
      <c r="V18" s="91" t="s">
        <v>43</v>
      </c>
      <c r="W18" s="93" t="s">
        <v>41</v>
      </c>
      <c r="X18" s="92" t="s">
        <v>253</v>
      </c>
      <c r="Y18" s="92" t="s">
        <v>256</v>
      </c>
    </row>
    <row r="19" spans="1:25" s="94" customFormat="1" ht="15" x14ac:dyDescent="0.25">
      <c r="A19" s="88">
        <f t="shared" ref="A19:A40" si="20">B19+C19</f>
        <v>1257</v>
      </c>
      <c r="B19" s="89">
        <v>138</v>
      </c>
      <c r="C19" s="89">
        <v>1119</v>
      </c>
      <c r="D19" s="88">
        <f t="shared" ref="D19:D40" si="21">E19+F19</f>
        <v>749</v>
      </c>
      <c r="E19" s="90">
        <v>96</v>
      </c>
      <c r="F19" s="90">
        <v>653</v>
      </c>
      <c r="G19" s="88">
        <f t="shared" ref="G19:G40" si="22">H19+I19</f>
        <v>508</v>
      </c>
      <c r="H19" s="90">
        <f t="shared" ref="H19:H40" si="23">B19-E19</f>
        <v>42</v>
      </c>
      <c r="I19" s="90">
        <f t="shared" ref="I19:I40" si="24">C19-F19</f>
        <v>466</v>
      </c>
      <c r="J19" s="79">
        <f t="shared" si="6"/>
        <v>529</v>
      </c>
      <c r="K19" s="89">
        <f t="shared" si="7"/>
        <v>268</v>
      </c>
      <c r="L19" s="89">
        <f t="shared" si="8"/>
        <v>261</v>
      </c>
      <c r="M19" s="88">
        <f t="shared" ref="M19:M40" si="25">N19+O19</f>
        <v>61</v>
      </c>
      <c r="N19" s="90">
        <v>46</v>
      </c>
      <c r="O19" s="90">
        <v>15</v>
      </c>
      <c r="P19" s="88">
        <f t="shared" ref="P19:P40" si="26">Q19+R19</f>
        <v>468</v>
      </c>
      <c r="Q19" s="89">
        <v>222</v>
      </c>
      <c r="R19" s="89">
        <v>246</v>
      </c>
      <c r="S19" s="91"/>
      <c r="T19" s="92">
        <v>2009</v>
      </c>
      <c r="U19" s="92">
        <v>2018</v>
      </c>
      <c r="V19" s="91" t="s">
        <v>44</v>
      </c>
      <c r="W19" s="93" t="s">
        <v>42</v>
      </c>
      <c r="X19" s="92" t="s">
        <v>253</v>
      </c>
      <c r="Y19" s="92" t="s">
        <v>256</v>
      </c>
    </row>
    <row r="20" spans="1:25" s="94" customFormat="1" ht="15" x14ac:dyDescent="0.25">
      <c r="A20" s="88">
        <f t="shared" si="20"/>
        <v>507</v>
      </c>
      <c r="B20" s="89">
        <v>97</v>
      </c>
      <c r="C20" s="89">
        <v>410</v>
      </c>
      <c r="D20" s="88">
        <f t="shared" si="21"/>
        <v>252</v>
      </c>
      <c r="E20" s="90">
        <v>42</v>
      </c>
      <c r="F20" s="90">
        <v>210</v>
      </c>
      <c r="G20" s="88">
        <f t="shared" si="22"/>
        <v>255</v>
      </c>
      <c r="H20" s="90">
        <f t="shared" si="23"/>
        <v>55</v>
      </c>
      <c r="I20" s="90">
        <f t="shared" si="24"/>
        <v>200</v>
      </c>
      <c r="J20" s="79">
        <f t="shared" si="6"/>
        <v>138</v>
      </c>
      <c r="K20" s="89">
        <f t="shared" si="7"/>
        <v>71</v>
      </c>
      <c r="L20" s="89">
        <f t="shared" si="8"/>
        <v>67</v>
      </c>
      <c r="M20" s="88">
        <f t="shared" si="25"/>
        <v>16</v>
      </c>
      <c r="N20" s="90">
        <v>12</v>
      </c>
      <c r="O20" s="90">
        <v>4</v>
      </c>
      <c r="P20" s="88">
        <f t="shared" si="26"/>
        <v>122</v>
      </c>
      <c r="Q20" s="89">
        <v>59</v>
      </c>
      <c r="R20" s="89">
        <v>63</v>
      </c>
      <c r="S20" s="91"/>
      <c r="T20" s="92" t="s">
        <v>10</v>
      </c>
      <c r="U20" s="92">
        <v>2017</v>
      </c>
      <c r="V20" s="91" t="s">
        <v>47</v>
      </c>
      <c r="W20" s="93" t="s">
        <v>46</v>
      </c>
      <c r="X20" s="92" t="s">
        <v>253</v>
      </c>
      <c r="Y20" s="92" t="s">
        <v>256</v>
      </c>
    </row>
    <row r="21" spans="1:25" s="94" customFormat="1" ht="15" x14ac:dyDescent="0.25">
      <c r="A21" s="88">
        <f t="shared" si="20"/>
        <v>507</v>
      </c>
      <c r="B21" s="89">
        <v>97</v>
      </c>
      <c r="C21" s="89">
        <v>410</v>
      </c>
      <c r="D21" s="88">
        <f t="shared" si="21"/>
        <v>252</v>
      </c>
      <c r="E21" s="90">
        <v>42</v>
      </c>
      <c r="F21" s="90">
        <v>210</v>
      </c>
      <c r="G21" s="88">
        <f t="shared" si="22"/>
        <v>255</v>
      </c>
      <c r="H21" s="90">
        <f t="shared" si="23"/>
        <v>55</v>
      </c>
      <c r="I21" s="90">
        <f t="shared" si="24"/>
        <v>200</v>
      </c>
      <c r="J21" s="79">
        <f t="shared" si="6"/>
        <v>226</v>
      </c>
      <c r="K21" s="89">
        <f t="shared" si="7"/>
        <v>135</v>
      </c>
      <c r="L21" s="89">
        <f t="shared" si="8"/>
        <v>91</v>
      </c>
      <c r="M21" s="88">
        <f t="shared" si="25"/>
        <v>83</v>
      </c>
      <c r="N21" s="90">
        <v>55</v>
      </c>
      <c r="O21" s="90">
        <v>28</v>
      </c>
      <c r="P21" s="88">
        <f t="shared" si="26"/>
        <v>143</v>
      </c>
      <c r="Q21" s="89">
        <v>80</v>
      </c>
      <c r="R21" s="89">
        <v>63</v>
      </c>
      <c r="S21" s="91" t="s">
        <v>26</v>
      </c>
      <c r="T21" s="92" t="s">
        <v>10</v>
      </c>
      <c r="U21" s="92">
        <v>2017</v>
      </c>
      <c r="V21" s="91" t="s">
        <v>47</v>
      </c>
      <c r="W21" s="93" t="s">
        <v>46</v>
      </c>
      <c r="X21" s="92" t="s">
        <v>253</v>
      </c>
      <c r="Y21" s="92" t="s">
        <v>256</v>
      </c>
    </row>
    <row r="22" spans="1:25" s="94" customFormat="1" ht="15" x14ac:dyDescent="0.25">
      <c r="A22" s="88">
        <f t="shared" si="20"/>
        <v>289</v>
      </c>
      <c r="B22" s="89">
        <v>133</v>
      </c>
      <c r="C22" s="89">
        <v>156</v>
      </c>
      <c r="D22" s="88">
        <f t="shared" si="21"/>
        <v>98</v>
      </c>
      <c r="E22" s="90">
        <v>41</v>
      </c>
      <c r="F22" s="90">
        <v>57</v>
      </c>
      <c r="G22" s="88">
        <f t="shared" si="22"/>
        <v>191</v>
      </c>
      <c r="H22" s="90">
        <f t="shared" si="23"/>
        <v>92</v>
      </c>
      <c r="I22" s="90">
        <f t="shared" si="24"/>
        <v>99</v>
      </c>
      <c r="J22" s="79">
        <f t="shared" si="6"/>
        <v>52</v>
      </c>
      <c r="K22" s="89">
        <f t="shared" si="7"/>
        <v>21</v>
      </c>
      <c r="L22" s="89">
        <f t="shared" si="8"/>
        <v>31</v>
      </c>
      <c r="M22" s="88">
        <f t="shared" si="25"/>
        <v>5</v>
      </c>
      <c r="N22" s="90">
        <v>4</v>
      </c>
      <c r="O22" s="90">
        <v>1</v>
      </c>
      <c r="P22" s="88">
        <f t="shared" si="26"/>
        <v>47</v>
      </c>
      <c r="Q22" s="89">
        <v>17</v>
      </c>
      <c r="R22" s="89">
        <v>30</v>
      </c>
      <c r="S22" s="91"/>
      <c r="T22" s="92">
        <v>2016</v>
      </c>
      <c r="U22" s="92">
        <v>2018</v>
      </c>
      <c r="V22" s="91" t="s">
        <v>49</v>
      </c>
      <c r="W22" s="93" t="s">
        <v>48</v>
      </c>
      <c r="X22" s="92" t="s">
        <v>253</v>
      </c>
      <c r="Y22" s="92" t="s">
        <v>256</v>
      </c>
    </row>
    <row r="23" spans="1:25" s="94" customFormat="1" ht="15" x14ac:dyDescent="0.25">
      <c r="A23" s="88">
        <f t="shared" ref="A23" si="27">B23+C23</f>
        <v>289</v>
      </c>
      <c r="B23" s="89">
        <v>133</v>
      </c>
      <c r="C23" s="89">
        <v>156</v>
      </c>
      <c r="D23" s="88">
        <f t="shared" ref="D23" si="28">E23+F23</f>
        <v>98</v>
      </c>
      <c r="E23" s="90">
        <v>41</v>
      </c>
      <c r="F23" s="90">
        <v>57</v>
      </c>
      <c r="G23" s="88">
        <f t="shared" ref="G23" si="29">H23+I23</f>
        <v>191</v>
      </c>
      <c r="H23" s="90">
        <f t="shared" ref="H23" si="30">B23-E23</f>
        <v>92</v>
      </c>
      <c r="I23" s="90">
        <f t="shared" ref="I23" si="31">C23-F23</f>
        <v>99</v>
      </c>
      <c r="J23" s="79">
        <f t="shared" ref="J23" si="32">M23+P23</f>
        <v>88</v>
      </c>
      <c r="K23" s="89">
        <f t="shared" ref="K23" si="33">N23+Q23</f>
        <v>49</v>
      </c>
      <c r="L23" s="89">
        <f t="shared" ref="L23" si="34">O23+R23</f>
        <v>39</v>
      </c>
      <c r="M23" s="88">
        <f t="shared" ref="M23" si="35">N23+O23</f>
        <v>28</v>
      </c>
      <c r="N23" s="90">
        <v>19</v>
      </c>
      <c r="O23" s="90">
        <v>9</v>
      </c>
      <c r="P23" s="88">
        <f t="shared" ref="P23" si="36">Q23+R23</f>
        <v>60</v>
      </c>
      <c r="Q23" s="89">
        <v>30</v>
      </c>
      <c r="R23" s="89">
        <v>30</v>
      </c>
      <c r="S23" s="91" t="s">
        <v>26</v>
      </c>
      <c r="T23" s="92">
        <v>2016</v>
      </c>
      <c r="U23" s="92">
        <v>2018</v>
      </c>
      <c r="V23" s="91" t="s">
        <v>49</v>
      </c>
      <c r="W23" s="93" t="s">
        <v>48</v>
      </c>
      <c r="X23" s="92" t="s">
        <v>253</v>
      </c>
      <c r="Y23" s="92" t="s">
        <v>256</v>
      </c>
    </row>
    <row r="24" spans="1:25" s="94" customFormat="1" ht="15" x14ac:dyDescent="0.25">
      <c r="A24" s="88">
        <f t="shared" si="20"/>
        <v>745</v>
      </c>
      <c r="B24" s="89">
        <v>232</v>
      </c>
      <c r="C24" s="89">
        <v>513</v>
      </c>
      <c r="D24" s="88">
        <f t="shared" si="21"/>
        <v>319</v>
      </c>
      <c r="E24" s="90">
        <v>104</v>
      </c>
      <c r="F24" s="90">
        <v>215</v>
      </c>
      <c r="G24" s="88">
        <f t="shared" si="22"/>
        <v>426</v>
      </c>
      <c r="H24" s="90">
        <f t="shared" si="23"/>
        <v>128</v>
      </c>
      <c r="I24" s="90">
        <f t="shared" si="24"/>
        <v>298</v>
      </c>
      <c r="J24" s="79">
        <f t="shared" si="6"/>
        <v>201</v>
      </c>
      <c r="K24" s="89">
        <f t="shared" si="7"/>
        <v>106</v>
      </c>
      <c r="L24" s="89">
        <f t="shared" si="8"/>
        <v>95</v>
      </c>
      <c r="M24" s="88">
        <f t="shared" si="25"/>
        <v>24</v>
      </c>
      <c r="N24" s="90">
        <v>18</v>
      </c>
      <c r="O24" s="90">
        <v>6</v>
      </c>
      <c r="P24" s="88">
        <f t="shared" si="26"/>
        <v>177</v>
      </c>
      <c r="Q24" s="89">
        <v>88</v>
      </c>
      <c r="R24" s="89">
        <v>89</v>
      </c>
      <c r="S24" s="91"/>
      <c r="T24" s="92" t="s">
        <v>10</v>
      </c>
      <c r="U24" s="92">
        <v>2017</v>
      </c>
      <c r="V24" s="91" t="s">
        <v>51</v>
      </c>
      <c r="W24" s="93" t="s">
        <v>50</v>
      </c>
      <c r="X24" s="92" t="s">
        <v>253</v>
      </c>
      <c r="Y24" s="92" t="s">
        <v>256</v>
      </c>
    </row>
    <row r="25" spans="1:25" s="94" customFormat="1" ht="15" x14ac:dyDescent="0.25">
      <c r="A25" s="88">
        <f t="shared" si="20"/>
        <v>745</v>
      </c>
      <c r="B25" s="89">
        <v>232</v>
      </c>
      <c r="C25" s="89">
        <v>513</v>
      </c>
      <c r="D25" s="88">
        <f t="shared" si="21"/>
        <v>319</v>
      </c>
      <c r="E25" s="90">
        <v>104</v>
      </c>
      <c r="F25" s="90">
        <v>215</v>
      </c>
      <c r="G25" s="88">
        <f t="shared" si="22"/>
        <v>426</v>
      </c>
      <c r="H25" s="90">
        <f t="shared" si="23"/>
        <v>128</v>
      </c>
      <c r="I25" s="90">
        <f t="shared" si="24"/>
        <v>298</v>
      </c>
      <c r="J25" s="79">
        <f t="shared" si="6"/>
        <v>345</v>
      </c>
      <c r="K25" s="89">
        <f t="shared" si="7"/>
        <v>224</v>
      </c>
      <c r="L25" s="89">
        <f t="shared" si="8"/>
        <v>121</v>
      </c>
      <c r="M25" s="88">
        <f t="shared" si="25"/>
        <v>100</v>
      </c>
      <c r="N25" s="90">
        <v>97</v>
      </c>
      <c r="O25" s="90">
        <v>3</v>
      </c>
      <c r="P25" s="88">
        <f t="shared" si="26"/>
        <v>245</v>
      </c>
      <c r="Q25" s="89">
        <v>127</v>
      </c>
      <c r="R25" s="89">
        <v>118</v>
      </c>
      <c r="S25" s="91" t="s">
        <v>26</v>
      </c>
      <c r="T25" s="92" t="s">
        <v>10</v>
      </c>
      <c r="U25" s="92">
        <v>2017</v>
      </c>
      <c r="V25" s="91" t="s">
        <v>51</v>
      </c>
      <c r="W25" s="93" t="s">
        <v>50</v>
      </c>
      <c r="X25" s="92" t="s">
        <v>253</v>
      </c>
      <c r="Y25" s="92" t="s">
        <v>256</v>
      </c>
    </row>
    <row r="26" spans="1:25" s="94" customFormat="1" ht="15" x14ac:dyDescent="0.25">
      <c r="A26" s="88">
        <f t="shared" si="20"/>
        <v>2693</v>
      </c>
      <c r="B26" s="89">
        <v>1845</v>
      </c>
      <c r="C26" s="89">
        <v>848</v>
      </c>
      <c r="D26" s="88">
        <f t="shared" si="21"/>
        <v>1200</v>
      </c>
      <c r="E26" s="90">
        <v>815</v>
      </c>
      <c r="F26" s="90">
        <v>385</v>
      </c>
      <c r="G26" s="88">
        <f t="shared" si="22"/>
        <v>1493</v>
      </c>
      <c r="H26" s="90">
        <f t="shared" si="23"/>
        <v>1030</v>
      </c>
      <c r="I26" s="90">
        <f t="shared" si="24"/>
        <v>463</v>
      </c>
      <c r="J26" s="79">
        <f t="shared" si="6"/>
        <v>112</v>
      </c>
      <c r="K26" s="89">
        <f t="shared" si="7"/>
        <v>91</v>
      </c>
      <c r="L26" s="89">
        <f t="shared" si="8"/>
        <v>21</v>
      </c>
      <c r="M26" s="88">
        <f t="shared" si="25"/>
        <v>83</v>
      </c>
      <c r="N26" s="90">
        <v>62</v>
      </c>
      <c r="O26" s="90">
        <v>21</v>
      </c>
      <c r="P26" s="88">
        <f t="shared" si="26"/>
        <v>29</v>
      </c>
      <c r="Q26" s="89">
        <v>29</v>
      </c>
      <c r="R26" s="89">
        <v>0</v>
      </c>
      <c r="S26" s="91" t="s">
        <v>55</v>
      </c>
      <c r="T26" s="92">
        <v>2017</v>
      </c>
      <c r="U26" s="92">
        <v>2017</v>
      </c>
      <c r="V26" s="91" t="s">
        <v>52</v>
      </c>
      <c r="W26" s="142" t="s">
        <v>303</v>
      </c>
      <c r="X26" s="92" t="s">
        <v>254</v>
      </c>
      <c r="Y26" s="92" t="s">
        <v>257</v>
      </c>
    </row>
    <row r="27" spans="1:25" s="94" customFormat="1" ht="15" x14ac:dyDescent="0.25">
      <c r="A27" s="88">
        <f t="shared" si="20"/>
        <v>96</v>
      </c>
      <c r="B27" s="89">
        <v>9</v>
      </c>
      <c r="C27" s="89">
        <v>87</v>
      </c>
      <c r="D27" s="88">
        <f t="shared" si="21"/>
        <v>61</v>
      </c>
      <c r="E27" s="90">
        <v>6</v>
      </c>
      <c r="F27" s="90">
        <v>55</v>
      </c>
      <c r="G27" s="88">
        <f t="shared" si="22"/>
        <v>35</v>
      </c>
      <c r="H27" s="90">
        <f t="shared" si="23"/>
        <v>3</v>
      </c>
      <c r="I27" s="90">
        <f t="shared" si="24"/>
        <v>32</v>
      </c>
      <c r="J27" s="79">
        <f t="shared" si="6"/>
        <v>18</v>
      </c>
      <c r="K27" s="89">
        <f t="shared" si="7"/>
        <v>11</v>
      </c>
      <c r="L27" s="89">
        <f t="shared" si="8"/>
        <v>7</v>
      </c>
      <c r="M27" s="88">
        <f t="shared" si="25"/>
        <v>9</v>
      </c>
      <c r="N27" s="90">
        <v>7</v>
      </c>
      <c r="O27" s="90">
        <v>2</v>
      </c>
      <c r="P27" s="88">
        <f t="shared" si="26"/>
        <v>9</v>
      </c>
      <c r="Q27" s="89">
        <v>4</v>
      </c>
      <c r="R27" s="89">
        <v>5</v>
      </c>
      <c r="S27" s="91" t="s">
        <v>53</v>
      </c>
      <c r="T27" s="92">
        <v>2017</v>
      </c>
      <c r="U27" s="92">
        <v>2017</v>
      </c>
      <c r="V27" s="91" t="s">
        <v>52</v>
      </c>
      <c r="W27" s="93" t="s">
        <v>54</v>
      </c>
      <c r="X27" s="92" t="s">
        <v>253</v>
      </c>
      <c r="Y27" s="92" t="s">
        <v>256</v>
      </c>
    </row>
    <row r="28" spans="1:25" s="94" customFormat="1" ht="15" x14ac:dyDescent="0.25">
      <c r="A28" s="88">
        <f t="shared" si="20"/>
        <v>255</v>
      </c>
      <c r="B28" s="89">
        <v>112</v>
      </c>
      <c r="C28" s="89">
        <v>143</v>
      </c>
      <c r="D28" s="88">
        <f t="shared" si="21"/>
        <v>130</v>
      </c>
      <c r="E28" s="90">
        <v>27</v>
      </c>
      <c r="F28" s="90">
        <v>103</v>
      </c>
      <c r="G28" s="88">
        <f t="shared" si="22"/>
        <v>125</v>
      </c>
      <c r="H28" s="90">
        <f t="shared" si="23"/>
        <v>85</v>
      </c>
      <c r="I28" s="90">
        <f t="shared" si="24"/>
        <v>40</v>
      </c>
      <c r="J28" s="79">
        <f t="shared" si="6"/>
        <v>134</v>
      </c>
      <c r="K28" s="89">
        <f t="shared" ref="K28" si="37">N28+Q28</f>
        <v>83</v>
      </c>
      <c r="L28" s="89">
        <f t="shared" ref="L28" si="38">O28+R28</f>
        <v>51</v>
      </c>
      <c r="M28" s="88">
        <f t="shared" si="25"/>
        <v>7</v>
      </c>
      <c r="N28" s="90">
        <v>7</v>
      </c>
      <c r="O28" s="90">
        <v>0</v>
      </c>
      <c r="P28" s="88">
        <f t="shared" si="26"/>
        <v>127</v>
      </c>
      <c r="Q28" s="89">
        <v>76</v>
      </c>
      <c r="R28" s="89">
        <v>51</v>
      </c>
      <c r="S28" s="91"/>
      <c r="T28" s="92" t="s">
        <v>10</v>
      </c>
      <c r="U28" s="92">
        <v>2017</v>
      </c>
      <c r="V28" s="91" t="s">
        <v>58</v>
      </c>
      <c r="W28" s="93" t="s">
        <v>56</v>
      </c>
      <c r="X28" s="92" t="s">
        <v>253</v>
      </c>
      <c r="Y28" s="92" t="s">
        <v>256</v>
      </c>
    </row>
    <row r="29" spans="1:25" s="94" customFormat="1" ht="15" x14ac:dyDescent="0.25">
      <c r="A29" s="88">
        <f t="shared" si="20"/>
        <v>2418</v>
      </c>
      <c r="B29" s="89">
        <v>1716</v>
      </c>
      <c r="C29" s="89">
        <v>702</v>
      </c>
      <c r="D29" s="88">
        <f t="shared" si="21"/>
        <v>872</v>
      </c>
      <c r="E29" s="90">
        <v>523</v>
      </c>
      <c r="F29" s="90">
        <v>349</v>
      </c>
      <c r="G29" s="88">
        <f t="shared" si="22"/>
        <v>1546</v>
      </c>
      <c r="H29" s="90">
        <f t="shared" si="23"/>
        <v>1193</v>
      </c>
      <c r="I29" s="90">
        <f t="shared" si="24"/>
        <v>353</v>
      </c>
      <c r="J29" s="79">
        <f t="shared" si="6"/>
        <v>738</v>
      </c>
      <c r="K29" s="89">
        <f t="shared" si="7"/>
        <v>307</v>
      </c>
      <c r="L29" s="89">
        <f t="shared" si="8"/>
        <v>431</v>
      </c>
      <c r="M29" s="88">
        <f t="shared" si="25"/>
        <v>53</v>
      </c>
      <c r="N29" s="90">
        <v>40</v>
      </c>
      <c r="O29" s="90">
        <v>13</v>
      </c>
      <c r="P29" s="88">
        <f t="shared" si="26"/>
        <v>685</v>
      </c>
      <c r="Q29" s="89">
        <v>267</v>
      </c>
      <c r="R29" s="89">
        <v>418</v>
      </c>
      <c r="S29" s="91"/>
      <c r="T29" s="92" t="s">
        <v>10</v>
      </c>
      <c r="U29" s="92">
        <v>2016</v>
      </c>
      <c r="V29" s="91" t="s">
        <v>59</v>
      </c>
      <c r="W29" s="93" t="s">
        <v>57</v>
      </c>
      <c r="X29" s="92" t="s">
        <v>253</v>
      </c>
      <c r="Y29" s="92" t="s">
        <v>256</v>
      </c>
    </row>
    <row r="30" spans="1:25" s="94" customFormat="1" ht="15" x14ac:dyDescent="0.25">
      <c r="A30" s="88">
        <f t="shared" si="20"/>
        <v>2418</v>
      </c>
      <c r="B30" s="89">
        <v>1716</v>
      </c>
      <c r="C30" s="89">
        <v>702</v>
      </c>
      <c r="D30" s="88">
        <f t="shared" si="21"/>
        <v>872</v>
      </c>
      <c r="E30" s="90">
        <v>523</v>
      </c>
      <c r="F30" s="90">
        <v>349</v>
      </c>
      <c r="G30" s="88">
        <f t="shared" si="22"/>
        <v>1546</v>
      </c>
      <c r="H30" s="90">
        <f t="shared" si="23"/>
        <v>1193</v>
      </c>
      <c r="I30" s="90">
        <f t="shared" si="24"/>
        <v>353</v>
      </c>
      <c r="J30" s="79">
        <f t="shared" si="6"/>
        <v>901</v>
      </c>
      <c r="K30" s="89">
        <f t="shared" si="7"/>
        <v>424</v>
      </c>
      <c r="L30" s="89">
        <f t="shared" si="8"/>
        <v>477</v>
      </c>
      <c r="M30" s="88">
        <f t="shared" si="25"/>
        <v>177</v>
      </c>
      <c r="N30" s="90">
        <v>118</v>
      </c>
      <c r="O30" s="90">
        <v>59</v>
      </c>
      <c r="P30" s="88">
        <f t="shared" si="26"/>
        <v>724</v>
      </c>
      <c r="Q30" s="89">
        <v>306</v>
      </c>
      <c r="R30" s="89">
        <v>418</v>
      </c>
      <c r="S30" s="91" t="s">
        <v>26</v>
      </c>
      <c r="T30" s="92" t="s">
        <v>10</v>
      </c>
      <c r="U30" s="92">
        <v>2016</v>
      </c>
      <c r="V30" s="91" t="s">
        <v>59</v>
      </c>
      <c r="W30" s="93" t="s">
        <v>57</v>
      </c>
      <c r="X30" s="92" t="s">
        <v>253</v>
      </c>
      <c r="Y30" s="92" t="s">
        <v>256</v>
      </c>
    </row>
    <row r="31" spans="1:25" s="94" customFormat="1" ht="15" x14ac:dyDescent="0.25">
      <c r="A31" s="88">
        <f t="shared" si="20"/>
        <v>752</v>
      </c>
      <c r="B31" s="89">
        <v>385</v>
      </c>
      <c r="C31" s="89">
        <v>367</v>
      </c>
      <c r="D31" s="88">
        <f t="shared" si="21"/>
        <v>312</v>
      </c>
      <c r="E31" s="90">
        <v>141</v>
      </c>
      <c r="F31" s="90">
        <v>171</v>
      </c>
      <c r="G31" s="88">
        <f t="shared" si="22"/>
        <v>440</v>
      </c>
      <c r="H31" s="90">
        <f t="shared" si="23"/>
        <v>244</v>
      </c>
      <c r="I31" s="90">
        <f t="shared" si="24"/>
        <v>196</v>
      </c>
      <c r="J31" s="79">
        <f t="shared" si="6"/>
        <v>196</v>
      </c>
      <c r="K31" s="89">
        <f t="shared" si="7"/>
        <v>67</v>
      </c>
      <c r="L31" s="89">
        <f t="shared" si="8"/>
        <v>129</v>
      </c>
      <c r="M31" s="88">
        <f t="shared" si="25"/>
        <v>22</v>
      </c>
      <c r="N31" s="90">
        <v>14</v>
      </c>
      <c r="O31" s="108">
        <v>8</v>
      </c>
      <c r="P31" s="88">
        <f t="shared" si="26"/>
        <v>174</v>
      </c>
      <c r="Q31" s="89">
        <v>53</v>
      </c>
      <c r="R31" s="89">
        <v>121</v>
      </c>
      <c r="S31" s="91"/>
      <c r="T31" s="92" t="s">
        <v>37</v>
      </c>
      <c r="U31" s="92">
        <v>2017</v>
      </c>
      <c r="V31" s="91" t="s">
        <v>61</v>
      </c>
      <c r="W31" s="93" t="s">
        <v>60</v>
      </c>
      <c r="X31" s="92" t="s">
        <v>253</v>
      </c>
      <c r="Y31" s="92" t="s">
        <v>256</v>
      </c>
    </row>
    <row r="32" spans="1:25" s="94" customFormat="1" ht="15" x14ac:dyDescent="0.25">
      <c r="A32" s="88">
        <f t="shared" si="20"/>
        <v>752</v>
      </c>
      <c r="B32" s="89">
        <v>385</v>
      </c>
      <c r="C32" s="89">
        <v>367</v>
      </c>
      <c r="D32" s="88">
        <f t="shared" si="21"/>
        <v>312</v>
      </c>
      <c r="E32" s="90">
        <v>141</v>
      </c>
      <c r="F32" s="90">
        <v>171</v>
      </c>
      <c r="G32" s="88">
        <f t="shared" si="22"/>
        <v>440</v>
      </c>
      <c r="H32" s="90">
        <f t="shared" si="23"/>
        <v>244</v>
      </c>
      <c r="I32" s="90">
        <f t="shared" si="24"/>
        <v>196</v>
      </c>
      <c r="J32" s="79">
        <f t="shared" si="6"/>
        <v>336</v>
      </c>
      <c r="K32" s="89">
        <f t="shared" si="7"/>
        <v>206</v>
      </c>
      <c r="L32" s="89">
        <f t="shared" si="8"/>
        <v>130</v>
      </c>
      <c r="M32" s="88">
        <f t="shared" si="25"/>
        <v>115</v>
      </c>
      <c r="N32" s="90">
        <v>107</v>
      </c>
      <c r="O32" s="108">
        <v>8</v>
      </c>
      <c r="P32" s="88">
        <f t="shared" si="26"/>
        <v>221</v>
      </c>
      <c r="Q32" s="89">
        <v>99</v>
      </c>
      <c r="R32" s="89">
        <v>122</v>
      </c>
      <c r="S32" s="91" t="s">
        <v>26</v>
      </c>
      <c r="T32" s="92" t="s">
        <v>37</v>
      </c>
      <c r="U32" s="92">
        <v>2017</v>
      </c>
      <c r="V32" s="91" t="s">
        <v>61</v>
      </c>
      <c r="W32" s="93" t="s">
        <v>60</v>
      </c>
      <c r="X32" s="92" t="s">
        <v>253</v>
      </c>
      <c r="Y32" s="92" t="s">
        <v>256</v>
      </c>
    </row>
    <row r="33" spans="1:25" s="94" customFormat="1" ht="15" x14ac:dyDescent="0.25">
      <c r="A33" s="88">
        <f t="shared" si="20"/>
        <v>353</v>
      </c>
      <c r="B33" s="89">
        <v>225</v>
      </c>
      <c r="C33" s="89">
        <v>128</v>
      </c>
      <c r="D33" s="88">
        <f t="shared" si="21"/>
        <v>131</v>
      </c>
      <c r="E33" s="90">
        <v>58</v>
      </c>
      <c r="F33" s="90">
        <v>73</v>
      </c>
      <c r="G33" s="88">
        <f t="shared" si="22"/>
        <v>222</v>
      </c>
      <c r="H33" s="90">
        <f t="shared" si="23"/>
        <v>167</v>
      </c>
      <c r="I33" s="90">
        <f t="shared" si="24"/>
        <v>55</v>
      </c>
      <c r="J33" s="79">
        <f>M33+P33</f>
        <v>375</v>
      </c>
      <c r="K33" s="89">
        <f t="shared" si="7"/>
        <v>253</v>
      </c>
      <c r="L33" s="89">
        <f t="shared" si="8"/>
        <v>122</v>
      </c>
      <c r="M33" s="88">
        <f t="shared" si="25"/>
        <v>23</v>
      </c>
      <c r="N33" s="90">
        <v>17</v>
      </c>
      <c r="O33" s="90">
        <v>6</v>
      </c>
      <c r="P33" s="88">
        <f t="shared" si="26"/>
        <v>352</v>
      </c>
      <c r="Q33" s="89">
        <v>236</v>
      </c>
      <c r="R33" s="89">
        <v>116</v>
      </c>
      <c r="S33" s="91"/>
      <c r="T33" s="92" t="s">
        <v>10</v>
      </c>
      <c r="U33" s="92">
        <v>2018</v>
      </c>
      <c r="V33" s="91" t="s">
        <v>63</v>
      </c>
      <c r="W33" s="93" t="s">
        <v>62</v>
      </c>
      <c r="X33" s="92" t="s">
        <v>253</v>
      </c>
      <c r="Y33" s="92" t="s">
        <v>256</v>
      </c>
    </row>
    <row r="34" spans="1:25" s="94" customFormat="1" ht="15" x14ac:dyDescent="0.25">
      <c r="A34" s="88">
        <f t="shared" si="20"/>
        <v>353</v>
      </c>
      <c r="B34" s="89">
        <v>225</v>
      </c>
      <c r="C34" s="89">
        <v>128</v>
      </c>
      <c r="D34" s="88">
        <f t="shared" si="21"/>
        <v>131</v>
      </c>
      <c r="E34" s="90">
        <v>58</v>
      </c>
      <c r="F34" s="90">
        <v>73</v>
      </c>
      <c r="G34" s="88">
        <f t="shared" si="22"/>
        <v>222</v>
      </c>
      <c r="H34" s="90">
        <f t="shared" si="23"/>
        <v>167</v>
      </c>
      <c r="I34" s="90">
        <f t="shared" si="24"/>
        <v>55</v>
      </c>
      <c r="J34" s="79">
        <f t="shared" si="6"/>
        <v>388</v>
      </c>
      <c r="K34" s="89">
        <f t="shared" si="7"/>
        <v>263</v>
      </c>
      <c r="L34" s="89">
        <f t="shared" si="8"/>
        <v>125</v>
      </c>
      <c r="M34" s="88">
        <f t="shared" si="25"/>
        <v>36</v>
      </c>
      <c r="N34" s="90">
        <v>27</v>
      </c>
      <c r="O34" s="90">
        <v>9</v>
      </c>
      <c r="P34" s="88">
        <f t="shared" si="26"/>
        <v>352</v>
      </c>
      <c r="Q34" s="89">
        <v>236</v>
      </c>
      <c r="R34" s="89">
        <v>116</v>
      </c>
      <c r="S34" s="91" t="s">
        <v>25</v>
      </c>
      <c r="T34" s="92" t="s">
        <v>10</v>
      </c>
      <c r="U34" s="92">
        <v>2018</v>
      </c>
      <c r="V34" s="91" t="s">
        <v>63</v>
      </c>
      <c r="W34" s="93" t="s">
        <v>62</v>
      </c>
      <c r="X34" s="92" t="s">
        <v>253</v>
      </c>
      <c r="Y34" s="92" t="s">
        <v>256</v>
      </c>
    </row>
    <row r="35" spans="1:25" s="94" customFormat="1" ht="15" x14ac:dyDescent="0.25">
      <c r="A35" s="88">
        <f t="shared" si="20"/>
        <v>983</v>
      </c>
      <c r="B35" s="89">
        <v>146</v>
      </c>
      <c r="C35" s="89">
        <v>837</v>
      </c>
      <c r="D35" s="88">
        <f t="shared" si="21"/>
        <v>483</v>
      </c>
      <c r="E35" s="90">
        <v>87</v>
      </c>
      <c r="F35" s="90">
        <v>396</v>
      </c>
      <c r="G35" s="88">
        <f t="shared" si="22"/>
        <v>500</v>
      </c>
      <c r="H35" s="90">
        <f t="shared" si="23"/>
        <v>59</v>
      </c>
      <c r="I35" s="90">
        <f t="shared" si="24"/>
        <v>441</v>
      </c>
      <c r="J35" s="79">
        <f t="shared" si="6"/>
        <v>179</v>
      </c>
      <c r="K35" s="89">
        <f t="shared" si="7"/>
        <v>93</v>
      </c>
      <c r="L35" s="89">
        <f t="shared" si="8"/>
        <v>86</v>
      </c>
      <c r="M35" s="88">
        <f t="shared" si="25"/>
        <v>55</v>
      </c>
      <c r="N35" s="90">
        <v>41</v>
      </c>
      <c r="O35" s="90">
        <v>14</v>
      </c>
      <c r="P35" s="88">
        <f t="shared" si="26"/>
        <v>124</v>
      </c>
      <c r="Q35" s="89">
        <v>52</v>
      </c>
      <c r="R35" s="89">
        <v>72</v>
      </c>
      <c r="S35" s="91"/>
      <c r="T35" s="92">
        <v>2013</v>
      </c>
      <c r="U35" s="92">
        <v>2018</v>
      </c>
      <c r="V35" s="91" t="s">
        <v>65</v>
      </c>
      <c r="W35" s="93" t="s">
        <v>64</v>
      </c>
      <c r="X35" s="92" t="s">
        <v>253</v>
      </c>
      <c r="Y35" s="4" t="s">
        <v>256</v>
      </c>
    </row>
    <row r="36" spans="1:25" s="94" customFormat="1" ht="15" x14ac:dyDescent="0.25">
      <c r="A36" s="88">
        <f t="shared" si="20"/>
        <v>983</v>
      </c>
      <c r="B36" s="89">
        <v>146</v>
      </c>
      <c r="C36" s="89">
        <v>837</v>
      </c>
      <c r="D36" s="88">
        <f t="shared" si="21"/>
        <v>483</v>
      </c>
      <c r="E36" s="90">
        <v>87</v>
      </c>
      <c r="F36" s="90">
        <v>396</v>
      </c>
      <c r="G36" s="88">
        <f t="shared" si="22"/>
        <v>500</v>
      </c>
      <c r="H36" s="90">
        <f t="shared" si="23"/>
        <v>59</v>
      </c>
      <c r="I36" s="90">
        <f t="shared" si="24"/>
        <v>441</v>
      </c>
      <c r="J36" s="79">
        <f t="shared" si="6"/>
        <v>385</v>
      </c>
      <c r="K36" s="89">
        <f t="shared" si="7"/>
        <v>243</v>
      </c>
      <c r="L36" s="89">
        <f t="shared" si="8"/>
        <v>142</v>
      </c>
      <c r="M36" s="88">
        <f t="shared" si="25"/>
        <v>210</v>
      </c>
      <c r="N36" s="90">
        <v>140</v>
      </c>
      <c r="O36" s="90">
        <v>70</v>
      </c>
      <c r="P36" s="88">
        <f t="shared" si="26"/>
        <v>175</v>
      </c>
      <c r="Q36" s="89">
        <v>103</v>
      </c>
      <c r="R36" s="89">
        <v>72</v>
      </c>
      <c r="S36" s="91" t="s">
        <v>26</v>
      </c>
      <c r="T36" s="92">
        <v>2013</v>
      </c>
      <c r="U36" s="92">
        <v>2018</v>
      </c>
      <c r="V36" s="91" t="s">
        <v>65</v>
      </c>
      <c r="W36" s="93" t="s">
        <v>64</v>
      </c>
      <c r="X36" s="92" t="s">
        <v>253</v>
      </c>
      <c r="Y36" s="4" t="s">
        <v>256</v>
      </c>
    </row>
    <row r="37" spans="1:25" s="2" customFormat="1" ht="15" x14ac:dyDescent="0.25">
      <c r="A37" s="13">
        <f t="shared" si="20"/>
        <v>219</v>
      </c>
      <c r="B37" s="9">
        <v>92</v>
      </c>
      <c r="C37" s="9">
        <v>127</v>
      </c>
      <c r="D37" s="15">
        <f t="shared" si="21"/>
        <v>85</v>
      </c>
      <c r="E37" s="12">
        <v>41</v>
      </c>
      <c r="F37" s="12">
        <v>44</v>
      </c>
      <c r="G37" s="20">
        <f t="shared" si="22"/>
        <v>134</v>
      </c>
      <c r="H37" s="11">
        <f t="shared" si="23"/>
        <v>51</v>
      </c>
      <c r="I37" s="11">
        <f t="shared" si="24"/>
        <v>83</v>
      </c>
      <c r="J37" s="79">
        <f t="shared" si="6"/>
        <v>164</v>
      </c>
      <c r="K37" s="9">
        <f t="shared" si="7"/>
        <v>113</v>
      </c>
      <c r="L37" s="9">
        <f t="shared" si="8"/>
        <v>51</v>
      </c>
      <c r="M37" s="15">
        <f t="shared" si="25"/>
        <v>27</v>
      </c>
      <c r="N37" s="12">
        <v>11</v>
      </c>
      <c r="O37" s="12">
        <v>16</v>
      </c>
      <c r="P37" s="20">
        <f t="shared" si="26"/>
        <v>137</v>
      </c>
      <c r="Q37" s="21">
        <v>102</v>
      </c>
      <c r="R37" s="21">
        <v>35</v>
      </c>
      <c r="S37" s="7"/>
      <c r="T37" s="10" t="s">
        <v>68</v>
      </c>
      <c r="U37" s="4">
        <v>2013</v>
      </c>
      <c r="V37" s="18" t="s">
        <v>66</v>
      </c>
      <c r="W37" s="16" t="s">
        <v>67</v>
      </c>
      <c r="X37" s="133" t="s">
        <v>253</v>
      </c>
      <c r="Y37" s="133" t="s">
        <v>256</v>
      </c>
    </row>
    <row r="38" spans="1:25" s="2" customFormat="1" ht="15" x14ac:dyDescent="0.25">
      <c r="A38" s="13">
        <f t="shared" si="20"/>
        <v>611</v>
      </c>
      <c r="B38" s="9">
        <v>424</v>
      </c>
      <c r="C38" s="9">
        <v>187</v>
      </c>
      <c r="D38" s="15">
        <f t="shared" si="21"/>
        <v>223</v>
      </c>
      <c r="E38" s="12">
        <v>124</v>
      </c>
      <c r="F38" s="12">
        <v>99</v>
      </c>
      <c r="G38" s="20">
        <f t="shared" si="22"/>
        <v>388</v>
      </c>
      <c r="H38" s="11">
        <f t="shared" si="23"/>
        <v>300</v>
      </c>
      <c r="I38" s="11">
        <f t="shared" si="24"/>
        <v>88</v>
      </c>
      <c r="J38" s="79">
        <f t="shared" si="6"/>
        <v>375</v>
      </c>
      <c r="K38" s="9">
        <f t="shared" si="7"/>
        <v>297</v>
      </c>
      <c r="L38" s="9">
        <f t="shared" si="8"/>
        <v>78</v>
      </c>
      <c r="M38" s="15">
        <f t="shared" si="25"/>
        <v>28</v>
      </c>
      <c r="N38" s="12">
        <v>23</v>
      </c>
      <c r="O38" s="12">
        <v>5</v>
      </c>
      <c r="P38" s="20">
        <f t="shared" si="26"/>
        <v>347</v>
      </c>
      <c r="Q38" s="21">
        <v>274</v>
      </c>
      <c r="R38" s="21">
        <v>73</v>
      </c>
      <c r="S38" s="7"/>
      <c r="T38" s="4" t="s">
        <v>10</v>
      </c>
      <c r="U38" s="4">
        <v>2015</v>
      </c>
      <c r="V38" s="7" t="s">
        <v>70</v>
      </c>
      <c r="W38" s="16" t="s">
        <v>69</v>
      </c>
      <c r="X38" s="4" t="s">
        <v>253</v>
      </c>
      <c r="Y38" s="4" t="s">
        <v>256</v>
      </c>
    </row>
    <row r="39" spans="1:25" s="2" customFormat="1" ht="15" x14ac:dyDescent="0.25">
      <c r="A39" s="13">
        <f t="shared" si="20"/>
        <v>867</v>
      </c>
      <c r="B39" s="9">
        <v>548</v>
      </c>
      <c r="C39" s="9">
        <v>319</v>
      </c>
      <c r="D39" s="15">
        <f t="shared" si="21"/>
        <v>311</v>
      </c>
      <c r="E39" s="12">
        <v>160</v>
      </c>
      <c r="F39" s="12">
        <v>151</v>
      </c>
      <c r="G39" s="20">
        <f t="shared" si="22"/>
        <v>556</v>
      </c>
      <c r="H39" s="11">
        <f t="shared" si="23"/>
        <v>388</v>
      </c>
      <c r="I39" s="11">
        <f t="shared" si="24"/>
        <v>168</v>
      </c>
      <c r="J39" s="79">
        <f t="shared" si="6"/>
        <v>786</v>
      </c>
      <c r="K39" s="9">
        <f t="shared" si="7"/>
        <v>599</v>
      </c>
      <c r="L39" s="9">
        <f t="shared" si="8"/>
        <v>187</v>
      </c>
      <c r="M39" s="15">
        <f t="shared" si="25"/>
        <v>41</v>
      </c>
      <c r="N39" s="12">
        <v>33</v>
      </c>
      <c r="O39" s="19">
        <v>8</v>
      </c>
      <c r="P39" s="20">
        <f t="shared" si="26"/>
        <v>745</v>
      </c>
      <c r="Q39" s="21">
        <v>566</v>
      </c>
      <c r="R39" s="21">
        <v>179</v>
      </c>
      <c r="S39" s="7"/>
      <c r="T39" s="4" t="s">
        <v>10</v>
      </c>
      <c r="U39" s="4">
        <v>2015</v>
      </c>
      <c r="V39" s="7" t="s">
        <v>72</v>
      </c>
      <c r="W39" s="16" t="s">
        <v>71</v>
      </c>
      <c r="X39" s="4" t="s">
        <v>253</v>
      </c>
      <c r="Y39" s="4" t="s">
        <v>256</v>
      </c>
    </row>
    <row r="40" spans="1:25" s="94" customFormat="1" ht="15" x14ac:dyDescent="0.25">
      <c r="A40" s="88">
        <f t="shared" si="20"/>
        <v>2753</v>
      </c>
      <c r="B40" s="89">
        <v>1890</v>
      </c>
      <c r="C40" s="89">
        <v>863</v>
      </c>
      <c r="D40" s="88">
        <f t="shared" si="21"/>
        <v>1105</v>
      </c>
      <c r="E40" s="90">
        <v>704</v>
      </c>
      <c r="F40" s="90">
        <v>401</v>
      </c>
      <c r="G40" s="88">
        <f t="shared" si="22"/>
        <v>1648</v>
      </c>
      <c r="H40" s="90">
        <f t="shared" si="23"/>
        <v>1186</v>
      </c>
      <c r="I40" s="90">
        <f t="shared" si="24"/>
        <v>462</v>
      </c>
      <c r="J40" s="79">
        <f t="shared" si="6"/>
        <v>2039</v>
      </c>
      <c r="K40" s="89">
        <f t="shared" si="7"/>
        <v>1276</v>
      </c>
      <c r="L40" s="89">
        <f t="shared" si="8"/>
        <v>763</v>
      </c>
      <c r="M40" s="88">
        <f t="shared" si="25"/>
        <v>64</v>
      </c>
      <c r="N40" s="90">
        <v>48</v>
      </c>
      <c r="O40" s="90">
        <v>16</v>
      </c>
      <c r="P40" s="88">
        <f t="shared" si="26"/>
        <v>1975</v>
      </c>
      <c r="Q40" s="89">
        <v>1228</v>
      </c>
      <c r="R40" s="89">
        <v>747</v>
      </c>
      <c r="S40" s="91"/>
      <c r="T40" s="92" t="s">
        <v>10</v>
      </c>
      <c r="U40" s="92">
        <v>2018</v>
      </c>
      <c r="V40" s="91" t="s">
        <v>74</v>
      </c>
      <c r="W40" s="93" t="s">
        <v>73</v>
      </c>
      <c r="X40" s="92" t="s">
        <v>253</v>
      </c>
      <c r="Y40" s="92" t="s">
        <v>256</v>
      </c>
    </row>
    <row r="41" spans="1:25" s="94" customFormat="1" ht="15" x14ac:dyDescent="0.25">
      <c r="A41" s="88">
        <f t="shared" ref="A41:A49" si="39">B41+C41</f>
        <v>485</v>
      </c>
      <c r="B41" s="89">
        <v>288</v>
      </c>
      <c r="C41" s="89">
        <v>197</v>
      </c>
      <c r="D41" s="88">
        <f t="shared" ref="D41:D49" si="40">E41+F41</f>
        <v>176</v>
      </c>
      <c r="E41" s="90">
        <v>71</v>
      </c>
      <c r="F41" s="90">
        <v>105</v>
      </c>
      <c r="G41" s="88">
        <f t="shared" ref="G41:G49" si="41">H41+I41</f>
        <v>309</v>
      </c>
      <c r="H41" s="90">
        <f t="shared" ref="H41:H49" si="42">B41-E41</f>
        <v>217</v>
      </c>
      <c r="I41" s="90">
        <f t="shared" ref="I41:I49" si="43">C41-F41</f>
        <v>92</v>
      </c>
      <c r="J41" s="79">
        <f t="shared" si="6"/>
        <v>386</v>
      </c>
      <c r="K41" s="89">
        <f t="shared" si="7"/>
        <v>228</v>
      </c>
      <c r="L41" s="89">
        <f t="shared" si="8"/>
        <v>158</v>
      </c>
      <c r="M41" s="88">
        <f t="shared" ref="M41:M49" si="44">N41+O41</f>
        <v>17</v>
      </c>
      <c r="N41" s="90">
        <v>9</v>
      </c>
      <c r="O41" s="108">
        <v>8</v>
      </c>
      <c r="P41" s="88">
        <f t="shared" ref="P41:P49" si="45">Q41+R41</f>
        <v>369</v>
      </c>
      <c r="Q41" s="89">
        <v>219</v>
      </c>
      <c r="R41" s="89">
        <v>150</v>
      </c>
      <c r="S41" s="91"/>
      <c r="T41" s="109" t="s">
        <v>68</v>
      </c>
      <c r="U41" s="92">
        <v>2016</v>
      </c>
      <c r="V41" s="91" t="s">
        <v>76</v>
      </c>
      <c r="W41" s="93" t="s">
        <v>75</v>
      </c>
      <c r="X41" s="92" t="s">
        <v>253</v>
      </c>
      <c r="Y41" s="92"/>
    </row>
    <row r="42" spans="1:25" s="2" customFormat="1" ht="15" x14ac:dyDescent="0.25">
      <c r="A42" s="13">
        <f t="shared" si="39"/>
        <v>734</v>
      </c>
      <c r="B42" s="9">
        <v>599</v>
      </c>
      <c r="C42" s="9">
        <v>135</v>
      </c>
      <c r="D42" s="15">
        <f t="shared" si="40"/>
        <v>487</v>
      </c>
      <c r="E42" s="12">
        <v>371</v>
      </c>
      <c r="F42" s="12">
        <v>116</v>
      </c>
      <c r="G42" s="20">
        <f t="shared" si="41"/>
        <v>247</v>
      </c>
      <c r="H42" s="11">
        <f t="shared" si="42"/>
        <v>228</v>
      </c>
      <c r="I42" s="11">
        <f t="shared" si="43"/>
        <v>19</v>
      </c>
      <c r="J42" s="79">
        <f t="shared" si="6"/>
        <v>88</v>
      </c>
      <c r="K42" s="9">
        <f t="shared" si="7"/>
        <v>59</v>
      </c>
      <c r="L42" s="9">
        <f t="shared" si="8"/>
        <v>29</v>
      </c>
      <c r="M42" s="15">
        <f t="shared" si="44"/>
        <v>32</v>
      </c>
      <c r="N42" s="12">
        <v>27</v>
      </c>
      <c r="O42" s="12">
        <v>5</v>
      </c>
      <c r="P42" s="20">
        <f t="shared" si="45"/>
        <v>56</v>
      </c>
      <c r="Q42" s="21">
        <v>32</v>
      </c>
      <c r="R42" s="21">
        <v>24</v>
      </c>
      <c r="S42" s="7"/>
      <c r="T42" s="4" t="s">
        <v>10</v>
      </c>
      <c r="U42" s="4">
        <v>2013</v>
      </c>
      <c r="V42" s="7" t="s">
        <v>77</v>
      </c>
      <c r="W42" s="16" t="s">
        <v>78</v>
      </c>
      <c r="X42" s="4" t="s">
        <v>253</v>
      </c>
      <c r="Y42" s="4"/>
    </row>
    <row r="43" spans="1:25" s="2" customFormat="1" ht="15" x14ac:dyDescent="0.25">
      <c r="A43" s="13">
        <f t="shared" si="39"/>
        <v>401</v>
      </c>
      <c r="B43" s="9">
        <v>292</v>
      </c>
      <c r="C43" s="9">
        <v>109</v>
      </c>
      <c r="D43" s="15">
        <f t="shared" si="40"/>
        <v>147</v>
      </c>
      <c r="E43" s="12">
        <v>44</v>
      </c>
      <c r="F43" s="12">
        <v>103</v>
      </c>
      <c r="G43" s="20">
        <f t="shared" si="41"/>
        <v>254</v>
      </c>
      <c r="H43" s="11">
        <f t="shared" si="42"/>
        <v>248</v>
      </c>
      <c r="I43" s="11">
        <f t="shared" si="43"/>
        <v>6</v>
      </c>
      <c r="J43" s="79">
        <f t="shared" si="6"/>
        <v>45</v>
      </c>
      <c r="K43" s="9">
        <f t="shared" si="7"/>
        <v>22</v>
      </c>
      <c r="L43" s="9">
        <f t="shared" si="8"/>
        <v>23</v>
      </c>
      <c r="M43" s="15">
        <f t="shared" si="44"/>
        <v>21</v>
      </c>
      <c r="N43" s="12">
        <v>20</v>
      </c>
      <c r="O43" s="12">
        <v>1</v>
      </c>
      <c r="P43" s="20">
        <f t="shared" si="45"/>
        <v>24</v>
      </c>
      <c r="Q43" s="21">
        <v>2</v>
      </c>
      <c r="R43" s="21">
        <v>22</v>
      </c>
      <c r="S43" s="2" t="s">
        <v>80</v>
      </c>
      <c r="T43" s="4" t="s">
        <v>24</v>
      </c>
      <c r="U43" s="4" t="s">
        <v>37</v>
      </c>
      <c r="V43" s="7" t="s">
        <v>81</v>
      </c>
      <c r="W43" s="16" t="s">
        <v>79</v>
      </c>
      <c r="X43" s="4" t="s">
        <v>253</v>
      </c>
      <c r="Y43" s="4"/>
    </row>
    <row r="44" spans="1:25" s="2" customFormat="1" ht="15" x14ac:dyDescent="0.25">
      <c r="A44" s="13">
        <f t="shared" si="39"/>
        <v>1569</v>
      </c>
      <c r="B44" s="9">
        <v>127</v>
      </c>
      <c r="C44" s="9">
        <v>1442</v>
      </c>
      <c r="D44" s="15">
        <f t="shared" si="40"/>
        <v>646</v>
      </c>
      <c r="E44" s="12">
        <v>64</v>
      </c>
      <c r="F44" s="12">
        <v>582</v>
      </c>
      <c r="G44" s="20">
        <f t="shared" si="41"/>
        <v>923</v>
      </c>
      <c r="H44" s="11">
        <f t="shared" si="42"/>
        <v>63</v>
      </c>
      <c r="I44" s="11">
        <f t="shared" si="43"/>
        <v>860</v>
      </c>
      <c r="J44" s="79">
        <f t="shared" si="6"/>
        <v>616</v>
      </c>
      <c r="K44" s="9">
        <f t="shared" si="7"/>
        <v>322</v>
      </c>
      <c r="L44" s="9">
        <f t="shared" si="8"/>
        <v>294</v>
      </c>
      <c r="M44" s="15">
        <f t="shared" si="44"/>
        <v>135</v>
      </c>
      <c r="N44" s="12">
        <v>101</v>
      </c>
      <c r="O44" s="12">
        <v>34</v>
      </c>
      <c r="P44" s="20">
        <f t="shared" si="45"/>
        <v>481</v>
      </c>
      <c r="Q44" s="21">
        <v>221</v>
      </c>
      <c r="R44" s="21">
        <v>260</v>
      </c>
      <c r="S44" s="7" t="s">
        <v>84</v>
      </c>
      <c r="T44" s="4">
        <v>2017</v>
      </c>
      <c r="U44" s="4" t="s">
        <v>45</v>
      </c>
      <c r="V44" s="7" t="s">
        <v>83</v>
      </c>
      <c r="W44" s="16" t="s">
        <v>82</v>
      </c>
      <c r="X44" s="4" t="s">
        <v>253</v>
      </c>
      <c r="Y44" s="4"/>
    </row>
    <row r="45" spans="1:25" s="94" customFormat="1" ht="15" x14ac:dyDescent="0.25">
      <c r="A45" s="88">
        <f t="shared" si="39"/>
        <v>725</v>
      </c>
      <c r="B45" s="89">
        <v>605</v>
      </c>
      <c r="C45" s="89">
        <v>120</v>
      </c>
      <c r="D45" s="88">
        <f t="shared" si="40"/>
        <v>263</v>
      </c>
      <c r="E45" s="90">
        <v>193</v>
      </c>
      <c r="F45" s="90">
        <v>70</v>
      </c>
      <c r="G45" s="88">
        <f t="shared" si="41"/>
        <v>462</v>
      </c>
      <c r="H45" s="90">
        <f t="shared" si="42"/>
        <v>412</v>
      </c>
      <c r="I45" s="90">
        <f t="shared" si="43"/>
        <v>50</v>
      </c>
      <c r="J45" s="79">
        <f t="shared" si="6"/>
        <v>110</v>
      </c>
      <c r="K45" s="89">
        <f t="shared" si="7"/>
        <v>53</v>
      </c>
      <c r="L45" s="89">
        <f t="shared" si="8"/>
        <v>57</v>
      </c>
      <c r="M45" s="88">
        <f>N45+O45</f>
        <v>19</v>
      </c>
      <c r="N45" s="90">
        <v>14</v>
      </c>
      <c r="O45" s="90">
        <v>5</v>
      </c>
      <c r="P45" s="88">
        <f t="shared" si="45"/>
        <v>91</v>
      </c>
      <c r="Q45" s="89">
        <v>39</v>
      </c>
      <c r="R45" s="89">
        <v>52</v>
      </c>
      <c r="S45" s="91" t="s">
        <v>87</v>
      </c>
      <c r="T45" s="92">
        <v>2017</v>
      </c>
      <c r="U45" s="92">
        <v>2018</v>
      </c>
      <c r="V45" s="91" t="s">
        <v>85</v>
      </c>
      <c r="W45" s="93" t="s">
        <v>86</v>
      </c>
      <c r="X45" s="92" t="s">
        <v>253</v>
      </c>
      <c r="Y45" s="92"/>
    </row>
    <row r="46" spans="1:25" s="94" customFormat="1" ht="15" x14ac:dyDescent="0.25">
      <c r="A46" s="88">
        <f t="shared" si="39"/>
        <v>935</v>
      </c>
      <c r="B46" s="89">
        <v>603</v>
      </c>
      <c r="C46" s="89">
        <v>332</v>
      </c>
      <c r="D46" s="88">
        <f t="shared" si="40"/>
        <v>394</v>
      </c>
      <c r="E46" s="90">
        <v>193</v>
      </c>
      <c r="F46" s="90">
        <v>201</v>
      </c>
      <c r="G46" s="88">
        <f t="shared" si="41"/>
        <v>541</v>
      </c>
      <c r="H46" s="90">
        <f t="shared" si="42"/>
        <v>410</v>
      </c>
      <c r="I46" s="90">
        <f t="shared" si="43"/>
        <v>131</v>
      </c>
      <c r="J46" s="79">
        <f t="shared" si="6"/>
        <v>454</v>
      </c>
      <c r="K46" s="89">
        <f t="shared" si="7"/>
        <v>357</v>
      </c>
      <c r="L46" s="89">
        <f t="shared" si="8"/>
        <v>97</v>
      </c>
      <c r="M46" s="88">
        <f t="shared" si="44"/>
        <v>29</v>
      </c>
      <c r="N46" s="90">
        <v>22</v>
      </c>
      <c r="O46" s="90">
        <v>7</v>
      </c>
      <c r="P46" s="88">
        <f t="shared" si="45"/>
        <v>425</v>
      </c>
      <c r="Q46" s="89">
        <v>335</v>
      </c>
      <c r="R46" s="89">
        <v>90</v>
      </c>
      <c r="S46" s="91" t="s">
        <v>88</v>
      </c>
      <c r="T46" s="92">
        <v>2017</v>
      </c>
      <c r="U46" s="92">
        <v>2009</v>
      </c>
      <c r="V46" s="91" t="s">
        <v>89</v>
      </c>
      <c r="W46" s="93" t="s">
        <v>90</v>
      </c>
      <c r="X46" s="92" t="s">
        <v>253</v>
      </c>
      <c r="Y46" s="92"/>
    </row>
    <row r="47" spans="1:25" s="94" customFormat="1" ht="15" x14ac:dyDescent="0.25">
      <c r="A47" s="88">
        <f t="shared" si="39"/>
        <v>2435</v>
      </c>
      <c r="B47" s="89">
        <v>1853</v>
      </c>
      <c r="C47" s="89">
        <v>582</v>
      </c>
      <c r="D47" s="88">
        <f t="shared" si="40"/>
        <v>963</v>
      </c>
      <c r="E47" s="90">
        <v>673</v>
      </c>
      <c r="F47" s="90">
        <v>290</v>
      </c>
      <c r="G47" s="88">
        <f t="shared" si="41"/>
        <v>1472</v>
      </c>
      <c r="H47" s="90">
        <f t="shared" si="42"/>
        <v>1180</v>
      </c>
      <c r="I47" s="90">
        <f t="shared" si="43"/>
        <v>292</v>
      </c>
      <c r="J47" s="79">
        <f t="shared" si="6"/>
        <v>391</v>
      </c>
      <c r="K47" s="89">
        <f t="shared" si="7"/>
        <v>171</v>
      </c>
      <c r="L47" s="89">
        <f t="shared" si="8"/>
        <v>220</v>
      </c>
      <c r="M47" s="88">
        <f t="shared" si="44"/>
        <v>46</v>
      </c>
      <c r="N47" s="90">
        <v>46</v>
      </c>
      <c r="O47" s="90">
        <v>0</v>
      </c>
      <c r="P47" s="88">
        <f t="shared" si="45"/>
        <v>345</v>
      </c>
      <c r="Q47" s="89">
        <v>125</v>
      </c>
      <c r="R47" s="89">
        <v>220</v>
      </c>
      <c r="S47" s="91" t="s">
        <v>92</v>
      </c>
      <c r="T47" s="92">
        <v>2015</v>
      </c>
      <c r="U47" s="92">
        <v>2017</v>
      </c>
      <c r="V47" s="91" t="s">
        <v>93</v>
      </c>
      <c r="W47" s="93" t="s">
        <v>91</v>
      </c>
      <c r="X47" s="92" t="s">
        <v>253</v>
      </c>
      <c r="Y47" s="92"/>
    </row>
    <row r="48" spans="1:25" s="2" customFormat="1" ht="15" x14ac:dyDescent="0.25">
      <c r="A48" s="13">
        <f t="shared" si="39"/>
        <v>394</v>
      </c>
      <c r="B48" s="9">
        <v>169</v>
      </c>
      <c r="C48" s="9">
        <v>225</v>
      </c>
      <c r="D48" s="15">
        <f t="shared" si="40"/>
        <v>217</v>
      </c>
      <c r="E48" s="12">
        <v>80</v>
      </c>
      <c r="F48" s="12">
        <v>137</v>
      </c>
      <c r="G48" s="20">
        <f t="shared" si="41"/>
        <v>177</v>
      </c>
      <c r="H48" s="11">
        <f t="shared" si="42"/>
        <v>89</v>
      </c>
      <c r="I48" s="11">
        <f t="shared" si="43"/>
        <v>88</v>
      </c>
      <c r="J48" s="79">
        <f t="shared" si="6"/>
        <v>65</v>
      </c>
      <c r="K48" s="9">
        <f t="shared" si="7"/>
        <v>34</v>
      </c>
      <c r="L48" s="9">
        <f t="shared" si="8"/>
        <v>31</v>
      </c>
      <c r="M48" s="15">
        <f t="shared" si="44"/>
        <v>31</v>
      </c>
      <c r="N48" s="12">
        <v>23</v>
      </c>
      <c r="O48" s="19">
        <v>8</v>
      </c>
      <c r="P48" s="20">
        <f t="shared" si="45"/>
        <v>34</v>
      </c>
      <c r="Q48" s="21">
        <v>11</v>
      </c>
      <c r="R48" s="21">
        <v>23</v>
      </c>
      <c r="S48" s="7" t="s">
        <v>95</v>
      </c>
      <c r="T48" s="4" t="s">
        <v>37</v>
      </c>
      <c r="U48" s="4">
        <v>2015</v>
      </c>
      <c r="V48" s="7" t="s">
        <v>96</v>
      </c>
      <c r="W48" s="16" t="s">
        <v>94</v>
      </c>
      <c r="X48" s="4" t="s">
        <v>253</v>
      </c>
      <c r="Y48" s="4"/>
    </row>
    <row r="49" spans="1:25" s="94" customFormat="1" ht="15" x14ac:dyDescent="0.25">
      <c r="A49" s="88">
        <f t="shared" si="39"/>
        <v>128</v>
      </c>
      <c r="B49" s="89">
        <v>106</v>
      </c>
      <c r="C49" s="89">
        <v>22</v>
      </c>
      <c r="D49" s="88">
        <f t="shared" si="40"/>
        <v>58</v>
      </c>
      <c r="E49" s="90">
        <v>49</v>
      </c>
      <c r="F49" s="90">
        <v>9</v>
      </c>
      <c r="G49" s="88">
        <f t="shared" si="41"/>
        <v>70</v>
      </c>
      <c r="H49" s="90">
        <f t="shared" si="42"/>
        <v>57</v>
      </c>
      <c r="I49" s="90">
        <f t="shared" si="43"/>
        <v>13</v>
      </c>
      <c r="J49" s="79">
        <f t="shared" si="6"/>
        <v>17</v>
      </c>
      <c r="K49" s="89">
        <f t="shared" si="7"/>
        <v>8</v>
      </c>
      <c r="L49" s="89">
        <f t="shared" si="8"/>
        <v>9</v>
      </c>
      <c r="M49" s="88">
        <f t="shared" si="44"/>
        <v>4</v>
      </c>
      <c r="N49" s="90">
        <v>2</v>
      </c>
      <c r="O49" s="90">
        <v>2</v>
      </c>
      <c r="P49" s="88">
        <f t="shared" si="45"/>
        <v>13</v>
      </c>
      <c r="Q49" s="89">
        <v>6</v>
      </c>
      <c r="R49" s="89">
        <v>7</v>
      </c>
      <c r="S49" s="91"/>
      <c r="T49" s="92" t="s">
        <v>37</v>
      </c>
      <c r="U49" s="92">
        <v>2016</v>
      </c>
      <c r="V49" s="91" t="s">
        <v>98</v>
      </c>
      <c r="W49" s="93" t="s">
        <v>97</v>
      </c>
      <c r="X49" s="92" t="s">
        <v>254</v>
      </c>
      <c r="Y49" s="92" t="s">
        <v>257</v>
      </c>
    </row>
    <row r="50" spans="1:25" s="94" customFormat="1" ht="15" x14ac:dyDescent="0.25">
      <c r="A50" s="88">
        <f t="shared" ref="A50:A54" si="46">B50+C50</f>
        <v>487</v>
      </c>
      <c r="B50" s="89">
        <v>337</v>
      </c>
      <c r="C50" s="89">
        <v>150</v>
      </c>
      <c r="D50" s="88">
        <f t="shared" ref="D50:D54" si="47">E50+F50</f>
        <v>194</v>
      </c>
      <c r="E50" s="90">
        <v>131</v>
      </c>
      <c r="F50" s="90">
        <v>63</v>
      </c>
      <c r="G50" s="88">
        <f t="shared" ref="G50:G54" si="48">H50+I50</f>
        <v>293</v>
      </c>
      <c r="H50" s="90">
        <f t="shared" ref="H50:H54" si="49">B50-E50</f>
        <v>206</v>
      </c>
      <c r="I50" s="90">
        <f t="shared" ref="I50:I54" si="50">C50-F50</f>
        <v>87</v>
      </c>
      <c r="J50" s="79">
        <f>M50+P50</f>
        <v>73</v>
      </c>
      <c r="K50" s="89">
        <f t="shared" si="7"/>
        <v>32</v>
      </c>
      <c r="L50" s="89">
        <f t="shared" si="8"/>
        <v>41</v>
      </c>
      <c r="M50" s="88">
        <f t="shared" ref="M50:M54" si="51">N50+O50</f>
        <v>6</v>
      </c>
      <c r="N50" s="90">
        <v>6</v>
      </c>
      <c r="O50" s="90">
        <v>0</v>
      </c>
      <c r="P50" s="88">
        <f t="shared" ref="P50:P54" si="52">Q50+R50</f>
        <v>67</v>
      </c>
      <c r="Q50" s="89">
        <v>26</v>
      </c>
      <c r="R50" s="89">
        <v>41</v>
      </c>
      <c r="S50" s="91"/>
      <c r="T50" s="92">
        <v>2015</v>
      </c>
      <c r="U50" s="92">
        <v>2017</v>
      </c>
      <c r="V50" s="91" t="s">
        <v>99</v>
      </c>
      <c r="W50" s="93" t="s">
        <v>100</v>
      </c>
      <c r="X50" s="92" t="s">
        <v>254</v>
      </c>
      <c r="Y50" s="92" t="s">
        <v>257</v>
      </c>
    </row>
    <row r="51" spans="1:25" s="94" customFormat="1" ht="15" x14ac:dyDescent="0.25">
      <c r="A51" s="88">
        <f t="shared" si="46"/>
        <v>207</v>
      </c>
      <c r="B51" s="89">
        <v>27</v>
      </c>
      <c r="C51" s="89">
        <v>180</v>
      </c>
      <c r="D51" s="88">
        <f t="shared" si="47"/>
        <v>83</v>
      </c>
      <c r="E51" s="90">
        <v>7</v>
      </c>
      <c r="F51" s="90">
        <v>76</v>
      </c>
      <c r="G51" s="88">
        <f t="shared" si="48"/>
        <v>124</v>
      </c>
      <c r="H51" s="90">
        <f t="shared" si="49"/>
        <v>20</v>
      </c>
      <c r="I51" s="90">
        <f t="shared" si="50"/>
        <v>104</v>
      </c>
      <c r="J51" s="79">
        <f t="shared" si="6"/>
        <v>65</v>
      </c>
      <c r="K51" s="89">
        <f t="shared" si="7"/>
        <v>31</v>
      </c>
      <c r="L51" s="89">
        <f t="shared" si="8"/>
        <v>34</v>
      </c>
      <c r="M51" s="88">
        <f t="shared" si="51"/>
        <v>5</v>
      </c>
      <c r="N51" s="90">
        <v>4</v>
      </c>
      <c r="O51" s="90">
        <v>1</v>
      </c>
      <c r="P51" s="88">
        <f t="shared" si="52"/>
        <v>60</v>
      </c>
      <c r="Q51" s="89">
        <v>27</v>
      </c>
      <c r="R51" s="89">
        <v>33</v>
      </c>
      <c r="S51" s="91"/>
      <c r="T51" s="92">
        <v>2013</v>
      </c>
      <c r="U51" s="92">
        <v>2017</v>
      </c>
      <c r="V51" s="91" t="s">
        <v>101</v>
      </c>
      <c r="W51" s="93" t="s">
        <v>102</v>
      </c>
      <c r="X51" s="92" t="s">
        <v>254</v>
      </c>
      <c r="Y51" s="92" t="s">
        <v>257</v>
      </c>
    </row>
    <row r="52" spans="1:25" s="2" customFormat="1" ht="15" x14ac:dyDescent="0.25">
      <c r="A52" s="13">
        <f t="shared" si="46"/>
        <v>260</v>
      </c>
      <c r="B52" s="9">
        <v>157</v>
      </c>
      <c r="C52" s="9">
        <v>103</v>
      </c>
      <c r="D52" s="15">
        <f t="shared" si="47"/>
        <v>103</v>
      </c>
      <c r="E52" s="12">
        <v>47</v>
      </c>
      <c r="F52" s="12">
        <v>56</v>
      </c>
      <c r="G52" s="20">
        <f t="shared" si="48"/>
        <v>157</v>
      </c>
      <c r="H52" s="11">
        <f t="shared" si="49"/>
        <v>110</v>
      </c>
      <c r="I52" s="11">
        <f t="shared" si="50"/>
        <v>47</v>
      </c>
      <c r="J52" s="79">
        <f t="shared" si="6"/>
        <v>68</v>
      </c>
      <c r="K52" s="9">
        <f t="shared" si="7"/>
        <v>46</v>
      </c>
      <c r="L52" s="9">
        <f t="shared" si="8"/>
        <v>22</v>
      </c>
      <c r="M52" s="15">
        <f t="shared" si="51"/>
        <v>18</v>
      </c>
      <c r="N52" s="12">
        <v>17</v>
      </c>
      <c r="O52" s="12">
        <v>1</v>
      </c>
      <c r="P52" s="20">
        <f t="shared" si="52"/>
        <v>50</v>
      </c>
      <c r="Q52" s="21">
        <v>29</v>
      </c>
      <c r="R52" s="21">
        <v>21</v>
      </c>
      <c r="S52" s="7"/>
      <c r="T52" s="4" t="s">
        <v>24</v>
      </c>
      <c r="U52" s="4">
        <v>2015</v>
      </c>
      <c r="V52" s="7" t="s">
        <v>104</v>
      </c>
      <c r="W52" s="16" t="s">
        <v>103</v>
      </c>
      <c r="X52" s="4" t="s">
        <v>254</v>
      </c>
      <c r="Y52" s="4" t="s">
        <v>257</v>
      </c>
    </row>
    <row r="53" spans="1:25" s="94" customFormat="1" ht="15" x14ac:dyDescent="0.25">
      <c r="A53" s="88">
        <f t="shared" si="46"/>
        <v>1883</v>
      </c>
      <c r="B53" s="89">
        <v>1570</v>
      </c>
      <c r="C53" s="89">
        <v>313</v>
      </c>
      <c r="D53" s="88">
        <f t="shared" si="47"/>
        <v>733</v>
      </c>
      <c r="E53" s="90">
        <v>589</v>
      </c>
      <c r="F53" s="90">
        <v>144</v>
      </c>
      <c r="G53" s="88">
        <f t="shared" si="48"/>
        <v>1150</v>
      </c>
      <c r="H53" s="90">
        <f t="shared" si="49"/>
        <v>981</v>
      </c>
      <c r="I53" s="90">
        <f t="shared" si="50"/>
        <v>169</v>
      </c>
      <c r="J53" s="79">
        <f t="shared" si="6"/>
        <v>2106</v>
      </c>
      <c r="K53" s="89">
        <f t="shared" si="7"/>
        <v>1402</v>
      </c>
      <c r="L53" s="89">
        <f t="shared" si="8"/>
        <v>704</v>
      </c>
      <c r="M53" s="88">
        <f t="shared" si="51"/>
        <v>33</v>
      </c>
      <c r="N53" s="90">
        <v>25</v>
      </c>
      <c r="O53" s="108">
        <v>8</v>
      </c>
      <c r="P53" s="88">
        <f t="shared" si="52"/>
        <v>2073</v>
      </c>
      <c r="Q53" s="89">
        <v>1377</v>
      </c>
      <c r="R53" s="89">
        <v>696</v>
      </c>
      <c r="S53" s="91"/>
      <c r="T53" s="92">
        <v>2009</v>
      </c>
      <c r="U53" s="92">
        <v>2017</v>
      </c>
      <c r="V53" s="91" t="s">
        <v>105</v>
      </c>
      <c r="W53" s="93" t="s">
        <v>106</v>
      </c>
      <c r="X53" s="92" t="s">
        <v>253</v>
      </c>
      <c r="Y53" s="92" t="s">
        <v>256</v>
      </c>
    </row>
    <row r="54" spans="1:25" s="2" customFormat="1" ht="15" x14ac:dyDescent="0.25">
      <c r="A54" s="13">
        <f t="shared" si="46"/>
        <v>124</v>
      </c>
      <c r="B54" s="9">
        <v>53</v>
      </c>
      <c r="C54" s="9">
        <v>71</v>
      </c>
      <c r="D54" s="15">
        <f t="shared" si="47"/>
        <v>54</v>
      </c>
      <c r="E54" s="12">
        <v>11</v>
      </c>
      <c r="F54" s="12">
        <v>43</v>
      </c>
      <c r="G54" s="20">
        <f t="shared" si="48"/>
        <v>70</v>
      </c>
      <c r="H54" s="11">
        <f t="shared" si="49"/>
        <v>42</v>
      </c>
      <c r="I54" s="11">
        <f t="shared" si="50"/>
        <v>28</v>
      </c>
      <c r="J54" s="79">
        <f t="shared" si="6"/>
        <v>150</v>
      </c>
      <c r="K54" s="9">
        <f t="shared" si="7"/>
        <v>91</v>
      </c>
      <c r="L54" s="9">
        <f t="shared" si="8"/>
        <v>59</v>
      </c>
      <c r="M54" s="15">
        <f t="shared" si="51"/>
        <v>20</v>
      </c>
      <c r="N54" s="12">
        <v>16</v>
      </c>
      <c r="O54" s="12">
        <v>4</v>
      </c>
      <c r="P54" s="20">
        <f t="shared" si="52"/>
        <v>130</v>
      </c>
      <c r="Q54" s="21">
        <v>75</v>
      </c>
      <c r="R54" s="21">
        <v>55</v>
      </c>
      <c r="S54" s="7"/>
      <c r="T54" s="4" t="s">
        <v>24</v>
      </c>
      <c r="U54" s="4">
        <v>2015</v>
      </c>
      <c r="V54" s="7" t="s">
        <v>107</v>
      </c>
      <c r="W54" s="16" t="s">
        <v>108</v>
      </c>
      <c r="X54" s="4" t="s">
        <v>254</v>
      </c>
      <c r="Y54" s="4" t="s">
        <v>257</v>
      </c>
    </row>
    <row r="55" spans="1:25" s="118" customFormat="1" ht="15" x14ac:dyDescent="0.25">
      <c r="A55" s="72">
        <f t="shared" ref="A55:A64" si="53">B55+C55</f>
        <v>418</v>
      </c>
      <c r="B55" s="112">
        <v>211</v>
      </c>
      <c r="C55" s="112">
        <v>207</v>
      </c>
      <c r="D55" s="72">
        <f t="shared" ref="D55:D64" si="54">E55+F55</f>
        <v>130</v>
      </c>
      <c r="E55" s="114">
        <v>57</v>
      </c>
      <c r="F55" s="114">
        <v>73</v>
      </c>
      <c r="G55" s="72">
        <f t="shared" ref="G55:G64" si="55">H55+I55</f>
        <v>288</v>
      </c>
      <c r="H55" s="114">
        <f t="shared" ref="H55:H64" si="56">B55-E55</f>
        <v>154</v>
      </c>
      <c r="I55" s="114">
        <f t="shared" ref="I55:I64" si="57">C55-F55</f>
        <v>134</v>
      </c>
      <c r="J55" s="71">
        <f t="shared" si="6"/>
        <v>105</v>
      </c>
      <c r="K55" s="112">
        <f t="shared" si="7"/>
        <v>42</v>
      </c>
      <c r="L55" s="112">
        <f t="shared" si="8"/>
        <v>63</v>
      </c>
      <c r="M55" s="72">
        <f t="shared" ref="M55:M64" si="58">N55+O55</f>
        <v>14</v>
      </c>
      <c r="N55" s="114">
        <v>6</v>
      </c>
      <c r="O55" s="119">
        <v>8</v>
      </c>
      <c r="P55" s="72">
        <f t="shared" ref="P55:P64" si="59">Q55+R55</f>
        <v>91</v>
      </c>
      <c r="Q55" s="112">
        <v>36</v>
      </c>
      <c r="R55" s="112">
        <v>55</v>
      </c>
      <c r="S55" s="115"/>
      <c r="T55" s="116" t="s">
        <v>10</v>
      </c>
      <c r="U55" s="116">
        <v>2016</v>
      </c>
      <c r="V55" s="115" t="s">
        <v>110</v>
      </c>
      <c r="W55" s="138" t="s">
        <v>109</v>
      </c>
      <c r="X55" s="116" t="s">
        <v>253</v>
      </c>
      <c r="Y55" s="116" t="s">
        <v>256</v>
      </c>
    </row>
    <row r="56" spans="1:25" s="94" customFormat="1" ht="15" x14ac:dyDescent="0.25">
      <c r="A56" s="88">
        <f t="shared" si="53"/>
        <v>136</v>
      </c>
      <c r="B56" s="89">
        <v>11</v>
      </c>
      <c r="C56" s="89">
        <v>125</v>
      </c>
      <c r="D56" s="88">
        <f t="shared" si="54"/>
        <v>64</v>
      </c>
      <c r="E56" s="90">
        <v>4</v>
      </c>
      <c r="F56" s="90">
        <v>60</v>
      </c>
      <c r="G56" s="88">
        <f t="shared" si="55"/>
        <v>72</v>
      </c>
      <c r="H56" s="90">
        <f t="shared" si="56"/>
        <v>7</v>
      </c>
      <c r="I56" s="90">
        <f t="shared" si="57"/>
        <v>65</v>
      </c>
      <c r="J56" s="79">
        <f t="shared" si="6"/>
        <v>24</v>
      </c>
      <c r="K56" s="89">
        <f t="shared" si="7"/>
        <v>8</v>
      </c>
      <c r="L56" s="89">
        <f t="shared" si="8"/>
        <v>16</v>
      </c>
      <c r="M56" s="88">
        <f t="shared" si="58"/>
        <v>11</v>
      </c>
      <c r="N56" s="90">
        <v>3</v>
      </c>
      <c r="O56" s="108">
        <v>8</v>
      </c>
      <c r="P56" s="88">
        <f t="shared" si="59"/>
        <v>13</v>
      </c>
      <c r="Q56" s="89">
        <v>5</v>
      </c>
      <c r="R56" s="89">
        <v>8</v>
      </c>
      <c r="S56" s="91"/>
      <c r="T56" s="92">
        <v>2016</v>
      </c>
      <c r="U56" s="92">
        <v>2017</v>
      </c>
      <c r="V56" s="91" t="s">
        <v>111</v>
      </c>
      <c r="W56" s="93" t="s">
        <v>112</v>
      </c>
      <c r="X56" s="92" t="s">
        <v>254</v>
      </c>
      <c r="Y56" s="92"/>
    </row>
    <row r="57" spans="1:25" s="94" customFormat="1" ht="15" x14ac:dyDescent="0.25">
      <c r="A57" s="88">
        <f t="shared" si="53"/>
        <v>246</v>
      </c>
      <c r="B57" s="89">
        <v>101</v>
      </c>
      <c r="C57" s="89">
        <v>145</v>
      </c>
      <c r="D57" s="88">
        <f t="shared" si="54"/>
        <v>89</v>
      </c>
      <c r="E57" s="90">
        <v>15</v>
      </c>
      <c r="F57" s="90">
        <v>74</v>
      </c>
      <c r="G57" s="88">
        <f t="shared" si="55"/>
        <v>157</v>
      </c>
      <c r="H57" s="90">
        <f t="shared" si="56"/>
        <v>86</v>
      </c>
      <c r="I57" s="90">
        <f t="shared" si="57"/>
        <v>71</v>
      </c>
      <c r="J57" s="79">
        <f t="shared" si="6"/>
        <v>123</v>
      </c>
      <c r="K57" s="89">
        <f t="shared" si="7"/>
        <v>54</v>
      </c>
      <c r="L57" s="89">
        <f t="shared" si="8"/>
        <v>69</v>
      </c>
      <c r="M57" s="88">
        <f t="shared" si="58"/>
        <v>6</v>
      </c>
      <c r="N57" s="90">
        <v>6</v>
      </c>
      <c r="O57" s="90">
        <v>0</v>
      </c>
      <c r="P57" s="88">
        <f t="shared" si="59"/>
        <v>117</v>
      </c>
      <c r="Q57" s="89">
        <v>48</v>
      </c>
      <c r="R57" s="89">
        <v>69</v>
      </c>
      <c r="S57" s="91"/>
      <c r="T57" s="92" t="s">
        <v>10</v>
      </c>
      <c r="U57" s="92">
        <v>2017</v>
      </c>
      <c r="V57" s="91" t="s">
        <v>113</v>
      </c>
      <c r="W57" s="93" t="s">
        <v>114</v>
      </c>
      <c r="X57" s="92" t="s">
        <v>253</v>
      </c>
      <c r="Y57" s="92" t="s">
        <v>256</v>
      </c>
    </row>
    <row r="58" spans="1:25" s="118" customFormat="1" ht="15" x14ac:dyDescent="0.25">
      <c r="A58" s="72">
        <f t="shared" si="53"/>
        <v>623</v>
      </c>
      <c r="B58" s="112">
        <v>378</v>
      </c>
      <c r="C58" s="112">
        <v>245</v>
      </c>
      <c r="D58" s="72">
        <f t="shared" si="54"/>
        <v>191</v>
      </c>
      <c r="E58" s="114">
        <v>98</v>
      </c>
      <c r="F58" s="114">
        <v>93</v>
      </c>
      <c r="G58" s="72">
        <f t="shared" si="55"/>
        <v>432</v>
      </c>
      <c r="H58" s="114">
        <f t="shared" si="56"/>
        <v>280</v>
      </c>
      <c r="I58" s="114">
        <f t="shared" si="57"/>
        <v>152</v>
      </c>
      <c r="J58" s="71">
        <f t="shared" si="6"/>
        <v>243</v>
      </c>
      <c r="K58" s="112">
        <f t="shared" si="7"/>
        <v>128</v>
      </c>
      <c r="L58" s="112">
        <f t="shared" si="8"/>
        <v>115</v>
      </c>
      <c r="M58" s="72">
        <f t="shared" si="58"/>
        <v>16</v>
      </c>
      <c r="N58" s="114">
        <v>8</v>
      </c>
      <c r="O58" s="119">
        <v>8</v>
      </c>
      <c r="P58" s="72">
        <f t="shared" si="59"/>
        <v>227</v>
      </c>
      <c r="Q58" s="112">
        <v>120</v>
      </c>
      <c r="R58" s="112">
        <v>107</v>
      </c>
      <c r="S58" s="115"/>
      <c r="T58" s="116" t="s">
        <v>10</v>
      </c>
      <c r="U58" s="116">
        <v>2016</v>
      </c>
      <c r="V58" s="115" t="s">
        <v>115</v>
      </c>
      <c r="W58" s="110" t="s">
        <v>116</v>
      </c>
      <c r="X58" s="116" t="s">
        <v>254</v>
      </c>
      <c r="Y58" s="116" t="s">
        <v>257</v>
      </c>
    </row>
    <row r="59" spans="1:25" s="94" customFormat="1" ht="15" x14ac:dyDescent="0.25">
      <c r="A59" s="88">
        <f t="shared" si="53"/>
        <v>73</v>
      </c>
      <c r="B59" s="89">
        <v>19</v>
      </c>
      <c r="C59" s="89">
        <v>54</v>
      </c>
      <c r="D59" s="88">
        <f t="shared" si="54"/>
        <v>33</v>
      </c>
      <c r="E59" s="90">
        <v>5</v>
      </c>
      <c r="F59" s="90">
        <v>28</v>
      </c>
      <c r="G59" s="88">
        <f t="shared" si="55"/>
        <v>40</v>
      </c>
      <c r="H59" s="90">
        <f t="shared" si="56"/>
        <v>14</v>
      </c>
      <c r="I59" s="90">
        <f t="shared" si="57"/>
        <v>26</v>
      </c>
      <c r="J59" s="79">
        <f t="shared" si="6"/>
        <v>117</v>
      </c>
      <c r="K59" s="89">
        <f t="shared" si="7"/>
        <v>80</v>
      </c>
      <c r="L59" s="89">
        <f t="shared" si="8"/>
        <v>37</v>
      </c>
      <c r="M59" s="88">
        <f t="shared" si="58"/>
        <v>3</v>
      </c>
      <c r="N59" s="90">
        <v>2</v>
      </c>
      <c r="O59" s="90">
        <v>1</v>
      </c>
      <c r="P59" s="88">
        <f t="shared" si="59"/>
        <v>114</v>
      </c>
      <c r="Q59" s="89">
        <v>78</v>
      </c>
      <c r="R59" s="89">
        <v>36</v>
      </c>
      <c r="S59" s="91"/>
      <c r="T59" s="109" t="s">
        <v>68</v>
      </c>
      <c r="U59" s="92">
        <v>2017</v>
      </c>
      <c r="V59" s="91" t="s">
        <v>117</v>
      </c>
      <c r="W59" s="93" t="s">
        <v>118</v>
      </c>
      <c r="X59" s="92" t="s">
        <v>253</v>
      </c>
      <c r="Y59" s="92" t="s">
        <v>256</v>
      </c>
    </row>
    <row r="60" spans="1:25" s="94" customFormat="1" ht="15" x14ac:dyDescent="0.25">
      <c r="A60" s="88">
        <f t="shared" si="53"/>
        <v>148</v>
      </c>
      <c r="B60" s="89">
        <v>85</v>
      </c>
      <c r="C60" s="89">
        <v>63</v>
      </c>
      <c r="D60" s="88">
        <f t="shared" si="54"/>
        <v>58</v>
      </c>
      <c r="E60" s="90">
        <v>27</v>
      </c>
      <c r="F60" s="90">
        <v>31</v>
      </c>
      <c r="G60" s="88">
        <f t="shared" si="55"/>
        <v>90</v>
      </c>
      <c r="H60" s="90">
        <f t="shared" si="56"/>
        <v>58</v>
      </c>
      <c r="I60" s="90">
        <f t="shared" si="57"/>
        <v>32</v>
      </c>
      <c r="J60" s="79">
        <f t="shared" si="6"/>
        <v>156</v>
      </c>
      <c r="K60" s="89">
        <f t="shared" si="7"/>
        <v>104</v>
      </c>
      <c r="L60" s="89">
        <f t="shared" si="8"/>
        <v>52</v>
      </c>
      <c r="M60" s="88">
        <f t="shared" si="58"/>
        <v>3</v>
      </c>
      <c r="N60" s="90">
        <v>2</v>
      </c>
      <c r="O60" s="90">
        <v>1</v>
      </c>
      <c r="P60" s="88">
        <f t="shared" si="59"/>
        <v>153</v>
      </c>
      <c r="Q60" s="89">
        <v>102</v>
      </c>
      <c r="R60" s="89">
        <v>51</v>
      </c>
      <c r="S60" s="91" t="s">
        <v>119</v>
      </c>
      <c r="T60" s="109" t="s">
        <v>68</v>
      </c>
      <c r="U60" s="92">
        <v>2017</v>
      </c>
      <c r="V60" s="91" t="s">
        <v>117</v>
      </c>
      <c r="W60" s="93" t="s">
        <v>118</v>
      </c>
      <c r="X60" s="92" t="s">
        <v>253</v>
      </c>
      <c r="Y60" s="92" t="s">
        <v>256</v>
      </c>
    </row>
    <row r="61" spans="1:25" s="94" customFormat="1" ht="15" x14ac:dyDescent="0.25">
      <c r="A61" s="88">
        <f t="shared" si="53"/>
        <v>344</v>
      </c>
      <c r="B61" s="89">
        <v>139</v>
      </c>
      <c r="C61" s="89">
        <v>205</v>
      </c>
      <c r="D61" s="88">
        <f t="shared" si="54"/>
        <v>117</v>
      </c>
      <c r="E61" s="90">
        <v>22</v>
      </c>
      <c r="F61" s="90">
        <v>95</v>
      </c>
      <c r="G61" s="88">
        <f t="shared" si="55"/>
        <v>227</v>
      </c>
      <c r="H61" s="90">
        <f t="shared" si="56"/>
        <v>117</v>
      </c>
      <c r="I61" s="90">
        <f t="shared" si="57"/>
        <v>110</v>
      </c>
      <c r="J61" s="79">
        <f t="shared" si="6"/>
        <v>149</v>
      </c>
      <c r="K61" s="89">
        <f t="shared" si="7"/>
        <v>77</v>
      </c>
      <c r="L61" s="89">
        <f t="shared" si="8"/>
        <v>72</v>
      </c>
      <c r="M61" s="88">
        <f t="shared" si="58"/>
        <v>14</v>
      </c>
      <c r="N61" s="90">
        <v>6</v>
      </c>
      <c r="O61" s="108">
        <v>8</v>
      </c>
      <c r="P61" s="88">
        <f t="shared" si="59"/>
        <v>135</v>
      </c>
      <c r="Q61" s="89">
        <v>71</v>
      </c>
      <c r="R61" s="89">
        <v>64</v>
      </c>
      <c r="S61" s="91"/>
      <c r="T61" s="92" t="s">
        <v>10</v>
      </c>
      <c r="U61" s="92">
        <v>2016</v>
      </c>
      <c r="V61" s="91" t="s">
        <v>120</v>
      </c>
      <c r="W61" s="93" t="s">
        <v>121</v>
      </c>
      <c r="X61" s="92" t="s">
        <v>254</v>
      </c>
      <c r="Y61" s="92" t="s">
        <v>257</v>
      </c>
    </row>
    <row r="62" spans="1:25" s="94" customFormat="1" ht="15" x14ac:dyDescent="0.25">
      <c r="A62" s="88">
        <f t="shared" si="53"/>
        <v>40</v>
      </c>
      <c r="B62" s="89">
        <v>30</v>
      </c>
      <c r="C62" s="89">
        <v>10</v>
      </c>
      <c r="D62" s="88">
        <f t="shared" si="54"/>
        <v>15</v>
      </c>
      <c r="E62" s="90">
        <v>11</v>
      </c>
      <c r="F62" s="90">
        <v>4</v>
      </c>
      <c r="G62" s="88">
        <f t="shared" si="55"/>
        <v>25</v>
      </c>
      <c r="H62" s="90">
        <f t="shared" si="56"/>
        <v>19</v>
      </c>
      <c r="I62" s="90">
        <f t="shared" si="57"/>
        <v>6</v>
      </c>
      <c r="J62" s="79">
        <f t="shared" si="6"/>
        <v>69</v>
      </c>
      <c r="K62" s="89">
        <f t="shared" si="7"/>
        <v>48</v>
      </c>
      <c r="L62" s="89">
        <f t="shared" si="8"/>
        <v>21</v>
      </c>
      <c r="M62" s="88">
        <f t="shared" si="58"/>
        <v>2</v>
      </c>
      <c r="N62" s="90">
        <v>1</v>
      </c>
      <c r="O62" s="90">
        <v>1</v>
      </c>
      <c r="P62" s="88">
        <f t="shared" si="59"/>
        <v>67</v>
      </c>
      <c r="Q62" s="89">
        <v>47</v>
      </c>
      <c r="R62" s="89">
        <v>20</v>
      </c>
      <c r="S62" s="91"/>
      <c r="T62" s="92" t="s">
        <v>10</v>
      </c>
      <c r="U62" s="92">
        <v>2016</v>
      </c>
      <c r="V62" s="91" t="s">
        <v>122</v>
      </c>
      <c r="W62" s="93" t="s">
        <v>123</v>
      </c>
      <c r="X62" s="92" t="s">
        <v>254</v>
      </c>
      <c r="Y62" s="92" t="s">
        <v>257</v>
      </c>
    </row>
    <row r="63" spans="1:25" s="94" customFormat="1" ht="15" x14ac:dyDescent="0.25">
      <c r="A63" s="88">
        <f t="shared" si="53"/>
        <v>1176</v>
      </c>
      <c r="B63" s="89">
        <v>826</v>
      </c>
      <c r="C63" s="89">
        <v>350</v>
      </c>
      <c r="D63" s="88">
        <f t="shared" si="54"/>
        <v>466</v>
      </c>
      <c r="E63" s="90">
        <v>315</v>
      </c>
      <c r="F63" s="90">
        <v>151</v>
      </c>
      <c r="G63" s="88">
        <f t="shared" si="55"/>
        <v>710</v>
      </c>
      <c r="H63" s="90">
        <f t="shared" si="56"/>
        <v>511</v>
      </c>
      <c r="I63" s="90">
        <f t="shared" si="57"/>
        <v>199</v>
      </c>
      <c r="J63" s="79">
        <f t="shared" si="6"/>
        <v>92</v>
      </c>
      <c r="K63" s="89">
        <f t="shared" si="7"/>
        <v>56</v>
      </c>
      <c r="L63" s="89">
        <f t="shared" si="8"/>
        <v>36</v>
      </c>
      <c r="M63" s="88">
        <f t="shared" si="58"/>
        <v>49</v>
      </c>
      <c r="N63" s="90">
        <v>41</v>
      </c>
      <c r="O63" s="108">
        <v>8</v>
      </c>
      <c r="P63" s="88">
        <f t="shared" si="59"/>
        <v>43</v>
      </c>
      <c r="Q63" s="89">
        <v>15</v>
      </c>
      <c r="R63" s="89">
        <v>28</v>
      </c>
      <c r="S63" s="91"/>
      <c r="T63" s="92">
        <v>2015</v>
      </c>
      <c r="U63" s="92">
        <v>2016</v>
      </c>
      <c r="V63" s="91" t="s">
        <v>124</v>
      </c>
      <c r="W63" s="93" t="s">
        <v>125</v>
      </c>
      <c r="X63" s="92" t="s">
        <v>253</v>
      </c>
      <c r="Y63" s="92"/>
    </row>
    <row r="64" spans="1:25" s="94" customFormat="1" ht="15" x14ac:dyDescent="0.25">
      <c r="A64" s="88">
        <f t="shared" si="53"/>
        <v>115</v>
      </c>
      <c r="B64" s="89">
        <v>38</v>
      </c>
      <c r="C64" s="89">
        <v>77</v>
      </c>
      <c r="D64" s="88">
        <f t="shared" si="54"/>
        <v>49</v>
      </c>
      <c r="E64" s="90">
        <v>13</v>
      </c>
      <c r="F64" s="90">
        <v>36</v>
      </c>
      <c r="G64" s="88">
        <f t="shared" si="55"/>
        <v>66</v>
      </c>
      <c r="H64" s="90">
        <f t="shared" si="56"/>
        <v>25</v>
      </c>
      <c r="I64" s="90">
        <f t="shared" si="57"/>
        <v>41</v>
      </c>
      <c r="J64" s="79">
        <f t="shared" si="6"/>
        <v>30</v>
      </c>
      <c r="K64" s="89">
        <f t="shared" si="7"/>
        <v>13</v>
      </c>
      <c r="L64" s="89">
        <f t="shared" si="8"/>
        <v>17</v>
      </c>
      <c r="M64" s="88">
        <f t="shared" si="58"/>
        <v>3</v>
      </c>
      <c r="N64" s="90">
        <v>2</v>
      </c>
      <c r="O64" s="90">
        <v>1</v>
      </c>
      <c r="P64" s="88">
        <f t="shared" si="59"/>
        <v>27</v>
      </c>
      <c r="Q64" s="89">
        <v>11</v>
      </c>
      <c r="R64" s="89">
        <v>16</v>
      </c>
      <c r="S64" s="91"/>
      <c r="T64" s="92">
        <v>2013</v>
      </c>
      <c r="U64" s="92">
        <v>2017</v>
      </c>
      <c r="V64" s="91" t="s">
        <v>127</v>
      </c>
      <c r="W64" s="93" t="s">
        <v>126</v>
      </c>
      <c r="X64" s="92" t="s">
        <v>253</v>
      </c>
      <c r="Y64" s="92"/>
    </row>
    <row r="65" spans="1:25" s="94" customFormat="1" ht="15" x14ac:dyDescent="0.25">
      <c r="A65" s="88">
        <f t="shared" ref="A65:A72" si="60">B65+C65</f>
        <v>557</v>
      </c>
      <c r="B65" s="89">
        <v>119</v>
      </c>
      <c r="C65" s="89">
        <v>438</v>
      </c>
      <c r="D65" s="88">
        <f t="shared" ref="D65:D72" si="61">E65+F65</f>
        <v>275</v>
      </c>
      <c r="E65" s="90">
        <v>47</v>
      </c>
      <c r="F65" s="90">
        <v>228</v>
      </c>
      <c r="G65" s="88">
        <f t="shared" ref="G65:G72" si="62">H65+I65</f>
        <v>282</v>
      </c>
      <c r="H65" s="90">
        <f t="shared" ref="H65:H72" si="63">B65-E65</f>
        <v>72</v>
      </c>
      <c r="I65" s="90">
        <f t="shared" ref="I65:I72" si="64">C65-F65</f>
        <v>210</v>
      </c>
      <c r="J65" s="79">
        <f t="shared" si="6"/>
        <v>130</v>
      </c>
      <c r="K65" s="89">
        <f t="shared" si="7"/>
        <v>69</v>
      </c>
      <c r="L65" s="89">
        <f t="shared" si="8"/>
        <v>61</v>
      </c>
      <c r="M65" s="88">
        <f t="shared" ref="M65:M72" si="65">N65+O65</f>
        <v>43</v>
      </c>
      <c r="N65" s="90">
        <v>32</v>
      </c>
      <c r="O65" s="90">
        <v>11</v>
      </c>
      <c r="P65" s="88">
        <f t="shared" ref="P65:P72" si="66">Q65+R65</f>
        <v>87</v>
      </c>
      <c r="Q65" s="89">
        <v>37</v>
      </c>
      <c r="R65" s="89">
        <v>50</v>
      </c>
      <c r="S65" s="91" t="s">
        <v>130</v>
      </c>
      <c r="T65" s="92">
        <v>2016</v>
      </c>
      <c r="U65" s="92">
        <v>2016</v>
      </c>
      <c r="V65" s="91" t="s">
        <v>129</v>
      </c>
      <c r="W65" s="93" t="s">
        <v>128</v>
      </c>
      <c r="X65" s="92"/>
      <c r="Y65" s="92"/>
    </row>
    <row r="66" spans="1:25" s="94" customFormat="1" ht="15" x14ac:dyDescent="0.25">
      <c r="A66" s="88">
        <f t="shared" si="60"/>
        <v>567</v>
      </c>
      <c r="B66" s="89">
        <v>59</v>
      </c>
      <c r="C66" s="89">
        <v>508</v>
      </c>
      <c r="D66" s="88">
        <f t="shared" si="61"/>
        <v>295</v>
      </c>
      <c r="E66" s="90">
        <v>27</v>
      </c>
      <c r="F66" s="90">
        <v>268</v>
      </c>
      <c r="G66" s="88">
        <f t="shared" si="62"/>
        <v>272</v>
      </c>
      <c r="H66" s="90">
        <f t="shared" si="63"/>
        <v>32</v>
      </c>
      <c r="I66" s="90">
        <f t="shared" si="64"/>
        <v>240</v>
      </c>
      <c r="J66" s="79">
        <f t="shared" si="6"/>
        <v>128</v>
      </c>
      <c r="K66" s="89">
        <f t="shared" si="7"/>
        <v>70</v>
      </c>
      <c r="L66" s="89">
        <f t="shared" si="8"/>
        <v>58</v>
      </c>
      <c r="M66" s="88">
        <f t="shared" si="65"/>
        <v>45</v>
      </c>
      <c r="N66" s="90">
        <v>34</v>
      </c>
      <c r="O66" s="90">
        <v>11</v>
      </c>
      <c r="P66" s="88">
        <f t="shared" si="66"/>
        <v>83</v>
      </c>
      <c r="Q66" s="89">
        <v>36</v>
      </c>
      <c r="R66" s="89">
        <v>47</v>
      </c>
      <c r="S66" s="91" t="s">
        <v>132</v>
      </c>
      <c r="T66" s="92">
        <v>2016</v>
      </c>
      <c r="U66" s="92">
        <v>2016</v>
      </c>
      <c r="V66" s="91" t="s">
        <v>129</v>
      </c>
      <c r="W66" s="93" t="s">
        <v>131</v>
      </c>
      <c r="X66" s="92"/>
      <c r="Y66" s="92"/>
    </row>
    <row r="67" spans="1:25" s="94" customFormat="1" ht="15" x14ac:dyDescent="0.25">
      <c r="A67" s="88">
        <f t="shared" si="60"/>
        <v>1368</v>
      </c>
      <c r="B67" s="89">
        <v>378</v>
      </c>
      <c r="C67" s="89">
        <v>990</v>
      </c>
      <c r="D67" s="88">
        <f t="shared" si="61"/>
        <v>690</v>
      </c>
      <c r="E67" s="90">
        <v>160</v>
      </c>
      <c r="F67" s="90">
        <v>530</v>
      </c>
      <c r="G67" s="88">
        <f t="shared" si="62"/>
        <v>678</v>
      </c>
      <c r="H67" s="90">
        <f t="shared" si="63"/>
        <v>218</v>
      </c>
      <c r="I67" s="90">
        <f t="shared" si="64"/>
        <v>460</v>
      </c>
      <c r="J67" s="79">
        <f t="shared" si="6"/>
        <v>205</v>
      </c>
      <c r="K67" s="89">
        <f t="shared" si="7"/>
        <v>104</v>
      </c>
      <c r="L67" s="89">
        <f t="shared" si="8"/>
        <v>101</v>
      </c>
      <c r="M67" s="88">
        <f t="shared" si="65"/>
        <v>55</v>
      </c>
      <c r="N67" s="90">
        <v>41</v>
      </c>
      <c r="O67" s="90">
        <v>14</v>
      </c>
      <c r="P67" s="88">
        <f t="shared" si="66"/>
        <v>150</v>
      </c>
      <c r="Q67" s="89">
        <v>63</v>
      </c>
      <c r="R67" s="89">
        <v>87</v>
      </c>
      <c r="S67" s="91" t="s">
        <v>221</v>
      </c>
      <c r="T67" s="92">
        <v>2016</v>
      </c>
      <c r="U67" s="92" t="s">
        <v>45</v>
      </c>
      <c r="V67" s="91" t="s">
        <v>134</v>
      </c>
      <c r="W67" s="93" t="s">
        <v>133</v>
      </c>
      <c r="X67" s="92"/>
      <c r="Y67" s="92"/>
    </row>
    <row r="68" spans="1:25" s="94" customFormat="1" ht="15" x14ac:dyDescent="0.25">
      <c r="A68" s="88">
        <f t="shared" si="60"/>
        <v>1290</v>
      </c>
      <c r="B68" s="89">
        <v>237</v>
      </c>
      <c r="C68" s="89">
        <v>1053</v>
      </c>
      <c r="D68" s="88">
        <f t="shared" si="61"/>
        <v>638</v>
      </c>
      <c r="E68" s="90">
        <v>97</v>
      </c>
      <c r="F68" s="90">
        <v>541</v>
      </c>
      <c r="G68" s="88">
        <f t="shared" si="62"/>
        <v>652</v>
      </c>
      <c r="H68" s="90">
        <f t="shared" si="63"/>
        <v>140</v>
      </c>
      <c r="I68" s="90">
        <f t="shared" si="64"/>
        <v>512</v>
      </c>
      <c r="J68" s="79">
        <f t="shared" si="6"/>
        <v>232</v>
      </c>
      <c r="K68" s="89">
        <f t="shared" si="7"/>
        <v>121</v>
      </c>
      <c r="L68" s="89">
        <f t="shared" si="8"/>
        <v>111</v>
      </c>
      <c r="M68" s="88">
        <f t="shared" si="65"/>
        <v>67</v>
      </c>
      <c r="N68" s="90">
        <v>50</v>
      </c>
      <c r="O68" s="90">
        <v>17</v>
      </c>
      <c r="P68" s="88">
        <f t="shared" si="66"/>
        <v>165</v>
      </c>
      <c r="Q68" s="89">
        <v>71</v>
      </c>
      <c r="R68" s="89">
        <v>94</v>
      </c>
      <c r="S68" s="91" t="s">
        <v>222</v>
      </c>
      <c r="T68" s="92">
        <v>2016</v>
      </c>
      <c r="U68" s="92" t="s">
        <v>45</v>
      </c>
      <c r="V68" s="91" t="s">
        <v>134</v>
      </c>
      <c r="W68" s="93" t="s">
        <v>133</v>
      </c>
      <c r="X68" s="92"/>
      <c r="Y68" s="92"/>
    </row>
    <row r="69" spans="1:25" s="94" customFormat="1" ht="15" x14ac:dyDescent="0.25">
      <c r="A69" s="88">
        <f t="shared" si="60"/>
        <v>642</v>
      </c>
      <c r="B69" s="89">
        <v>41</v>
      </c>
      <c r="C69" s="89">
        <v>601</v>
      </c>
      <c r="D69" s="88">
        <f t="shared" si="61"/>
        <v>324</v>
      </c>
      <c r="E69" s="90">
        <v>19</v>
      </c>
      <c r="F69" s="90">
        <v>305</v>
      </c>
      <c r="G69" s="88">
        <f t="shared" si="62"/>
        <v>318</v>
      </c>
      <c r="H69" s="90">
        <f t="shared" si="63"/>
        <v>22</v>
      </c>
      <c r="I69" s="90">
        <f t="shared" si="64"/>
        <v>296</v>
      </c>
      <c r="J69" s="79">
        <f t="shared" si="6"/>
        <v>144</v>
      </c>
      <c r="K69" s="89">
        <f t="shared" si="7"/>
        <v>77</v>
      </c>
      <c r="L69" s="89">
        <f t="shared" si="8"/>
        <v>67</v>
      </c>
      <c r="M69" s="88">
        <f t="shared" si="65"/>
        <v>51</v>
      </c>
      <c r="N69" s="90">
        <v>38</v>
      </c>
      <c r="O69" s="90">
        <v>13</v>
      </c>
      <c r="P69" s="88">
        <f t="shared" si="66"/>
        <v>93</v>
      </c>
      <c r="Q69" s="89">
        <v>39</v>
      </c>
      <c r="R69" s="89">
        <v>54</v>
      </c>
      <c r="S69" s="91" t="s">
        <v>223</v>
      </c>
      <c r="T69" s="92">
        <v>2016</v>
      </c>
      <c r="U69" s="92" t="s">
        <v>45</v>
      </c>
      <c r="V69" s="91" t="s">
        <v>134</v>
      </c>
      <c r="W69" s="93" t="s">
        <v>133</v>
      </c>
      <c r="X69" s="92"/>
      <c r="Y69" s="92"/>
    </row>
    <row r="70" spans="1:25" s="94" customFormat="1" ht="15" x14ac:dyDescent="0.25">
      <c r="A70" s="88">
        <f t="shared" si="60"/>
        <v>1139</v>
      </c>
      <c r="B70" s="89">
        <v>1094</v>
      </c>
      <c r="C70" s="89">
        <v>45</v>
      </c>
      <c r="D70" s="88">
        <f t="shared" si="61"/>
        <v>562</v>
      </c>
      <c r="E70" s="90">
        <v>532</v>
      </c>
      <c r="F70" s="90">
        <v>30</v>
      </c>
      <c r="G70" s="88">
        <f t="shared" si="62"/>
        <v>577</v>
      </c>
      <c r="H70" s="90">
        <f t="shared" si="63"/>
        <v>562</v>
      </c>
      <c r="I70" s="90">
        <f t="shared" si="64"/>
        <v>15</v>
      </c>
      <c r="J70" s="79">
        <f t="shared" ref="J70:J106" si="67">M70+P70</f>
        <v>34</v>
      </c>
      <c r="K70" s="89">
        <f t="shared" ref="K70:K106" si="68">N70+Q70</f>
        <v>28</v>
      </c>
      <c r="L70" s="89">
        <f t="shared" ref="L70:L106" si="69">O70+R70</f>
        <v>6</v>
      </c>
      <c r="M70" s="88">
        <f t="shared" si="65"/>
        <v>17</v>
      </c>
      <c r="N70" s="90">
        <v>13</v>
      </c>
      <c r="O70" s="90">
        <v>4</v>
      </c>
      <c r="P70" s="88">
        <f t="shared" si="66"/>
        <v>17</v>
      </c>
      <c r="Q70" s="89">
        <v>15</v>
      </c>
      <c r="R70" s="89">
        <v>2</v>
      </c>
      <c r="S70" s="91" t="s">
        <v>136</v>
      </c>
      <c r="T70" s="92">
        <v>2015</v>
      </c>
      <c r="U70" s="92">
        <v>2015</v>
      </c>
      <c r="V70" s="91" t="s">
        <v>135</v>
      </c>
      <c r="W70" s="93" t="s">
        <v>137</v>
      </c>
      <c r="X70" s="92"/>
      <c r="Y70" s="92"/>
    </row>
    <row r="71" spans="1:25" s="94" customFormat="1" ht="15" x14ac:dyDescent="0.25">
      <c r="A71" s="88">
        <f t="shared" si="60"/>
        <v>814</v>
      </c>
      <c r="B71" s="89">
        <v>126</v>
      </c>
      <c r="C71" s="89">
        <v>688</v>
      </c>
      <c r="D71" s="88">
        <f t="shared" si="61"/>
        <v>560</v>
      </c>
      <c r="E71" s="90">
        <v>55</v>
      </c>
      <c r="F71" s="90">
        <v>505</v>
      </c>
      <c r="G71" s="88">
        <f t="shared" si="62"/>
        <v>254</v>
      </c>
      <c r="H71" s="90">
        <f t="shared" si="63"/>
        <v>71</v>
      </c>
      <c r="I71" s="90">
        <f t="shared" si="64"/>
        <v>183</v>
      </c>
      <c r="J71" s="79">
        <f t="shared" si="67"/>
        <v>99</v>
      </c>
      <c r="K71" s="89">
        <f t="shared" si="68"/>
        <v>55</v>
      </c>
      <c r="L71" s="89">
        <f t="shared" si="69"/>
        <v>44</v>
      </c>
      <c r="M71" s="88">
        <f t="shared" si="65"/>
        <v>42</v>
      </c>
      <c r="N71" s="90">
        <v>34</v>
      </c>
      <c r="O71" s="108">
        <v>8</v>
      </c>
      <c r="P71" s="88">
        <f t="shared" si="66"/>
        <v>57</v>
      </c>
      <c r="Q71" s="89">
        <v>21</v>
      </c>
      <c r="R71" s="89">
        <v>36</v>
      </c>
      <c r="S71" s="91" t="s">
        <v>138</v>
      </c>
      <c r="T71" s="92">
        <v>2013</v>
      </c>
      <c r="U71" s="92">
        <v>2016</v>
      </c>
      <c r="V71" s="91" t="s">
        <v>140</v>
      </c>
      <c r="W71" s="93" t="s">
        <v>139</v>
      </c>
      <c r="X71" s="92" t="s">
        <v>254</v>
      </c>
      <c r="Y71" s="92"/>
    </row>
    <row r="72" spans="1:25" s="2" customFormat="1" ht="15" x14ac:dyDescent="0.25">
      <c r="A72" s="13">
        <f t="shared" si="60"/>
        <v>858</v>
      </c>
      <c r="B72" s="9">
        <v>344</v>
      </c>
      <c r="C72" s="9">
        <v>514</v>
      </c>
      <c r="D72" s="15">
        <f t="shared" si="61"/>
        <v>414</v>
      </c>
      <c r="E72" s="12">
        <v>157</v>
      </c>
      <c r="F72" s="12">
        <v>257</v>
      </c>
      <c r="G72" s="20">
        <f t="shared" si="62"/>
        <v>444</v>
      </c>
      <c r="H72" s="11">
        <f t="shared" si="63"/>
        <v>187</v>
      </c>
      <c r="I72" s="11">
        <f t="shared" si="64"/>
        <v>257</v>
      </c>
      <c r="J72" s="79">
        <f t="shared" si="67"/>
        <v>163</v>
      </c>
      <c r="K72" s="9">
        <f t="shared" si="68"/>
        <v>100</v>
      </c>
      <c r="L72" s="9">
        <f t="shared" si="69"/>
        <v>63</v>
      </c>
      <c r="M72" s="15">
        <f t="shared" si="65"/>
        <v>163</v>
      </c>
      <c r="N72" s="12">
        <v>100</v>
      </c>
      <c r="O72" s="12">
        <v>63</v>
      </c>
      <c r="P72" s="20">
        <f t="shared" si="66"/>
        <v>0</v>
      </c>
      <c r="Q72" s="22">
        <v>0</v>
      </c>
      <c r="R72" s="22">
        <v>0</v>
      </c>
      <c r="S72" s="7" t="s">
        <v>141</v>
      </c>
      <c r="T72" s="4" t="s">
        <v>37</v>
      </c>
      <c r="U72" s="4" t="s">
        <v>45</v>
      </c>
      <c r="V72" s="7" t="s">
        <v>143</v>
      </c>
      <c r="W72" s="16" t="s">
        <v>142</v>
      </c>
      <c r="X72" s="4"/>
      <c r="Y72" s="4"/>
    </row>
    <row r="73" spans="1:25" s="94" customFormat="1" ht="15" x14ac:dyDescent="0.25">
      <c r="A73" s="88">
        <f t="shared" ref="A73:A84" si="70">B73+C73</f>
        <v>260</v>
      </c>
      <c r="B73" s="89">
        <v>68</v>
      </c>
      <c r="C73" s="89">
        <v>192</v>
      </c>
      <c r="D73" s="88">
        <f t="shared" ref="D73:D84" si="71">E73+F73</f>
        <v>117</v>
      </c>
      <c r="E73" s="90">
        <v>20</v>
      </c>
      <c r="F73" s="90">
        <v>97</v>
      </c>
      <c r="G73" s="88">
        <f t="shared" ref="G73:G84" si="72">H73+I73</f>
        <v>143</v>
      </c>
      <c r="H73" s="90">
        <f t="shared" ref="H73:H84" si="73">B73-E73</f>
        <v>48</v>
      </c>
      <c r="I73" s="90">
        <f t="shared" ref="I73:I84" si="74">C73-F73</f>
        <v>95</v>
      </c>
      <c r="J73" s="79">
        <f t="shared" si="67"/>
        <v>56</v>
      </c>
      <c r="K73" s="89">
        <f t="shared" si="68"/>
        <v>25</v>
      </c>
      <c r="L73" s="89">
        <f t="shared" si="69"/>
        <v>31</v>
      </c>
      <c r="M73" s="88">
        <f t="shared" ref="M73:M84" si="75">N73+O73</f>
        <v>14</v>
      </c>
      <c r="N73" s="90">
        <v>6</v>
      </c>
      <c r="O73" s="108">
        <v>8</v>
      </c>
      <c r="P73" s="88">
        <f t="shared" ref="P73:P84" si="76">Q73+R73</f>
        <v>42</v>
      </c>
      <c r="Q73" s="89">
        <v>19</v>
      </c>
      <c r="R73" s="89">
        <v>23</v>
      </c>
      <c r="S73" s="91" t="s">
        <v>145</v>
      </c>
      <c r="T73" s="92" t="s">
        <v>10</v>
      </c>
      <c r="U73" s="92">
        <v>2016</v>
      </c>
      <c r="V73" s="91" t="s">
        <v>144</v>
      </c>
      <c r="W73" s="93" t="s">
        <v>146</v>
      </c>
      <c r="X73" s="92" t="s">
        <v>254</v>
      </c>
      <c r="Y73" s="92" t="s">
        <v>257</v>
      </c>
    </row>
    <row r="74" spans="1:25" s="94" customFormat="1" ht="15" x14ac:dyDescent="0.25">
      <c r="A74" s="88">
        <f t="shared" si="70"/>
        <v>134</v>
      </c>
      <c r="B74" s="89">
        <v>35</v>
      </c>
      <c r="C74" s="89">
        <v>99</v>
      </c>
      <c r="D74" s="88">
        <f t="shared" si="71"/>
        <v>73</v>
      </c>
      <c r="E74" s="90">
        <v>18</v>
      </c>
      <c r="F74" s="90">
        <v>55</v>
      </c>
      <c r="G74" s="88">
        <f t="shared" si="72"/>
        <v>61</v>
      </c>
      <c r="H74" s="90">
        <f t="shared" si="73"/>
        <v>17</v>
      </c>
      <c r="I74" s="90">
        <f t="shared" si="74"/>
        <v>44</v>
      </c>
      <c r="J74" s="79">
        <f t="shared" si="67"/>
        <v>26</v>
      </c>
      <c r="K74" s="89">
        <f t="shared" si="68"/>
        <v>13</v>
      </c>
      <c r="L74" s="89">
        <f t="shared" si="69"/>
        <v>13</v>
      </c>
      <c r="M74" s="88">
        <f t="shared" si="75"/>
        <v>5</v>
      </c>
      <c r="N74" s="90">
        <v>4</v>
      </c>
      <c r="O74" s="90">
        <v>1</v>
      </c>
      <c r="P74" s="88">
        <f t="shared" si="76"/>
        <v>21</v>
      </c>
      <c r="Q74" s="89">
        <v>9</v>
      </c>
      <c r="R74" s="89">
        <v>12</v>
      </c>
      <c r="S74" s="91" t="s">
        <v>148</v>
      </c>
      <c r="T74" s="92">
        <v>2016</v>
      </c>
      <c r="U74" s="92">
        <v>2016</v>
      </c>
      <c r="V74" s="91" t="s">
        <v>144</v>
      </c>
      <c r="W74" s="93" t="s">
        <v>147</v>
      </c>
      <c r="X74" s="92" t="s">
        <v>253</v>
      </c>
      <c r="Y74" s="92" t="s">
        <v>256</v>
      </c>
    </row>
    <row r="75" spans="1:25" s="94" customFormat="1" ht="15" x14ac:dyDescent="0.25">
      <c r="A75" s="88">
        <f t="shared" si="70"/>
        <v>170</v>
      </c>
      <c r="B75" s="89">
        <v>32</v>
      </c>
      <c r="C75" s="89">
        <v>138</v>
      </c>
      <c r="D75" s="88">
        <f t="shared" si="71"/>
        <v>93</v>
      </c>
      <c r="E75" s="90">
        <v>18</v>
      </c>
      <c r="F75" s="90">
        <v>75</v>
      </c>
      <c r="G75" s="88">
        <f t="shared" si="72"/>
        <v>77</v>
      </c>
      <c r="H75" s="90">
        <f t="shared" si="73"/>
        <v>14</v>
      </c>
      <c r="I75" s="90">
        <f t="shared" si="74"/>
        <v>63</v>
      </c>
      <c r="J75" s="79">
        <f t="shared" si="67"/>
        <v>37</v>
      </c>
      <c r="K75" s="89">
        <f t="shared" si="68"/>
        <v>18</v>
      </c>
      <c r="L75" s="89">
        <f t="shared" si="69"/>
        <v>19</v>
      </c>
      <c r="M75" s="88">
        <f t="shared" si="75"/>
        <v>7</v>
      </c>
      <c r="N75" s="90">
        <v>5</v>
      </c>
      <c r="O75" s="90">
        <v>2</v>
      </c>
      <c r="P75" s="88">
        <f t="shared" si="76"/>
        <v>30</v>
      </c>
      <c r="Q75" s="89">
        <v>13</v>
      </c>
      <c r="R75" s="89">
        <v>17</v>
      </c>
      <c r="S75" s="91" t="s">
        <v>149</v>
      </c>
      <c r="T75" s="92">
        <v>2016</v>
      </c>
      <c r="U75" s="92">
        <v>2016</v>
      </c>
      <c r="V75" s="91" t="s">
        <v>144</v>
      </c>
      <c r="W75" s="93" t="s">
        <v>150</v>
      </c>
      <c r="X75" s="92" t="s">
        <v>253</v>
      </c>
      <c r="Y75" s="92" t="s">
        <v>256</v>
      </c>
    </row>
    <row r="76" spans="1:25" s="94" customFormat="1" ht="15" x14ac:dyDescent="0.25">
      <c r="A76" s="88">
        <f t="shared" si="70"/>
        <v>186</v>
      </c>
      <c r="B76" s="89">
        <v>34</v>
      </c>
      <c r="C76" s="89">
        <v>152</v>
      </c>
      <c r="D76" s="88">
        <f t="shared" si="71"/>
        <v>95</v>
      </c>
      <c r="E76" s="90">
        <v>18</v>
      </c>
      <c r="F76" s="90">
        <v>77</v>
      </c>
      <c r="G76" s="88">
        <f t="shared" si="72"/>
        <v>91</v>
      </c>
      <c r="H76" s="90">
        <f t="shared" si="73"/>
        <v>16</v>
      </c>
      <c r="I76" s="90">
        <f t="shared" si="74"/>
        <v>75</v>
      </c>
      <c r="J76" s="79">
        <f t="shared" si="67"/>
        <v>31</v>
      </c>
      <c r="K76" s="89">
        <f t="shared" si="68"/>
        <v>15</v>
      </c>
      <c r="L76" s="89">
        <f t="shared" si="69"/>
        <v>16</v>
      </c>
      <c r="M76" s="88">
        <f t="shared" si="75"/>
        <v>7</v>
      </c>
      <c r="N76" s="90">
        <v>5</v>
      </c>
      <c r="O76" s="90">
        <v>2</v>
      </c>
      <c r="P76" s="88">
        <f t="shared" si="76"/>
        <v>24</v>
      </c>
      <c r="Q76" s="89">
        <v>10</v>
      </c>
      <c r="R76" s="89">
        <v>14</v>
      </c>
      <c r="S76" s="91" t="s">
        <v>151</v>
      </c>
      <c r="T76" s="92">
        <v>2016</v>
      </c>
      <c r="U76" s="92">
        <v>2016</v>
      </c>
      <c r="V76" s="91" t="s">
        <v>144</v>
      </c>
      <c r="W76" s="93" t="s">
        <v>152</v>
      </c>
      <c r="X76" s="92" t="s">
        <v>253</v>
      </c>
      <c r="Y76" s="92" t="s">
        <v>256</v>
      </c>
    </row>
    <row r="77" spans="1:25" s="94" customFormat="1" ht="15" x14ac:dyDescent="0.25">
      <c r="A77" s="88">
        <f t="shared" si="70"/>
        <v>499</v>
      </c>
      <c r="B77" s="89">
        <v>310</v>
      </c>
      <c r="C77" s="89">
        <v>189</v>
      </c>
      <c r="D77" s="88">
        <f t="shared" si="71"/>
        <v>190</v>
      </c>
      <c r="E77" s="90">
        <v>104</v>
      </c>
      <c r="F77" s="90">
        <v>86</v>
      </c>
      <c r="G77" s="88">
        <f t="shared" si="72"/>
        <v>309</v>
      </c>
      <c r="H77" s="90">
        <f t="shared" si="73"/>
        <v>206</v>
      </c>
      <c r="I77" s="90">
        <f t="shared" si="74"/>
        <v>103</v>
      </c>
      <c r="J77" s="79">
        <f t="shared" si="67"/>
        <v>39</v>
      </c>
      <c r="K77" s="89">
        <f t="shared" si="68"/>
        <v>22</v>
      </c>
      <c r="L77" s="89">
        <f t="shared" si="69"/>
        <v>17</v>
      </c>
      <c r="M77" s="88">
        <f t="shared" si="75"/>
        <v>22</v>
      </c>
      <c r="N77" s="90">
        <v>17</v>
      </c>
      <c r="O77" s="90">
        <v>5</v>
      </c>
      <c r="P77" s="88">
        <f t="shared" si="76"/>
        <v>17</v>
      </c>
      <c r="Q77" s="89">
        <v>5</v>
      </c>
      <c r="R77" s="89">
        <v>12</v>
      </c>
      <c r="S77" s="91"/>
      <c r="T77" s="92">
        <v>2013</v>
      </c>
      <c r="U77" s="92">
        <v>2016</v>
      </c>
      <c r="V77" s="91" t="s">
        <v>153</v>
      </c>
      <c r="W77" s="93" t="s">
        <v>154</v>
      </c>
      <c r="X77" s="92" t="s">
        <v>254</v>
      </c>
      <c r="Y77" s="92"/>
    </row>
    <row r="78" spans="1:25" s="2" customFormat="1" ht="15" x14ac:dyDescent="0.25">
      <c r="A78" s="13">
        <f t="shared" si="70"/>
        <v>744</v>
      </c>
      <c r="B78" s="9">
        <v>378</v>
      </c>
      <c r="C78" s="9">
        <v>366</v>
      </c>
      <c r="D78" s="15">
        <f t="shared" si="71"/>
        <v>348</v>
      </c>
      <c r="E78" s="12">
        <v>144</v>
      </c>
      <c r="F78" s="12">
        <v>204</v>
      </c>
      <c r="G78" s="20">
        <f t="shared" si="72"/>
        <v>396</v>
      </c>
      <c r="H78" s="11">
        <f t="shared" si="73"/>
        <v>234</v>
      </c>
      <c r="I78" s="11">
        <f t="shared" si="74"/>
        <v>162</v>
      </c>
      <c r="J78" s="79">
        <f t="shared" si="67"/>
        <v>1077</v>
      </c>
      <c r="K78" s="9">
        <f t="shared" si="68"/>
        <v>894</v>
      </c>
      <c r="L78" s="9">
        <f t="shared" si="69"/>
        <v>183</v>
      </c>
      <c r="M78" s="15">
        <f t="shared" si="75"/>
        <v>39</v>
      </c>
      <c r="N78" s="12">
        <v>36</v>
      </c>
      <c r="O78" s="12">
        <v>3</v>
      </c>
      <c r="P78" s="20">
        <f t="shared" si="76"/>
        <v>1038</v>
      </c>
      <c r="Q78" s="21">
        <v>858</v>
      </c>
      <c r="R78" s="21">
        <v>180</v>
      </c>
      <c r="S78" s="7"/>
      <c r="T78" s="4" t="s">
        <v>68</v>
      </c>
      <c r="U78" s="4" t="s">
        <v>10</v>
      </c>
      <c r="V78" s="7" t="s">
        <v>155</v>
      </c>
      <c r="W78" s="16" t="s">
        <v>156</v>
      </c>
      <c r="X78" s="4" t="s">
        <v>254</v>
      </c>
      <c r="Y78" s="4"/>
    </row>
    <row r="79" spans="1:25" s="2" customFormat="1" ht="15" x14ac:dyDescent="0.25">
      <c r="A79" s="13">
        <f t="shared" si="70"/>
        <v>1105</v>
      </c>
      <c r="B79" s="9">
        <v>596</v>
      </c>
      <c r="C79" s="9">
        <v>509</v>
      </c>
      <c r="D79" s="15">
        <f t="shared" si="71"/>
        <v>288</v>
      </c>
      <c r="E79" s="12">
        <v>156</v>
      </c>
      <c r="F79" s="12">
        <v>132</v>
      </c>
      <c r="G79" s="20">
        <f t="shared" si="72"/>
        <v>817</v>
      </c>
      <c r="H79" s="11">
        <f t="shared" si="73"/>
        <v>440</v>
      </c>
      <c r="I79" s="11">
        <f t="shared" si="74"/>
        <v>377</v>
      </c>
      <c r="J79" s="79">
        <f t="shared" si="67"/>
        <v>1431</v>
      </c>
      <c r="K79" s="9">
        <f t="shared" si="68"/>
        <v>1172</v>
      </c>
      <c r="L79" s="9">
        <f t="shared" si="69"/>
        <v>259</v>
      </c>
      <c r="M79" s="15">
        <f t="shared" si="75"/>
        <v>45</v>
      </c>
      <c r="N79" s="12">
        <v>42</v>
      </c>
      <c r="O79" s="12">
        <v>3</v>
      </c>
      <c r="P79" s="20">
        <f t="shared" si="76"/>
        <v>1386</v>
      </c>
      <c r="Q79" s="21">
        <v>1130</v>
      </c>
      <c r="R79" s="21">
        <v>256</v>
      </c>
      <c r="S79" s="7"/>
      <c r="T79" s="4" t="s">
        <v>158</v>
      </c>
      <c r="U79" s="4" t="s">
        <v>45</v>
      </c>
      <c r="V79" s="7" t="s">
        <v>159</v>
      </c>
      <c r="W79" s="16" t="s">
        <v>157</v>
      </c>
      <c r="X79" s="4" t="s">
        <v>253</v>
      </c>
      <c r="Y79" s="4"/>
    </row>
    <row r="80" spans="1:25" s="94" customFormat="1" ht="15" x14ac:dyDescent="0.25">
      <c r="A80" s="88">
        <f t="shared" si="70"/>
        <v>437</v>
      </c>
      <c r="B80" s="89">
        <v>109</v>
      </c>
      <c r="C80" s="89">
        <v>328</v>
      </c>
      <c r="D80" s="88">
        <f t="shared" si="71"/>
        <v>264</v>
      </c>
      <c r="E80" s="90">
        <v>37</v>
      </c>
      <c r="F80" s="90">
        <v>227</v>
      </c>
      <c r="G80" s="88">
        <f t="shared" si="72"/>
        <v>173</v>
      </c>
      <c r="H80" s="90">
        <f t="shared" si="73"/>
        <v>72</v>
      </c>
      <c r="I80" s="90">
        <f t="shared" si="74"/>
        <v>101</v>
      </c>
      <c r="J80" s="79">
        <f t="shared" si="67"/>
        <v>199</v>
      </c>
      <c r="K80" s="89">
        <f t="shared" si="68"/>
        <v>58</v>
      </c>
      <c r="L80" s="89">
        <f t="shared" si="69"/>
        <v>141</v>
      </c>
      <c r="M80" s="88">
        <f t="shared" si="75"/>
        <v>19</v>
      </c>
      <c r="N80" s="90">
        <v>14</v>
      </c>
      <c r="O80" s="90">
        <v>5</v>
      </c>
      <c r="P80" s="88">
        <f t="shared" si="76"/>
        <v>180</v>
      </c>
      <c r="Q80" s="89">
        <v>44</v>
      </c>
      <c r="R80" s="89">
        <v>136</v>
      </c>
      <c r="S80" s="91"/>
      <c r="T80" s="92" t="s">
        <v>10</v>
      </c>
      <c r="U80" s="92">
        <v>2017</v>
      </c>
      <c r="V80" s="91" t="s">
        <v>160</v>
      </c>
      <c r="W80" s="93" t="s">
        <v>161</v>
      </c>
      <c r="X80" s="92" t="s">
        <v>254</v>
      </c>
      <c r="Y80" s="92"/>
    </row>
    <row r="81" spans="1:25" s="94" customFormat="1" ht="15" x14ac:dyDescent="0.25">
      <c r="A81" s="88">
        <f t="shared" si="70"/>
        <v>85</v>
      </c>
      <c r="B81" s="89">
        <v>38</v>
      </c>
      <c r="C81" s="89">
        <v>47</v>
      </c>
      <c r="D81" s="88">
        <f t="shared" si="71"/>
        <v>37</v>
      </c>
      <c r="E81" s="90">
        <v>6</v>
      </c>
      <c r="F81" s="90">
        <v>31</v>
      </c>
      <c r="G81" s="88">
        <f t="shared" si="72"/>
        <v>48</v>
      </c>
      <c r="H81" s="90">
        <f t="shared" si="73"/>
        <v>32</v>
      </c>
      <c r="I81" s="90">
        <f t="shared" si="74"/>
        <v>16</v>
      </c>
      <c r="J81" s="79">
        <f t="shared" si="67"/>
        <v>30</v>
      </c>
      <c r="K81" s="89">
        <f t="shared" si="68"/>
        <v>11</v>
      </c>
      <c r="L81" s="89">
        <f t="shared" si="69"/>
        <v>19</v>
      </c>
      <c r="M81" s="88">
        <f t="shared" si="75"/>
        <v>10</v>
      </c>
      <c r="N81" s="90">
        <v>2</v>
      </c>
      <c r="O81" s="108">
        <v>8</v>
      </c>
      <c r="P81" s="88">
        <f t="shared" si="76"/>
        <v>20</v>
      </c>
      <c r="Q81" s="89">
        <v>9</v>
      </c>
      <c r="R81" s="89">
        <v>11</v>
      </c>
      <c r="S81" s="91"/>
      <c r="T81" s="92">
        <v>2015</v>
      </c>
      <c r="U81" s="92">
        <v>2017</v>
      </c>
      <c r="V81" s="91" t="s">
        <v>163</v>
      </c>
      <c r="W81" s="93" t="s">
        <v>162</v>
      </c>
      <c r="X81" s="92" t="s">
        <v>253</v>
      </c>
      <c r="Y81" s="92"/>
    </row>
    <row r="82" spans="1:25" s="2" customFormat="1" ht="15" x14ac:dyDescent="0.25">
      <c r="A82" s="13">
        <f t="shared" si="70"/>
        <v>2097</v>
      </c>
      <c r="B82" s="9">
        <v>1039</v>
      </c>
      <c r="C82" s="9">
        <v>1058</v>
      </c>
      <c r="D82" s="15">
        <f t="shared" si="71"/>
        <v>904</v>
      </c>
      <c r="E82" s="12">
        <v>407</v>
      </c>
      <c r="F82" s="12">
        <v>497</v>
      </c>
      <c r="G82" s="20">
        <f t="shared" si="72"/>
        <v>1193</v>
      </c>
      <c r="H82" s="11">
        <f t="shared" si="73"/>
        <v>632</v>
      </c>
      <c r="I82" s="11">
        <f t="shared" si="74"/>
        <v>561</v>
      </c>
      <c r="J82" s="79">
        <f t="shared" si="67"/>
        <v>605</v>
      </c>
      <c r="K82" s="9">
        <f t="shared" si="68"/>
        <v>351</v>
      </c>
      <c r="L82" s="9">
        <f t="shared" si="69"/>
        <v>254</v>
      </c>
      <c r="M82" s="15">
        <f t="shared" si="75"/>
        <v>138</v>
      </c>
      <c r="N82" s="12">
        <v>119</v>
      </c>
      <c r="O82" s="12">
        <v>19</v>
      </c>
      <c r="P82" s="20">
        <f t="shared" si="76"/>
        <v>467</v>
      </c>
      <c r="Q82" s="21">
        <v>232</v>
      </c>
      <c r="R82" s="21">
        <v>235</v>
      </c>
      <c r="S82" s="7"/>
      <c r="T82" s="4" t="s">
        <v>68</v>
      </c>
      <c r="U82" s="4" t="s">
        <v>45</v>
      </c>
      <c r="V82" s="7" t="s">
        <v>165</v>
      </c>
      <c r="W82" s="16" t="s">
        <v>164</v>
      </c>
      <c r="X82" s="4" t="s">
        <v>253</v>
      </c>
      <c r="Y82" s="4"/>
    </row>
    <row r="83" spans="1:25" s="94" customFormat="1" ht="15" x14ac:dyDescent="0.25">
      <c r="A83" s="88">
        <f t="shared" si="70"/>
        <v>1883</v>
      </c>
      <c r="B83" s="89">
        <v>1800</v>
      </c>
      <c r="C83" s="89">
        <v>83</v>
      </c>
      <c r="D83" s="88">
        <f t="shared" si="71"/>
        <v>859</v>
      </c>
      <c r="E83" s="90">
        <v>815</v>
      </c>
      <c r="F83" s="90">
        <v>44</v>
      </c>
      <c r="G83" s="88">
        <f t="shared" si="72"/>
        <v>1024</v>
      </c>
      <c r="H83" s="90">
        <f t="shared" si="73"/>
        <v>985</v>
      </c>
      <c r="I83" s="90">
        <f t="shared" si="74"/>
        <v>39</v>
      </c>
      <c r="J83" s="79">
        <f t="shared" si="67"/>
        <v>229</v>
      </c>
      <c r="K83" s="89">
        <f t="shared" si="68"/>
        <v>117</v>
      </c>
      <c r="L83" s="89">
        <f t="shared" si="69"/>
        <v>112</v>
      </c>
      <c r="M83" s="88">
        <f t="shared" si="75"/>
        <v>43</v>
      </c>
      <c r="N83" s="90">
        <v>32</v>
      </c>
      <c r="O83" s="90">
        <v>11</v>
      </c>
      <c r="P83" s="88">
        <f t="shared" si="76"/>
        <v>186</v>
      </c>
      <c r="Q83" s="89">
        <v>85</v>
      </c>
      <c r="R83" s="89">
        <v>101</v>
      </c>
      <c r="S83" s="91" t="s">
        <v>166</v>
      </c>
      <c r="T83" s="92">
        <v>2017</v>
      </c>
      <c r="U83" s="92">
        <v>2017</v>
      </c>
      <c r="V83" s="91" t="s">
        <v>168</v>
      </c>
      <c r="W83" s="93" t="s">
        <v>167</v>
      </c>
      <c r="X83" s="92"/>
      <c r="Y83" s="92"/>
    </row>
    <row r="84" spans="1:25" s="94" customFormat="1" ht="15" x14ac:dyDescent="0.25">
      <c r="A84" s="88">
        <f t="shared" si="70"/>
        <v>174</v>
      </c>
      <c r="B84" s="89">
        <v>97</v>
      </c>
      <c r="C84" s="89">
        <v>77</v>
      </c>
      <c r="D84" s="88">
        <f t="shared" si="71"/>
        <v>127</v>
      </c>
      <c r="E84" s="90">
        <v>72</v>
      </c>
      <c r="F84" s="90">
        <v>55</v>
      </c>
      <c r="G84" s="88">
        <f t="shared" si="72"/>
        <v>47</v>
      </c>
      <c r="H84" s="90">
        <f t="shared" si="73"/>
        <v>25</v>
      </c>
      <c r="I84" s="90">
        <f t="shared" si="74"/>
        <v>22</v>
      </c>
      <c r="J84" s="79">
        <f t="shared" si="67"/>
        <v>49</v>
      </c>
      <c r="K84" s="89">
        <f t="shared" si="68"/>
        <v>26</v>
      </c>
      <c r="L84" s="89">
        <f t="shared" si="69"/>
        <v>23</v>
      </c>
      <c r="M84" s="88">
        <f t="shared" si="75"/>
        <v>7</v>
      </c>
      <c r="N84" s="90">
        <v>5</v>
      </c>
      <c r="O84" s="90">
        <v>2</v>
      </c>
      <c r="P84" s="88">
        <f t="shared" si="76"/>
        <v>42</v>
      </c>
      <c r="Q84" s="89">
        <v>21</v>
      </c>
      <c r="R84" s="89">
        <v>21</v>
      </c>
      <c r="S84" s="91"/>
      <c r="T84" s="92" t="s">
        <v>24</v>
      </c>
      <c r="U84" s="92">
        <v>2017</v>
      </c>
      <c r="V84" s="91" t="s">
        <v>169</v>
      </c>
      <c r="W84" s="93" t="s">
        <v>170</v>
      </c>
      <c r="X84" s="92" t="s">
        <v>253</v>
      </c>
      <c r="Y84" s="92"/>
    </row>
    <row r="85" spans="1:25" s="94" customFormat="1" ht="15" x14ac:dyDescent="0.25">
      <c r="A85" s="88">
        <f t="shared" ref="A85:A86" si="77">B85+C85</f>
        <v>1612</v>
      </c>
      <c r="B85" s="89">
        <v>671</v>
      </c>
      <c r="C85" s="89">
        <v>941</v>
      </c>
      <c r="D85" s="88">
        <f t="shared" ref="D85:D86" si="78">E85+F85</f>
        <v>749</v>
      </c>
      <c r="E85" s="90">
        <v>339</v>
      </c>
      <c r="F85" s="90">
        <v>410</v>
      </c>
      <c r="G85" s="88">
        <f t="shared" ref="G85:G86" si="79">H85+I85</f>
        <v>863</v>
      </c>
      <c r="H85" s="90">
        <f t="shared" ref="H85:H86" si="80">B85-E85</f>
        <v>332</v>
      </c>
      <c r="I85" s="90">
        <f t="shared" ref="I85:I86" si="81">C85-F85</f>
        <v>531</v>
      </c>
      <c r="J85" s="79">
        <f t="shared" si="67"/>
        <v>349</v>
      </c>
      <c r="K85" s="89">
        <f t="shared" si="68"/>
        <v>173</v>
      </c>
      <c r="L85" s="89">
        <f t="shared" si="69"/>
        <v>176</v>
      </c>
      <c r="M85" s="88">
        <f t="shared" ref="M85:M86" si="82">N85+O85</f>
        <v>56</v>
      </c>
      <c r="N85" s="90">
        <v>42</v>
      </c>
      <c r="O85" s="90">
        <v>14</v>
      </c>
      <c r="P85" s="88">
        <f t="shared" ref="P85:P86" si="83">Q85+R85</f>
        <v>293</v>
      </c>
      <c r="Q85" s="89">
        <v>131</v>
      </c>
      <c r="R85" s="89">
        <v>162</v>
      </c>
      <c r="S85" s="91"/>
      <c r="T85" s="92" t="s">
        <v>10</v>
      </c>
      <c r="U85" s="92">
        <v>2017</v>
      </c>
      <c r="V85" s="91" t="s">
        <v>171</v>
      </c>
      <c r="W85" s="93" t="s">
        <v>172</v>
      </c>
      <c r="X85" s="92" t="s">
        <v>253</v>
      </c>
      <c r="Y85" s="92"/>
    </row>
    <row r="86" spans="1:25" s="94" customFormat="1" ht="15" x14ac:dyDescent="0.25">
      <c r="A86" s="88">
        <f t="shared" si="77"/>
        <v>192</v>
      </c>
      <c r="B86" s="89">
        <v>39</v>
      </c>
      <c r="C86" s="89">
        <v>153</v>
      </c>
      <c r="D86" s="88">
        <f t="shared" si="78"/>
        <v>60</v>
      </c>
      <c r="E86" s="90">
        <v>8</v>
      </c>
      <c r="F86" s="90">
        <v>52</v>
      </c>
      <c r="G86" s="88">
        <f t="shared" si="79"/>
        <v>132</v>
      </c>
      <c r="H86" s="90">
        <f t="shared" si="80"/>
        <v>31</v>
      </c>
      <c r="I86" s="90">
        <f t="shared" si="81"/>
        <v>101</v>
      </c>
      <c r="J86" s="79">
        <f t="shared" si="67"/>
        <v>149</v>
      </c>
      <c r="K86" s="89">
        <f t="shared" si="68"/>
        <v>91</v>
      </c>
      <c r="L86" s="89">
        <f t="shared" si="69"/>
        <v>58</v>
      </c>
      <c r="M86" s="88">
        <f t="shared" si="82"/>
        <v>4</v>
      </c>
      <c r="N86" s="90">
        <v>3</v>
      </c>
      <c r="O86" s="90">
        <v>1</v>
      </c>
      <c r="P86" s="88">
        <f t="shared" si="83"/>
        <v>145</v>
      </c>
      <c r="Q86" s="89">
        <v>88</v>
      </c>
      <c r="R86" s="89">
        <v>57</v>
      </c>
      <c r="S86" s="91"/>
      <c r="T86" s="92" t="s">
        <v>10</v>
      </c>
      <c r="U86" s="92">
        <v>2017</v>
      </c>
      <c r="V86" s="91" t="s">
        <v>174</v>
      </c>
      <c r="W86" s="93" t="s">
        <v>173</v>
      </c>
      <c r="X86" s="92" t="s">
        <v>253</v>
      </c>
      <c r="Y86" s="92"/>
    </row>
    <row r="87" spans="1:25" s="2" customFormat="1" ht="15" x14ac:dyDescent="0.25">
      <c r="A87" s="13">
        <f t="shared" ref="A87" si="84">B87+C87</f>
        <v>71</v>
      </c>
      <c r="B87" s="9">
        <v>6</v>
      </c>
      <c r="C87" s="9">
        <v>65</v>
      </c>
      <c r="D87" s="15">
        <f t="shared" ref="D87" si="85">E87+F87</f>
        <v>17</v>
      </c>
      <c r="E87" s="12">
        <v>0</v>
      </c>
      <c r="F87" s="12">
        <v>17</v>
      </c>
      <c r="G87" s="20">
        <f t="shared" ref="G87" si="86">H87+I87</f>
        <v>54</v>
      </c>
      <c r="H87" s="11">
        <f t="shared" ref="H87" si="87">B87-E87</f>
        <v>6</v>
      </c>
      <c r="I87" s="11">
        <f t="shared" ref="I87" si="88">C87-F87</f>
        <v>48</v>
      </c>
      <c r="J87" s="79">
        <f t="shared" si="67"/>
        <v>15</v>
      </c>
      <c r="K87" s="9">
        <f t="shared" si="68"/>
        <v>8</v>
      </c>
      <c r="L87" s="9">
        <f t="shared" si="69"/>
        <v>7</v>
      </c>
      <c r="M87" s="15">
        <f t="shared" ref="M87" si="89">N87+O87</f>
        <v>7</v>
      </c>
      <c r="N87" s="12">
        <v>6</v>
      </c>
      <c r="O87" s="12">
        <v>1</v>
      </c>
      <c r="P87" s="20">
        <f t="shared" ref="P87" si="90">Q87+R87</f>
        <v>8</v>
      </c>
      <c r="Q87" s="21">
        <v>2</v>
      </c>
      <c r="R87" s="21">
        <v>6</v>
      </c>
      <c r="S87" s="7"/>
      <c r="T87" s="4" t="s">
        <v>24</v>
      </c>
      <c r="U87" s="4">
        <v>2015</v>
      </c>
      <c r="V87" s="7" t="s">
        <v>176</v>
      </c>
      <c r="W87" s="16" t="s">
        <v>175</v>
      </c>
      <c r="X87" s="4" t="s">
        <v>253</v>
      </c>
      <c r="Y87" s="4" t="s">
        <v>256</v>
      </c>
    </row>
    <row r="88" spans="1:25" s="2" customFormat="1" ht="15" x14ac:dyDescent="0.25">
      <c r="A88" s="13">
        <f t="shared" ref="A88:A102" si="91">B88+C88</f>
        <v>64</v>
      </c>
      <c r="B88" s="9">
        <v>6</v>
      </c>
      <c r="C88" s="9">
        <v>58</v>
      </c>
      <c r="D88" s="15">
        <f t="shared" ref="D88:D102" si="92">E88+F88</f>
        <v>15</v>
      </c>
      <c r="E88" s="12">
        <v>0</v>
      </c>
      <c r="F88" s="12">
        <v>15</v>
      </c>
      <c r="G88" s="20">
        <f t="shared" ref="G88:G102" si="93">H88+I88</f>
        <v>49</v>
      </c>
      <c r="H88" s="11">
        <f t="shared" ref="H88:H102" si="94">B88-E88</f>
        <v>6</v>
      </c>
      <c r="I88" s="11">
        <f t="shared" ref="I88:I102" si="95">C88-F88</f>
        <v>43</v>
      </c>
      <c r="J88" s="79">
        <f t="shared" si="67"/>
        <v>18</v>
      </c>
      <c r="K88" s="9">
        <f t="shared" si="68"/>
        <v>12</v>
      </c>
      <c r="L88" s="9">
        <f t="shared" si="69"/>
        <v>6</v>
      </c>
      <c r="M88" s="15">
        <f t="shared" ref="M88:M102" si="96">N88+O88</f>
        <v>9</v>
      </c>
      <c r="N88" s="12">
        <v>8</v>
      </c>
      <c r="O88" s="12">
        <v>1</v>
      </c>
      <c r="P88" s="20">
        <f t="shared" ref="P88:P102" si="97">Q88+R88</f>
        <v>9</v>
      </c>
      <c r="Q88" s="21">
        <v>4</v>
      </c>
      <c r="R88" s="21">
        <v>5</v>
      </c>
      <c r="S88" s="7"/>
      <c r="T88" s="4" t="s">
        <v>24</v>
      </c>
      <c r="U88" s="4">
        <v>2015</v>
      </c>
      <c r="V88" s="7" t="s">
        <v>180</v>
      </c>
      <c r="W88" s="16" t="s">
        <v>177</v>
      </c>
      <c r="X88" s="4" t="s">
        <v>253</v>
      </c>
      <c r="Y88" s="4" t="s">
        <v>256</v>
      </c>
    </row>
    <row r="89" spans="1:25" s="2" customFormat="1" ht="15" x14ac:dyDescent="0.25">
      <c r="A89" s="13">
        <f t="shared" si="91"/>
        <v>882</v>
      </c>
      <c r="B89" s="9">
        <v>527</v>
      </c>
      <c r="C89" s="9">
        <v>355</v>
      </c>
      <c r="D89" s="15">
        <f t="shared" si="92"/>
        <v>392</v>
      </c>
      <c r="E89" s="12">
        <v>217</v>
      </c>
      <c r="F89" s="12">
        <v>175</v>
      </c>
      <c r="G89" s="20">
        <f t="shared" si="93"/>
        <v>490</v>
      </c>
      <c r="H89" s="11">
        <f t="shared" si="94"/>
        <v>310</v>
      </c>
      <c r="I89" s="11">
        <f t="shared" si="95"/>
        <v>180</v>
      </c>
      <c r="J89" s="79">
        <f t="shared" si="67"/>
        <v>725</v>
      </c>
      <c r="K89" s="9">
        <f t="shared" si="68"/>
        <v>495</v>
      </c>
      <c r="L89" s="9">
        <f t="shared" si="69"/>
        <v>230</v>
      </c>
      <c r="M89" s="15">
        <f t="shared" si="96"/>
        <v>32</v>
      </c>
      <c r="N89" s="12">
        <v>28</v>
      </c>
      <c r="O89" s="12">
        <v>4</v>
      </c>
      <c r="P89" s="20">
        <f t="shared" si="97"/>
        <v>693</v>
      </c>
      <c r="Q89" s="21">
        <v>467</v>
      </c>
      <c r="R89" s="21">
        <v>226</v>
      </c>
      <c r="S89" s="7"/>
      <c r="T89" s="4" t="s">
        <v>10</v>
      </c>
      <c r="U89" s="4">
        <v>2015</v>
      </c>
      <c r="V89" s="7" t="s">
        <v>179</v>
      </c>
      <c r="W89" s="16" t="s">
        <v>178</v>
      </c>
      <c r="X89" s="4" t="s">
        <v>253</v>
      </c>
      <c r="Y89" s="4" t="s">
        <v>256</v>
      </c>
    </row>
    <row r="90" spans="1:25" s="2" customFormat="1" ht="15" x14ac:dyDescent="0.25">
      <c r="A90" s="13">
        <f t="shared" si="91"/>
        <v>1018</v>
      </c>
      <c r="B90" s="9">
        <v>634</v>
      </c>
      <c r="C90" s="9">
        <v>384</v>
      </c>
      <c r="D90" s="15">
        <f t="shared" si="92"/>
        <v>345</v>
      </c>
      <c r="E90" s="12">
        <v>178</v>
      </c>
      <c r="F90" s="12">
        <v>167</v>
      </c>
      <c r="G90" s="20">
        <f t="shared" si="93"/>
        <v>673</v>
      </c>
      <c r="H90" s="11">
        <f t="shared" si="94"/>
        <v>456</v>
      </c>
      <c r="I90" s="11">
        <f t="shared" si="95"/>
        <v>217</v>
      </c>
      <c r="J90" s="79">
        <f t="shared" si="67"/>
        <v>700</v>
      </c>
      <c r="K90" s="9">
        <f t="shared" si="68"/>
        <v>418</v>
      </c>
      <c r="L90" s="9">
        <f t="shared" si="69"/>
        <v>282</v>
      </c>
      <c r="M90" s="15">
        <f t="shared" si="96"/>
        <v>36</v>
      </c>
      <c r="N90" s="12">
        <v>33</v>
      </c>
      <c r="O90" s="12">
        <v>3</v>
      </c>
      <c r="P90" s="20">
        <f t="shared" si="97"/>
        <v>664</v>
      </c>
      <c r="Q90" s="21">
        <v>385</v>
      </c>
      <c r="R90" s="21">
        <v>279</v>
      </c>
      <c r="S90" s="7"/>
      <c r="T90" s="4" t="s">
        <v>10</v>
      </c>
      <c r="U90" s="4">
        <v>2015</v>
      </c>
      <c r="V90" s="7" t="s">
        <v>182</v>
      </c>
      <c r="W90" s="16" t="s">
        <v>181</v>
      </c>
      <c r="X90" s="4" t="s">
        <v>253</v>
      </c>
      <c r="Y90" s="4" t="s">
        <v>256</v>
      </c>
    </row>
    <row r="91" spans="1:25" s="2" customFormat="1" ht="15" x14ac:dyDescent="0.25">
      <c r="A91" s="13">
        <f t="shared" si="91"/>
        <v>112</v>
      </c>
      <c r="B91" s="9">
        <v>37</v>
      </c>
      <c r="C91" s="9">
        <v>75</v>
      </c>
      <c r="D91" s="15">
        <f t="shared" si="92"/>
        <v>64</v>
      </c>
      <c r="E91" s="12">
        <v>27</v>
      </c>
      <c r="F91" s="12">
        <v>37</v>
      </c>
      <c r="G91" s="20">
        <f t="shared" si="93"/>
        <v>48</v>
      </c>
      <c r="H91" s="11">
        <f t="shared" si="94"/>
        <v>10</v>
      </c>
      <c r="I91" s="11">
        <f t="shared" si="95"/>
        <v>38</v>
      </c>
      <c r="J91" s="79">
        <f t="shared" si="67"/>
        <v>22</v>
      </c>
      <c r="K91" s="9">
        <f t="shared" si="68"/>
        <v>17</v>
      </c>
      <c r="L91" s="9">
        <f t="shared" si="69"/>
        <v>5</v>
      </c>
      <c r="M91" s="15">
        <f t="shared" si="96"/>
        <v>8</v>
      </c>
      <c r="N91" s="12">
        <v>7</v>
      </c>
      <c r="O91" s="12">
        <v>1</v>
      </c>
      <c r="P91" s="20">
        <f t="shared" si="97"/>
        <v>14</v>
      </c>
      <c r="Q91" s="21">
        <v>10</v>
      </c>
      <c r="R91" s="21">
        <v>4</v>
      </c>
      <c r="S91" s="7"/>
      <c r="T91" s="4" t="s">
        <v>184</v>
      </c>
      <c r="U91" s="4" t="s">
        <v>37</v>
      </c>
      <c r="V91" s="7" t="s">
        <v>183</v>
      </c>
      <c r="W91" s="16" t="s">
        <v>185</v>
      </c>
      <c r="X91" s="4" t="s">
        <v>254</v>
      </c>
      <c r="Y91" s="4" t="s">
        <v>257</v>
      </c>
    </row>
    <row r="92" spans="1:25" s="2" customFormat="1" ht="15" x14ac:dyDescent="0.25">
      <c r="A92" s="13">
        <f t="shared" si="91"/>
        <v>303</v>
      </c>
      <c r="B92" s="9">
        <v>99</v>
      </c>
      <c r="C92" s="9">
        <v>204</v>
      </c>
      <c r="D92" s="15">
        <f t="shared" si="92"/>
        <v>152</v>
      </c>
      <c r="E92" s="12">
        <v>41</v>
      </c>
      <c r="F92" s="12">
        <v>111</v>
      </c>
      <c r="G92" s="20">
        <f t="shared" si="93"/>
        <v>151</v>
      </c>
      <c r="H92" s="11">
        <f t="shared" si="94"/>
        <v>58</v>
      </c>
      <c r="I92" s="11">
        <f t="shared" si="95"/>
        <v>93</v>
      </c>
      <c r="J92" s="79">
        <f t="shared" si="67"/>
        <v>493</v>
      </c>
      <c r="K92" s="9">
        <f t="shared" si="68"/>
        <v>465</v>
      </c>
      <c r="L92" s="9">
        <f t="shared" si="69"/>
        <v>28</v>
      </c>
      <c r="M92" s="15">
        <f t="shared" si="96"/>
        <v>29</v>
      </c>
      <c r="N92" s="12">
        <v>28</v>
      </c>
      <c r="O92" s="12">
        <v>1</v>
      </c>
      <c r="P92" s="20">
        <f t="shared" si="97"/>
        <v>464</v>
      </c>
      <c r="Q92" s="21">
        <v>437</v>
      </c>
      <c r="R92" s="21">
        <v>27</v>
      </c>
      <c r="S92" s="7"/>
      <c r="T92" s="4" t="s">
        <v>37</v>
      </c>
      <c r="U92" s="4" t="s">
        <v>45</v>
      </c>
      <c r="V92" s="7" t="s">
        <v>186</v>
      </c>
      <c r="W92" s="16" t="s">
        <v>187</v>
      </c>
      <c r="X92" s="4" t="s">
        <v>253</v>
      </c>
      <c r="Y92" s="4" t="s">
        <v>256</v>
      </c>
    </row>
    <row r="93" spans="1:25" s="2" customFormat="1" ht="15" x14ac:dyDescent="0.25">
      <c r="A93" s="13">
        <f t="shared" si="91"/>
        <v>308</v>
      </c>
      <c r="B93" s="9">
        <v>49</v>
      </c>
      <c r="C93" s="9">
        <v>259</v>
      </c>
      <c r="D93" s="15">
        <f t="shared" si="92"/>
        <v>106</v>
      </c>
      <c r="E93" s="12">
        <v>9</v>
      </c>
      <c r="F93" s="12">
        <v>97</v>
      </c>
      <c r="G93" s="20">
        <f t="shared" si="93"/>
        <v>202</v>
      </c>
      <c r="H93" s="11">
        <f t="shared" si="94"/>
        <v>40</v>
      </c>
      <c r="I93" s="11">
        <f t="shared" si="95"/>
        <v>162</v>
      </c>
      <c r="J93" s="79">
        <f t="shared" si="67"/>
        <v>30</v>
      </c>
      <c r="K93" s="9">
        <f t="shared" si="68"/>
        <v>21</v>
      </c>
      <c r="L93" s="9">
        <f t="shared" si="69"/>
        <v>9</v>
      </c>
      <c r="M93" s="15">
        <f t="shared" si="96"/>
        <v>19</v>
      </c>
      <c r="N93" s="12">
        <v>19</v>
      </c>
      <c r="O93" s="12">
        <v>0</v>
      </c>
      <c r="P93" s="20">
        <f t="shared" si="97"/>
        <v>11</v>
      </c>
      <c r="Q93" s="21">
        <v>2</v>
      </c>
      <c r="R93" s="21">
        <v>9</v>
      </c>
      <c r="S93" s="7"/>
      <c r="T93" s="4" t="s">
        <v>24</v>
      </c>
      <c r="U93" s="4">
        <v>2015</v>
      </c>
      <c r="V93" s="7" t="s">
        <v>189</v>
      </c>
      <c r="W93" s="16" t="s">
        <v>188</v>
      </c>
      <c r="X93" s="4" t="s">
        <v>254</v>
      </c>
      <c r="Y93" s="4" t="s">
        <v>257</v>
      </c>
    </row>
    <row r="94" spans="1:25" s="94" customFormat="1" ht="15" x14ac:dyDescent="0.25">
      <c r="A94" s="88">
        <f t="shared" si="91"/>
        <v>1050</v>
      </c>
      <c r="B94" s="89">
        <v>583</v>
      </c>
      <c r="C94" s="89">
        <v>467</v>
      </c>
      <c r="D94" s="88">
        <f t="shared" si="92"/>
        <v>289</v>
      </c>
      <c r="E94" s="90">
        <v>146</v>
      </c>
      <c r="F94" s="90">
        <v>143</v>
      </c>
      <c r="G94" s="88">
        <f t="shared" si="93"/>
        <v>761</v>
      </c>
      <c r="H94" s="90">
        <f t="shared" si="94"/>
        <v>437</v>
      </c>
      <c r="I94" s="90">
        <f t="shared" si="95"/>
        <v>324</v>
      </c>
      <c r="J94" s="79">
        <f t="shared" si="67"/>
        <v>1129</v>
      </c>
      <c r="K94" s="89">
        <f t="shared" si="68"/>
        <v>729</v>
      </c>
      <c r="L94" s="89">
        <f t="shared" si="69"/>
        <v>400</v>
      </c>
      <c r="M94" s="88">
        <f t="shared" si="96"/>
        <v>22</v>
      </c>
      <c r="N94" s="90">
        <v>14</v>
      </c>
      <c r="O94" s="108">
        <v>8</v>
      </c>
      <c r="P94" s="88">
        <f t="shared" si="97"/>
        <v>1107</v>
      </c>
      <c r="Q94" s="89">
        <v>715</v>
      </c>
      <c r="R94" s="89">
        <v>392</v>
      </c>
      <c r="S94" s="91"/>
      <c r="T94" s="92" t="s">
        <v>191</v>
      </c>
      <c r="U94" s="92">
        <v>2016</v>
      </c>
      <c r="V94" s="91" t="s">
        <v>190</v>
      </c>
      <c r="W94" s="93" t="s">
        <v>192</v>
      </c>
      <c r="X94" s="92" t="s">
        <v>253</v>
      </c>
      <c r="Y94" s="92" t="s">
        <v>256</v>
      </c>
    </row>
    <row r="95" spans="1:25" s="2" customFormat="1" ht="15" x14ac:dyDescent="0.25">
      <c r="A95" s="13">
        <f t="shared" si="91"/>
        <v>468</v>
      </c>
      <c r="B95" s="9">
        <v>247</v>
      </c>
      <c r="C95" s="9">
        <v>221</v>
      </c>
      <c r="D95" s="15">
        <f t="shared" si="92"/>
        <v>220</v>
      </c>
      <c r="E95" s="12">
        <v>113</v>
      </c>
      <c r="F95" s="12">
        <v>107</v>
      </c>
      <c r="G95" s="20">
        <f t="shared" si="93"/>
        <v>248</v>
      </c>
      <c r="H95" s="11">
        <f t="shared" si="94"/>
        <v>134</v>
      </c>
      <c r="I95" s="11">
        <f t="shared" si="95"/>
        <v>114</v>
      </c>
      <c r="J95" s="79">
        <f t="shared" si="67"/>
        <v>48</v>
      </c>
      <c r="K95" s="9">
        <f t="shared" si="68"/>
        <v>29</v>
      </c>
      <c r="L95" s="9">
        <f t="shared" si="69"/>
        <v>19</v>
      </c>
      <c r="M95" s="15">
        <f t="shared" si="96"/>
        <v>37</v>
      </c>
      <c r="N95" s="12">
        <v>29</v>
      </c>
      <c r="O95" s="19">
        <v>8</v>
      </c>
      <c r="P95" s="20">
        <f t="shared" si="97"/>
        <v>11</v>
      </c>
      <c r="Q95" s="21">
        <v>0</v>
      </c>
      <c r="R95" s="21">
        <v>11</v>
      </c>
      <c r="S95" s="7"/>
      <c r="T95" s="4" t="s">
        <v>10</v>
      </c>
      <c r="U95" s="4">
        <v>2015</v>
      </c>
      <c r="V95" s="7" t="s">
        <v>194</v>
      </c>
      <c r="W95" s="16" t="s">
        <v>193</v>
      </c>
      <c r="X95" s="4" t="s">
        <v>253</v>
      </c>
      <c r="Y95" s="4" t="s">
        <v>256</v>
      </c>
    </row>
    <row r="96" spans="1:25" s="2" customFormat="1" ht="15" x14ac:dyDescent="0.25">
      <c r="A96" s="13">
        <f t="shared" si="91"/>
        <v>447</v>
      </c>
      <c r="B96" s="9">
        <v>186</v>
      </c>
      <c r="C96" s="9">
        <v>261</v>
      </c>
      <c r="D96" s="15">
        <f t="shared" si="92"/>
        <v>206</v>
      </c>
      <c r="E96" s="12">
        <v>75</v>
      </c>
      <c r="F96" s="12">
        <v>131</v>
      </c>
      <c r="G96" s="20">
        <f t="shared" si="93"/>
        <v>241</v>
      </c>
      <c r="H96" s="11">
        <f t="shared" si="94"/>
        <v>111</v>
      </c>
      <c r="I96" s="11">
        <f t="shared" si="95"/>
        <v>130</v>
      </c>
      <c r="J96" s="79">
        <f t="shared" si="67"/>
        <v>85</v>
      </c>
      <c r="K96" s="9">
        <f t="shared" si="68"/>
        <v>69</v>
      </c>
      <c r="L96" s="9">
        <f t="shared" si="69"/>
        <v>16</v>
      </c>
      <c r="M96" s="15">
        <f t="shared" si="96"/>
        <v>25</v>
      </c>
      <c r="N96" s="12">
        <v>23</v>
      </c>
      <c r="O96" s="12">
        <v>2</v>
      </c>
      <c r="P96" s="20">
        <f t="shared" si="97"/>
        <v>60</v>
      </c>
      <c r="Q96" s="21">
        <v>46</v>
      </c>
      <c r="R96" s="21">
        <v>14</v>
      </c>
      <c r="S96" s="7"/>
      <c r="T96" s="4" t="s">
        <v>196</v>
      </c>
      <c r="U96" s="4">
        <v>2015</v>
      </c>
      <c r="V96" s="7" t="s">
        <v>197</v>
      </c>
      <c r="W96" s="16" t="s">
        <v>195</v>
      </c>
      <c r="X96" s="4" t="s">
        <v>254</v>
      </c>
      <c r="Y96" s="4" t="s">
        <v>257</v>
      </c>
    </row>
    <row r="97" spans="1:25" s="94" customFormat="1" ht="15" x14ac:dyDescent="0.25">
      <c r="A97" s="88">
        <f t="shared" si="91"/>
        <v>403</v>
      </c>
      <c r="B97" s="89">
        <v>188</v>
      </c>
      <c r="C97" s="89">
        <v>215</v>
      </c>
      <c r="D97" s="88">
        <f t="shared" si="92"/>
        <v>159</v>
      </c>
      <c r="E97" s="90">
        <v>69</v>
      </c>
      <c r="F97" s="90">
        <v>90</v>
      </c>
      <c r="G97" s="88">
        <f t="shared" si="93"/>
        <v>244</v>
      </c>
      <c r="H97" s="90">
        <f t="shared" si="94"/>
        <v>119</v>
      </c>
      <c r="I97" s="90">
        <f t="shared" si="95"/>
        <v>125</v>
      </c>
      <c r="J97" s="79">
        <f t="shared" si="67"/>
        <v>298</v>
      </c>
      <c r="K97" s="89">
        <f t="shared" si="68"/>
        <v>166</v>
      </c>
      <c r="L97" s="89">
        <f t="shared" si="69"/>
        <v>132</v>
      </c>
      <c r="M97" s="88">
        <f t="shared" si="96"/>
        <v>15</v>
      </c>
      <c r="N97" s="90">
        <v>7</v>
      </c>
      <c r="O97" s="108">
        <v>8</v>
      </c>
      <c r="P97" s="88">
        <f t="shared" si="97"/>
        <v>283</v>
      </c>
      <c r="Q97" s="89">
        <v>159</v>
      </c>
      <c r="R97" s="89">
        <v>124</v>
      </c>
      <c r="S97" s="91"/>
      <c r="T97" s="92" t="s">
        <v>10</v>
      </c>
      <c r="U97" s="92">
        <v>2016</v>
      </c>
      <c r="V97" s="91" t="s">
        <v>199</v>
      </c>
      <c r="W97" s="93" t="s">
        <v>198</v>
      </c>
      <c r="X97" s="92" t="s">
        <v>253</v>
      </c>
      <c r="Y97" s="92" t="s">
        <v>256</v>
      </c>
    </row>
    <row r="98" spans="1:25" s="2" customFormat="1" ht="15" x14ac:dyDescent="0.25">
      <c r="A98" s="13">
        <f t="shared" si="91"/>
        <v>409</v>
      </c>
      <c r="B98" s="9">
        <v>220</v>
      </c>
      <c r="C98" s="9">
        <v>189</v>
      </c>
      <c r="D98" s="15">
        <f t="shared" si="92"/>
        <v>217</v>
      </c>
      <c r="E98" s="12">
        <v>114</v>
      </c>
      <c r="F98" s="12">
        <v>103</v>
      </c>
      <c r="G98" s="20">
        <f t="shared" si="93"/>
        <v>192</v>
      </c>
      <c r="H98" s="11">
        <f t="shared" si="94"/>
        <v>106</v>
      </c>
      <c r="I98" s="11">
        <f t="shared" si="95"/>
        <v>86</v>
      </c>
      <c r="J98" s="79">
        <f t="shared" si="67"/>
        <v>456</v>
      </c>
      <c r="K98" s="9">
        <f t="shared" si="68"/>
        <v>353</v>
      </c>
      <c r="L98" s="9">
        <f t="shared" si="69"/>
        <v>103</v>
      </c>
      <c r="M98" s="15">
        <f t="shared" si="96"/>
        <v>19</v>
      </c>
      <c r="N98" s="12">
        <v>17</v>
      </c>
      <c r="O98" s="12">
        <v>2</v>
      </c>
      <c r="P98" s="20">
        <f t="shared" si="97"/>
        <v>437</v>
      </c>
      <c r="Q98" s="21">
        <v>336</v>
      </c>
      <c r="R98" s="21">
        <v>101</v>
      </c>
      <c r="S98" s="7"/>
      <c r="T98" s="4" t="s">
        <v>10</v>
      </c>
      <c r="U98" s="4">
        <v>2015</v>
      </c>
      <c r="V98" s="7" t="s">
        <v>200</v>
      </c>
      <c r="W98" s="16" t="s">
        <v>201</v>
      </c>
      <c r="X98" s="4" t="s">
        <v>254</v>
      </c>
      <c r="Y98" s="4" t="s">
        <v>257</v>
      </c>
    </row>
    <row r="99" spans="1:25" s="2" customFormat="1" ht="15" x14ac:dyDescent="0.25">
      <c r="A99" s="13">
        <f t="shared" si="91"/>
        <v>76</v>
      </c>
      <c r="B99" s="9">
        <v>25</v>
      </c>
      <c r="C99" s="9">
        <v>51</v>
      </c>
      <c r="D99" s="15">
        <f t="shared" si="92"/>
        <v>76</v>
      </c>
      <c r="E99" s="12">
        <v>25</v>
      </c>
      <c r="F99" s="12">
        <v>51</v>
      </c>
      <c r="G99" s="20">
        <f t="shared" si="93"/>
        <v>0</v>
      </c>
      <c r="H99" s="11">
        <f t="shared" si="94"/>
        <v>0</v>
      </c>
      <c r="I99" s="11">
        <f t="shared" si="95"/>
        <v>0</v>
      </c>
      <c r="J99" s="79">
        <f t="shared" si="67"/>
        <v>16</v>
      </c>
      <c r="K99" s="9">
        <f t="shared" si="68"/>
        <v>12</v>
      </c>
      <c r="L99" s="9">
        <f t="shared" si="69"/>
        <v>4</v>
      </c>
      <c r="M99" s="15">
        <f t="shared" si="96"/>
        <v>16</v>
      </c>
      <c r="N99" s="12">
        <v>12</v>
      </c>
      <c r="O99" s="12">
        <v>4</v>
      </c>
      <c r="P99" s="20">
        <f t="shared" si="97"/>
        <v>0</v>
      </c>
      <c r="Q99" s="21">
        <v>0</v>
      </c>
      <c r="R99" s="21">
        <v>0</v>
      </c>
      <c r="S99" s="7"/>
      <c r="T99" s="4" t="s">
        <v>203</v>
      </c>
      <c r="U99" s="4">
        <v>2015</v>
      </c>
      <c r="V99" s="7" t="s">
        <v>202</v>
      </c>
      <c r="W99" s="16" t="s">
        <v>204</v>
      </c>
      <c r="X99" s="4" t="s">
        <v>253</v>
      </c>
      <c r="Y99" s="4" t="s">
        <v>256</v>
      </c>
    </row>
    <row r="100" spans="1:25" s="2" customFormat="1" ht="15" x14ac:dyDescent="0.25">
      <c r="A100" s="13">
        <f t="shared" si="91"/>
        <v>1541</v>
      </c>
      <c r="B100" s="9">
        <v>1064</v>
      </c>
      <c r="C100" s="9">
        <v>477</v>
      </c>
      <c r="D100" s="15">
        <f t="shared" si="92"/>
        <v>386</v>
      </c>
      <c r="E100" s="12">
        <v>204</v>
      </c>
      <c r="F100" s="12">
        <v>182</v>
      </c>
      <c r="G100" s="20">
        <f t="shared" si="93"/>
        <v>1155</v>
      </c>
      <c r="H100" s="11">
        <f t="shared" si="94"/>
        <v>860</v>
      </c>
      <c r="I100" s="11">
        <f t="shared" si="95"/>
        <v>295</v>
      </c>
      <c r="J100" s="79">
        <f t="shared" si="67"/>
        <v>567</v>
      </c>
      <c r="K100" s="9">
        <f t="shared" si="68"/>
        <v>438</v>
      </c>
      <c r="L100" s="9">
        <f t="shared" si="69"/>
        <v>129</v>
      </c>
      <c r="M100" s="15">
        <f t="shared" si="96"/>
        <v>75</v>
      </c>
      <c r="N100" s="12">
        <v>67</v>
      </c>
      <c r="O100" s="19">
        <v>8</v>
      </c>
      <c r="P100" s="20">
        <f t="shared" si="97"/>
        <v>492</v>
      </c>
      <c r="Q100" s="21">
        <v>371</v>
      </c>
      <c r="R100" s="21">
        <v>121</v>
      </c>
      <c r="S100" s="7"/>
      <c r="T100" s="4" t="s">
        <v>196</v>
      </c>
      <c r="U100" s="4">
        <v>2015</v>
      </c>
      <c r="V100" s="7" t="s">
        <v>205</v>
      </c>
      <c r="W100" s="16" t="s">
        <v>206</v>
      </c>
      <c r="X100" s="4" t="s">
        <v>253</v>
      </c>
      <c r="Y100" s="4" t="s">
        <v>256</v>
      </c>
    </row>
    <row r="101" spans="1:25" s="2" customFormat="1" ht="15" x14ac:dyDescent="0.25">
      <c r="A101" s="13">
        <f t="shared" si="91"/>
        <v>685</v>
      </c>
      <c r="B101" s="9">
        <v>55</v>
      </c>
      <c r="C101" s="9">
        <v>630</v>
      </c>
      <c r="D101" s="15">
        <f t="shared" si="92"/>
        <v>317</v>
      </c>
      <c r="E101" s="12">
        <v>30</v>
      </c>
      <c r="F101" s="12">
        <v>287</v>
      </c>
      <c r="G101" s="20">
        <f t="shared" si="93"/>
        <v>368</v>
      </c>
      <c r="H101" s="11">
        <f t="shared" si="94"/>
        <v>25</v>
      </c>
      <c r="I101" s="11">
        <f t="shared" si="95"/>
        <v>343</v>
      </c>
      <c r="J101" s="79">
        <f t="shared" si="67"/>
        <v>192</v>
      </c>
      <c r="K101" s="9">
        <f t="shared" si="68"/>
        <v>98</v>
      </c>
      <c r="L101" s="9">
        <f t="shared" si="69"/>
        <v>94</v>
      </c>
      <c r="M101" s="15">
        <f t="shared" si="96"/>
        <v>30</v>
      </c>
      <c r="N101" s="12">
        <v>22</v>
      </c>
      <c r="O101" s="19">
        <v>8</v>
      </c>
      <c r="P101" s="20">
        <f t="shared" si="97"/>
        <v>162</v>
      </c>
      <c r="Q101" s="21">
        <v>76</v>
      </c>
      <c r="R101" s="21">
        <v>86</v>
      </c>
      <c r="S101" s="7"/>
      <c r="T101" s="4" t="s">
        <v>10</v>
      </c>
      <c r="U101" s="4">
        <v>2013</v>
      </c>
      <c r="V101" s="7" t="s">
        <v>207</v>
      </c>
      <c r="W101" s="16" t="s">
        <v>208</v>
      </c>
      <c r="X101" s="4" t="s">
        <v>254</v>
      </c>
      <c r="Y101" s="4" t="s">
        <v>257</v>
      </c>
    </row>
    <row r="102" spans="1:25" s="2" customFormat="1" ht="15" x14ac:dyDescent="0.25">
      <c r="A102" s="13">
        <f t="shared" si="91"/>
        <v>891</v>
      </c>
      <c r="B102" s="9">
        <v>463</v>
      </c>
      <c r="C102" s="9">
        <v>428</v>
      </c>
      <c r="D102" s="15">
        <f t="shared" si="92"/>
        <v>291</v>
      </c>
      <c r="E102" s="12">
        <v>138</v>
      </c>
      <c r="F102" s="12">
        <v>153</v>
      </c>
      <c r="G102" s="20">
        <f t="shared" si="93"/>
        <v>600</v>
      </c>
      <c r="H102" s="11">
        <f t="shared" si="94"/>
        <v>325</v>
      </c>
      <c r="I102" s="11">
        <f t="shared" si="95"/>
        <v>275</v>
      </c>
      <c r="J102" s="79">
        <f t="shared" si="67"/>
        <v>876</v>
      </c>
      <c r="K102" s="9">
        <f t="shared" si="68"/>
        <v>575</v>
      </c>
      <c r="L102" s="9">
        <f t="shared" si="69"/>
        <v>301</v>
      </c>
      <c r="M102" s="15">
        <f t="shared" si="96"/>
        <v>40</v>
      </c>
      <c r="N102" s="12">
        <v>37</v>
      </c>
      <c r="O102" s="12">
        <v>3</v>
      </c>
      <c r="P102" s="20">
        <f t="shared" si="97"/>
        <v>836</v>
      </c>
      <c r="Q102" s="21">
        <v>538</v>
      </c>
      <c r="R102" s="21">
        <v>298</v>
      </c>
      <c r="S102" s="7"/>
      <c r="T102" s="4" t="s">
        <v>196</v>
      </c>
      <c r="U102" s="4">
        <v>2015</v>
      </c>
      <c r="V102" s="7" t="s">
        <v>210</v>
      </c>
      <c r="W102" s="16" t="s">
        <v>209</v>
      </c>
      <c r="X102" s="4" t="s">
        <v>253</v>
      </c>
      <c r="Y102" s="4" t="s">
        <v>256</v>
      </c>
    </row>
    <row r="103" spans="1:25" s="2" customFormat="1" ht="15" x14ac:dyDescent="0.25">
      <c r="A103" s="13">
        <f t="shared" ref="A103:A106" si="98">B103+C103</f>
        <v>303</v>
      </c>
      <c r="B103" s="9">
        <v>99</v>
      </c>
      <c r="C103" s="9">
        <v>204</v>
      </c>
      <c r="D103" s="15">
        <f t="shared" ref="D103:D106" si="99">E103+F103</f>
        <v>152</v>
      </c>
      <c r="E103" s="12">
        <v>41</v>
      </c>
      <c r="F103" s="12">
        <v>111</v>
      </c>
      <c r="G103" s="20">
        <f t="shared" ref="G103:G106" si="100">H103+I103</f>
        <v>151</v>
      </c>
      <c r="H103" s="11">
        <f t="shared" ref="H103:H106" si="101">B103-E103</f>
        <v>58</v>
      </c>
      <c r="I103" s="11">
        <f t="shared" ref="I103:I106" si="102">C103-F103</f>
        <v>93</v>
      </c>
      <c r="J103" s="79">
        <f t="shared" si="67"/>
        <v>493</v>
      </c>
      <c r="K103" s="9">
        <f t="shared" si="68"/>
        <v>465</v>
      </c>
      <c r="L103" s="9">
        <f t="shared" si="69"/>
        <v>28</v>
      </c>
      <c r="M103" s="15">
        <f t="shared" ref="M103:M106" si="103">N103+O103</f>
        <v>29</v>
      </c>
      <c r="N103" s="12">
        <v>28</v>
      </c>
      <c r="O103" s="12">
        <v>1</v>
      </c>
      <c r="P103" s="20">
        <f t="shared" ref="P103:P106" si="104">Q103+R103</f>
        <v>464</v>
      </c>
      <c r="Q103" s="21">
        <v>437</v>
      </c>
      <c r="R103" s="21">
        <v>27</v>
      </c>
      <c r="S103" s="7"/>
      <c r="T103" s="4" t="s">
        <v>10</v>
      </c>
      <c r="U103" s="4" t="s">
        <v>37</v>
      </c>
      <c r="V103" s="7" t="s">
        <v>212</v>
      </c>
      <c r="W103" s="16" t="s">
        <v>211</v>
      </c>
      <c r="X103" s="4" t="s">
        <v>254</v>
      </c>
      <c r="Y103" s="4" t="s">
        <v>257</v>
      </c>
    </row>
    <row r="104" spans="1:25" s="2" customFormat="1" ht="15" x14ac:dyDescent="0.25">
      <c r="A104" s="13">
        <f t="shared" si="98"/>
        <v>506</v>
      </c>
      <c r="B104" s="9">
        <v>217</v>
      </c>
      <c r="C104" s="9">
        <v>289</v>
      </c>
      <c r="D104" s="15">
        <f t="shared" si="99"/>
        <v>199</v>
      </c>
      <c r="E104" s="12">
        <v>67</v>
      </c>
      <c r="F104" s="12">
        <v>132</v>
      </c>
      <c r="G104" s="20">
        <f t="shared" si="100"/>
        <v>307</v>
      </c>
      <c r="H104" s="11">
        <f t="shared" si="101"/>
        <v>150</v>
      </c>
      <c r="I104" s="11">
        <f t="shared" si="102"/>
        <v>157</v>
      </c>
      <c r="J104" s="79">
        <f t="shared" si="67"/>
        <v>78</v>
      </c>
      <c r="K104" s="9">
        <f t="shared" si="68"/>
        <v>62</v>
      </c>
      <c r="L104" s="9">
        <f t="shared" si="69"/>
        <v>16</v>
      </c>
      <c r="M104" s="15">
        <f t="shared" si="103"/>
        <v>32</v>
      </c>
      <c r="N104" s="12">
        <v>30</v>
      </c>
      <c r="O104" s="12">
        <v>2</v>
      </c>
      <c r="P104" s="20">
        <f t="shared" si="104"/>
        <v>46</v>
      </c>
      <c r="Q104" s="21">
        <v>32</v>
      </c>
      <c r="R104" s="21">
        <v>14</v>
      </c>
      <c r="S104" s="7"/>
      <c r="T104" s="4" t="s">
        <v>215</v>
      </c>
      <c r="U104" s="4" t="s">
        <v>37</v>
      </c>
      <c r="V104" s="7" t="s">
        <v>214</v>
      </c>
      <c r="W104" s="16" t="s">
        <v>213</v>
      </c>
      <c r="X104" s="4" t="s">
        <v>254</v>
      </c>
      <c r="Y104" s="4" t="s">
        <v>257</v>
      </c>
    </row>
    <row r="105" spans="1:25" s="2" customFormat="1" ht="15" x14ac:dyDescent="0.25">
      <c r="A105" s="13">
        <f t="shared" si="98"/>
        <v>521</v>
      </c>
      <c r="B105" s="9">
        <v>237</v>
      </c>
      <c r="C105" s="9">
        <v>284</v>
      </c>
      <c r="D105" s="15">
        <f t="shared" si="99"/>
        <v>253</v>
      </c>
      <c r="E105" s="12">
        <v>97</v>
      </c>
      <c r="F105" s="12">
        <v>156</v>
      </c>
      <c r="G105" s="20">
        <f t="shared" si="100"/>
        <v>268</v>
      </c>
      <c r="H105" s="11">
        <f t="shared" si="101"/>
        <v>140</v>
      </c>
      <c r="I105" s="11">
        <f t="shared" si="102"/>
        <v>128</v>
      </c>
      <c r="J105" s="79">
        <f t="shared" si="67"/>
        <v>80</v>
      </c>
      <c r="K105" s="9">
        <f t="shared" si="68"/>
        <v>58</v>
      </c>
      <c r="L105" s="9">
        <f t="shared" si="69"/>
        <v>22</v>
      </c>
      <c r="M105" s="15">
        <f t="shared" si="103"/>
        <v>30</v>
      </c>
      <c r="N105" s="12">
        <v>27</v>
      </c>
      <c r="O105" s="12">
        <v>3</v>
      </c>
      <c r="P105" s="20">
        <f t="shared" si="104"/>
        <v>50</v>
      </c>
      <c r="Q105" s="21">
        <v>31</v>
      </c>
      <c r="R105" s="21">
        <v>19</v>
      </c>
      <c r="S105" s="7"/>
      <c r="T105" s="4" t="s">
        <v>68</v>
      </c>
      <c r="U105" s="4">
        <v>2016</v>
      </c>
      <c r="V105" s="7" t="s">
        <v>216</v>
      </c>
      <c r="W105" s="16" t="s">
        <v>217</v>
      </c>
      <c r="X105" s="4" t="s">
        <v>253</v>
      </c>
      <c r="Y105" s="4" t="s">
        <v>256</v>
      </c>
    </row>
    <row r="106" spans="1:25" s="2" customFormat="1" ht="15" x14ac:dyDescent="0.25">
      <c r="A106" s="13">
        <f t="shared" si="98"/>
        <v>799</v>
      </c>
      <c r="B106" s="9">
        <v>352</v>
      </c>
      <c r="C106" s="9">
        <v>447</v>
      </c>
      <c r="D106" s="15">
        <f t="shared" si="99"/>
        <v>330</v>
      </c>
      <c r="E106" s="12">
        <v>113</v>
      </c>
      <c r="F106" s="12">
        <v>217</v>
      </c>
      <c r="G106" s="20">
        <f t="shared" si="100"/>
        <v>469</v>
      </c>
      <c r="H106" s="11">
        <f t="shared" si="101"/>
        <v>239</v>
      </c>
      <c r="I106" s="11">
        <f t="shared" si="102"/>
        <v>230</v>
      </c>
      <c r="J106" s="79">
        <f t="shared" si="67"/>
        <v>549</v>
      </c>
      <c r="K106" s="9">
        <f t="shared" si="68"/>
        <v>315</v>
      </c>
      <c r="L106" s="9">
        <f t="shared" si="69"/>
        <v>234</v>
      </c>
      <c r="M106" s="15">
        <f t="shared" si="103"/>
        <v>26</v>
      </c>
      <c r="N106" s="12">
        <v>18</v>
      </c>
      <c r="O106" s="19">
        <v>8</v>
      </c>
      <c r="P106" s="20">
        <f t="shared" si="104"/>
        <v>523</v>
      </c>
      <c r="Q106" s="21">
        <v>297</v>
      </c>
      <c r="R106" s="21">
        <v>226</v>
      </c>
      <c r="S106" s="7"/>
      <c r="T106" s="4" t="s">
        <v>218</v>
      </c>
      <c r="U106" s="4">
        <v>2015</v>
      </c>
      <c r="V106" s="7" t="s">
        <v>219</v>
      </c>
      <c r="W106" s="16" t="s">
        <v>220</v>
      </c>
      <c r="X106" s="4" t="s">
        <v>253</v>
      </c>
      <c r="Y106" s="4" t="s">
        <v>256</v>
      </c>
    </row>
    <row r="107" spans="1:25" s="2" customFormat="1" ht="15" x14ac:dyDescent="0.25">
      <c r="A107" s="13">
        <f t="shared" ref="A107:A126" si="105">B107+C107</f>
        <v>633</v>
      </c>
      <c r="B107" s="9">
        <v>371</v>
      </c>
      <c r="C107" s="9">
        <v>262</v>
      </c>
      <c r="D107" s="15">
        <f t="shared" ref="D107:D114" si="106">E107+F107</f>
        <v>219</v>
      </c>
      <c r="E107" s="12">
        <v>99</v>
      </c>
      <c r="F107" s="12">
        <v>120</v>
      </c>
      <c r="G107" s="20">
        <f t="shared" ref="G107:G108" si="107">H107+I107</f>
        <v>414</v>
      </c>
      <c r="H107" s="11">
        <f t="shared" ref="H107:H108" si="108">B107-E107</f>
        <v>272</v>
      </c>
      <c r="I107" s="11">
        <f t="shared" ref="I107:I108" si="109">C107-F107</f>
        <v>142</v>
      </c>
      <c r="J107" s="79">
        <f t="shared" ref="J107:J114" si="110">M107+P107</f>
        <v>585</v>
      </c>
      <c r="K107" s="9">
        <f t="shared" ref="K107:K109" si="111">N107+Q107</f>
        <v>367</v>
      </c>
      <c r="L107" s="9">
        <f t="shared" ref="L107:L109" si="112">O107+R107</f>
        <v>218</v>
      </c>
      <c r="M107" s="15">
        <f t="shared" ref="M107:M114" si="113">N107+O107</f>
        <v>10</v>
      </c>
      <c r="N107" s="12">
        <v>10</v>
      </c>
      <c r="O107" s="12">
        <v>0</v>
      </c>
      <c r="P107" s="20">
        <f t="shared" ref="P107:P114" si="114">Q107+R107</f>
        <v>575</v>
      </c>
      <c r="Q107" s="21">
        <v>357</v>
      </c>
      <c r="R107" s="21">
        <v>218</v>
      </c>
      <c r="S107" s="7"/>
      <c r="T107" s="4" t="s">
        <v>24</v>
      </c>
      <c r="U107" s="4">
        <v>2016</v>
      </c>
      <c r="V107" s="7" t="s">
        <v>271</v>
      </c>
      <c r="W107" s="16" t="s">
        <v>272</v>
      </c>
      <c r="X107" s="4" t="s">
        <v>254</v>
      </c>
      <c r="Y107" s="4" t="s">
        <v>257</v>
      </c>
    </row>
    <row r="108" spans="1:25" s="2" customFormat="1" ht="15" x14ac:dyDescent="0.25">
      <c r="A108" s="13">
        <f t="shared" si="105"/>
        <v>530</v>
      </c>
      <c r="B108" s="9">
        <v>26</v>
      </c>
      <c r="C108" s="9">
        <v>504</v>
      </c>
      <c r="D108" s="15">
        <f t="shared" si="106"/>
        <v>233</v>
      </c>
      <c r="E108" s="12">
        <v>7</v>
      </c>
      <c r="F108" s="12">
        <v>226</v>
      </c>
      <c r="G108" s="20">
        <f t="shared" si="107"/>
        <v>297</v>
      </c>
      <c r="H108" s="11">
        <f t="shared" si="108"/>
        <v>19</v>
      </c>
      <c r="I108" s="11">
        <f t="shared" si="109"/>
        <v>278</v>
      </c>
      <c r="J108" s="79">
        <f t="shared" si="110"/>
        <v>125</v>
      </c>
      <c r="K108" s="9">
        <f t="shared" si="111"/>
        <v>61</v>
      </c>
      <c r="L108" s="9">
        <f t="shared" si="112"/>
        <v>64</v>
      </c>
      <c r="M108" s="15">
        <f t="shared" si="113"/>
        <v>17</v>
      </c>
      <c r="N108" s="12">
        <v>13</v>
      </c>
      <c r="O108" s="12">
        <v>4</v>
      </c>
      <c r="P108" s="20">
        <f t="shared" si="114"/>
        <v>108</v>
      </c>
      <c r="Q108" s="21">
        <v>48</v>
      </c>
      <c r="R108" s="21">
        <v>60</v>
      </c>
      <c r="S108" s="7"/>
      <c r="T108" s="4"/>
      <c r="U108" s="4"/>
      <c r="V108" s="7" t="s">
        <v>273</v>
      </c>
      <c r="W108" s="16" t="s">
        <v>274</v>
      </c>
      <c r="X108" s="4" t="s">
        <v>253</v>
      </c>
      <c r="Y108" s="4" t="s">
        <v>256</v>
      </c>
    </row>
    <row r="109" spans="1:25" s="2" customFormat="1" ht="15" x14ac:dyDescent="0.25">
      <c r="A109" s="13">
        <f t="shared" si="105"/>
        <v>530</v>
      </c>
      <c r="B109" s="9">
        <v>26</v>
      </c>
      <c r="C109" s="9">
        <v>504</v>
      </c>
      <c r="D109" s="15">
        <f t="shared" si="106"/>
        <v>233</v>
      </c>
      <c r="E109" s="12">
        <v>7</v>
      </c>
      <c r="F109" s="12">
        <v>226</v>
      </c>
      <c r="G109" s="20">
        <f t="shared" ref="G109" si="115">H109+I109</f>
        <v>297</v>
      </c>
      <c r="H109" s="11">
        <f t="shared" ref="H109" si="116">B109-E109</f>
        <v>19</v>
      </c>
      <c r="I109" s="11">
        <f t="shared" ref="I109" si="117">C109-F109</f>
        <v>278</v>
      </c>
      <c r="J109" s="79">
        <f t="shared" si="110"/>
        <v>268</v>
      </c>
      <c r="K109" s="9">
        <f t="shared" si="111"/>
        <v>177</v>
      </c>
      <c r="L109" s="9">
        <f t="shared" si="112"/>
        <v>91</v>
      </c>
      <c r="M109" s="15">
        <f t="shared" si="113"/>
        <v>99</v>
      </c>
      <c r="N109" s="12">
        <v>96</v>
      </c>
      <c r="O109" s="12">
        <v>3</v>
      </c>
      <c r="P109" s="20">
        <f t="shared" si="114"/>
        <v>169</v>
      </c>
      <c r="Q109" s="21">
        <v>81</v>
      </c>
      <c r="R109" s="21">
        <v>88</v>
      </c>
      <c r="S109" s="7" t="s">
        <v>251</v>
      </c>
      <c r="T109" s="4"/>
      <c r="U109" s="4"/>
      <c r="V109" s="7" t="s">
        <v>273</v>
      </c>
      <c r="W109" s="16" t="s">
        <v>274</v>
      </c>
      <c r="X109" s="4" t="s">
        <v>253</v>
      </c>
      <c r="Y109" s="4" t="s">
        <v>256</v>
      </c>
    </row>
    <row r="110" spans="1:25" s="2" customFormat="1" ht="15" x14ac:dyDescent="0.25">
      <c r="A110" s="13">
        <f t="shared" si="105"/>
        <v>442</v>
      </c>
      <c r="B110" s="9">
        <v>176</v>
      </c>
      <c r="C110" s="9">
        <v>266</v>
      </c>
      <c r="D110" s="15">
        <f t="shared" si="106"/>
        <v>172</v>
      </c>
      <c r="E110" s="12">
        <v>77</v>
      </c>
      <c r="F110" s="12">
        <v>95</v>
      </c>
      <c r="G110" s="20">
        <f t="shared" ref="G110:G126" si="118">H110+I110</f>
        <v>270</v>
      </c>
      <c r="H110" s="11">
        <f t="shared" ref="H110:H114" si="119">B110-E110</f>
        <v>99</v>
      </c>
      <c r="I110" s="11">
        <f t="shared" ref="I110:I114" si="120">C110-F110</f>
        <v>171</v>
      </c>
      <c r="J110" s="79">
        <f t="shared" si="110"/>
        <v>107</v>
      </c>
      <c r="K110" s="9">
        <f t="shared" ref="K110:K114" si="121">N110+Q110</f>
        <v>33</v>
      </c>
      <c r="L110" s="9">
        <f t="shared" ref="L110:L114" si="122">O110+R110</f>
        <v>74</v>
      </c>
      <c r="M110" s="15">
        <f t="shared" si="113"/>
        <v>9</v>
      </c>
      <c r="N110" s="12">
        <v>7</v>
      </c>
      <c r="O110" s="12">
        <v>2</v>
      </c>
      <c r="P110" s="20">
        <f t="shared" si="114"/>
        <v>98</v>
      </c>
      <c r="Q110" s="21">
        <v>26</v>
      </c>
      <c r="R110" s="21">
        <v>72</v>
      </c>
      <c r="S110" s="7"/>
      <c r="T110" s="4">
        <v>2016</v>
      </c>
      <c r="U110" s="4">
        <v>2017</v>
      </c>
      <c r="V110" s="7" t="s">
        <v>275</v>
      </c>
      <c r="W110" s="16" t="s">
        <v>276</v>
      </c>
      <c r="X110" s="4" t="s">
        <v>253</v>
      </c>
      <c r="Y110" s="4" t="s">
        <v>256</v>
      </c>
    </row>
    <row r="111" spans="1:25" s="2" customFormat="1" ht="15" x14ac:dyDescent="0.25">
      <c r="A111" s="13">
        <f t="shared" ref="A111" si="123">B111+C111</f>
        <v>442</v>
      </c>
      <c r="B111" s="9">
        <v>176</v>
      </c>
      <c r="C111" s="9">
        <v>266</v>
      </c>
      <c r="D111" s="15">
        <f t="shared" ref="D111" si="124">E111+F111</f>
        <v>172</v>
      </c>
      <c r="E111" s="12">
        <v>77</v>
      </c>
      <c r="F111" s="12">
        <v>95</v>
      </c>
      <c r="G111" s="20">
        <f t="shared" ref="G111" si="125">H111+I111</f>
        <v>270</v>
      </c>
      <c r="H111" s="11">
        <f t="shared" ref="H111" si="126">B111-E111</f>
        <v>99</v>
      </c>
      <c r="I111" s="11">
        <f t="shared" ref="I111" si="127">C111-F111</f>
        <v>171</v>
      </c>
      <c r="J111" s="79">
        <f t="shared" ref="J111" si="128">M111+P111</f>
        <v>327</v>
      </c>
      <c r="K111" s="9">
        <f t="shared" ref="K111" si="129">N111+Q111</f>
        <v>230</v>
      </c>
      <c r="L111" s="9">
        <f t="shared" ref="L111" si="130">O111+R111</f>
        <v>97</v>
      </c>
      <c r="M111" s="15">
        <f t="shared" ref="M111" si="131">N111+O111</f>
        <v>45</v>
      </c>
      <c r="N111" s="12">
        <v>42</v>
      </c>
      <c r="O111" s="12">
        <v>3</v>
      </c>
      <c r="P111" s="20">
        <f t="shared" ref="P111" si="132">Q111+R111</f>
        <v>282</v>
      </c>
      <c r="Q111" s="21">
        <v>188</v>
      </c>
      <c r="R111" s="21">
        <v>94</v>
      </c>
      <c r="S111" s="7" t="s">
        <v>251</v>
      </c>
      <c r="T111" s="4">
        <v>2016</v>
      </c>
      <c r="U111" s="4">
        <v>2017</v>
      </c>
      <c r="V111" s="7" t="s">
        <v>275</v>
      </c>
      <c r="W111" s="16" t="s">
        <v>276</v>
      </c>
      <c r="X111" s="4" t="s">
        <v>253</v>
      </c>
      <c r="Y111" s="4" t="s">
        <v>256</v>
      </c>
    </row>
    <row r="112" spans="1:25" s="2" customFormat="1" ht="15" x14ac:dyDescent="0.25">
      <c r="A112" s="13">
        <f t="shared" si="105"/>
        <v>302</v>
      </c>
      <c r="B112" s="9">
        <v>123</v>
      </c>
      <c r="C112" s="9">
        <v>179</v>
      </c>
      <c r="D112" s="15">
        <f t="shared" si="106"/>
        <v>131</v>
      </c>
      <c r="E112" s="12">
        <v>49</v>
      </c>
      <c r="F112" s="12">
        <v>82</v>
      </c>
      <c r="G112" s="20">
        <f t="shared" si="118"/>
        <v>171</v>
      </c>
      <c r="H112" s="11">
        <f t="shared" si="119"/>
        <v>74</v>
      </c>
      <c r="I112" s="11">
        <f t="shared" si="120"/>
        <v>97</v>
      </c>
      <c r="J112" s="79">
        <f t="shared" si="110"/>
        <v>47</v>
      </c>
      <c r="K112" s="9">
        <f t="shared" si="121"/>
        <v>21</v>
      </c>
      <c r="L112" s="9">
        <f t="shared" si="122"/>
        <v>26</v>
      </c>
      <c r="M112" s="15">
        <f t="shared" si="113"/>
        <v>7</v>
      </c>
      <c r="N112" s="12">
        <v>5</v>
      </c>
      <c r="O112" s="12">
        <v>2</v>
      </c>
      <c r="P112" s="20">
        <f t="shared" si="114"/>
        <v>40</v>
      </c>
      <c r="Q112" s="21">
        <v>16</v>
      </c>
      <c r="R112" s="21">
        <v>24</v>
      </c>
      <c r="S112" s="7"/>
      <c r="T112" s="4">
        <v>2016</v>
      </c>
      <c r="U112" s="4">
        <v>2018</v>
      </c>
      <c r="V112" s="7" t="s">
        <v>278</v>
      </c>
      <c r="W112" s="16" t="s">
        <v>277</v>
      </c>
      <c r="X112" s="4" t="s">
        <v>253</v>
      </c>
      <c r="Y112" s="4" t="s">
        <v>256</v>
      </c>
    </row>
    <row r="113" spans="1:25" s="2" customFormat="1" ht="15" x14ac:dyDescent="0.25">
      <c r="A113" s="13">
        <f t="shared" si="105"/>
        <v>94</v>
      </c>
      <c r="B113" s="9">
        <v>0</v>
      </c>
      <c r="C113" s="9">
        <v>94</v>
      </c>
      <c r="D113" s="15">
        <f t="shared" si="106"/>
        <v>51</v>
      </c>
      <c r="E113" s="12">
        <v>0</v>
      </c>
      <c r="F113" s="12">
        <v>51</v>
      </c>
      <c r="G113" s="20">
        <f t="shared" si="118"/>
        <v>43</v>
      </c>
      <c r="H113" s="11">
        <f t="shared" si="119"/>
        <v>0</v>
      </c>
      <c r="I113" s="11">
        <f t="shared" si="120"/>
        <v>43</v>
      </c>
      <c r="J113" s="79">
        <f t="shared" si="110"/>
        <v>19</v>
      </c>
      <c r="K113" s="9">
        <f t="shared" si="121"/>
        <v>8</v>
      </c>
      <c r="L113" s="9">
        <f t="shared" si="122"/>
        <v>11</v>
      </c>
      <c r="M113" s="15">
        <f t="shared" si="113"/>
        <v>13</v>
      </c>
      <c r="N113" s="12">
        <v>5</v>
      </c>
      <c r="O113" s="12">
        <v>8</v>
      </c>
      <c r="P113" s="20">
        <f t="shared" si="114"/>
        <v>6</v>
      </c>
      <c r="Q113" s="21">
        <v>3</v>
      </c>
      <c r="R113" s="21">
        <v>3</v>
      </c>
      <c r="S113" s="7"/>
      <c r="T113" s="4">
        <v>2016</v>
      </c>
      <c r="U113" s="4">
        <v>2017</v>
      </c>
      <c r="V113" s="7" t="s">
        <v>280</v>
      </c>
      <c r="W113" s="16" t="s">
        <v>279</v>
      </c>
      <c r="X113" s="4" t="s">
        <v>254</v>
      </c>
      <c r="Y113" s="4" t="s">
        <v>257</v>
      </c>
    </row>
    <row r="114" spans="1:25" s="2" customFormat="1" ht="15" x14ac:dyDescent="0.25">
      <c r="A114" s="13">
        <f t="shared" si="105"/>
        <v>93</v>
      </c>
      <c r="B114" s="9">
        <v>0</v>
      </c>
      <c r="C114" s="9">
        <v>93</v>
      </c>
      <c r="D114" s="15">
        <f t="shared" si="106"/>
        <v>56</v>
      </c>
      <c r="E114" s="12">
        <v>0</v>
      </c>
      <c r="F114" s="12">
        <v>56</v>
      </c>
      <c r="G114" s="20">
        <f t="shared" si="118"/>
        <v>37</v>
      </c>
      <c r="H114" s="11">
        <f t="shared" si="119"/>
        <v>0</v>
      </c>
      <c r="I114" s="11">
        <f t="shared" si="120"/>
        <v>37</v>
      </c>
      <c r="J114" s="79">
        <f t="shared" si="110"/>
        <v>71</v>
      </c>
      <c r="K114" s="9">
        <f t="shared" si="121"/>
        <v>35</v>
      </c>
      <c r="L114" s="9">
        <f t="shared" si="122"/>
        <v>36</v>
      </c>
      <c r="M114" s="15">
        <f t="shared" si="113"/>
        <v>30</v>
      </c>
      <c r="N114" s="12">
        <v>22</v>
      </c>
      <c r="O114" s="12">
        <v>8</v>
      </c>
      <c r="P114" s="20">
        <f t="shared" si="114"/>
        <v>41</v>
      </c>
      <c r="Q114" s="21">
        <v>13</v>
      </c>
      <c r="R114" s="21">
        <v>28</v>
      </c>
      <c r="S114" s="7"/>
      <c r="T114" s="4">
        <v>2017</v>
      </c>
      <c r="U114" s="4">
        <v>2018</v>
      </c>
      <c r="V114" s="7" t="s">
        <v>282</v>
      </c>
      <c r="W114" s="16" t="s">
        <v>281</v>
      </c>
      <c r="X114" s="4" t="s">
        <v>254</v>
      </c>
      <c r="Y114" s="4" t="s">
        <v>257</v>
      </c>
    </row>
    <row r="115" spans="1:25" s="2" customFormat="1" ht="15" x14ac:dyDescent="0.25">
      <c r="A115" s="45" t="s">
        <v>45</v>
      </c>
      <c r="B115" s="44" t="s">
        <v>45</v>
      </c>
      <c r="C115" s="44" t="s">
        <v>45</v>
      </c>
      <c r="D115" s="45" t="s">
        <v>45</v>
      </c>
      <c r="E115" s="48" t="s">
        <v>45</v>
      </c>
      <c r="F115" s="48" t="s">
        <v>45</v>
      </c>
      <c r="G115" s="45" t="s">
        <v>45</v>
      </c>
      <c r="H115" s="48" t="s">
        <v>45</v>
      </c>
      <c r="I115" s="48" t="s">
        <v>45</v>
      </c>
      <c r="J115" s="47" t="s">
        <v>45</v>
      </c>
      <c r="K115" s="44" t="s">
        <v>45</v>
      </c>
      <c r="L115" s="44" t="s">
        <v>45</v>
      </c>
      <c r="M115" s="45" t="s">
        <v>45</v>
      </c>
      <c r="N115" s="48" t="s">
        <v>45</v>
      </c>
      <c r="O115" s="48" t="s">
        <v>45</v>
      </c>
      <c r="P115" s="45" t="s">
        <v>45</v>
      </c>
      <c r="Q115" s="44" t="s">
        <v>45</v>
      </c>
      <c r="R115" s="44" t="s">
        <v>45</v>
      </c>
      <c r="S115" s="7"/>
      <c r="T115" s="4">
        <v>2018</v>
      </c>
      <c r="U115" s="4">
        <v>2018</v>
      </c>
      <c r="V115" s="7" t="s">
        <v>284</v>
      </c>
      <c r="W115" s="16" t="s">
        <v>283</v>
      </c>
      <c r="X115" s="4" t="s">
        <v>254</v>
      </c>
      <c r="Y115" s="4" t="s">
        <v>257</v>
      </c>
    </row>
    <row r="116" spans="1:25" s="2" customFormat="1" ht="15" x14ac:dyDescent="0.25">
      <c r="A116" s="45" t="s">
        <v>45</v>
      </c>
      <c r="B116" s="44" t="s">
        <v>45</v>
      </c>
      <c r="C116" s="44" t="s">
        <v>45</v>
      </c>
      <c r="D116" s="45" t="s">
        <v>45</v>
      </c>
      <c r="E116" s="48" t="s">
        <v>45</v>
      </c>
      <c r="F116" s="48" t="s">
        <v>45</v>
      </c>
      <c r="G116" s="45" t="s">
        <v>45</v>
      </c>
      <c r="H116" s="48" t="s">
        <v>45</v>
      </c>
      <c r="I116" s="48" t="s">
        <v>45</v>
      </c>
      <c r="J116" s="47" t="s">
        <v>45</v>
      </c>
      <c r="K116" s="44" t="s">
        <v>45</v>
      </c>
      <c r="L116" s="44" t="s">
        <v>45</v>
      </c>
      <c r="M116" s="45" t="s">
        <v>45</v>
      </c>
      <c r="N116" s="48" t="s">
        <v>45</v>
      </c>
      <c r="O116" s="48" t="s">
        <v>45</v>
      </c>
      <c r="P116" s="45" t="s">
        <v>45</v>
      </c>
      <c r="Q116" s="44" t="s">
        <v>45</v>
      </c>
      <c r="R116" s="44" t="s">
        <v>45</v>
      </c>
      <c r="S116" s="7" t="s">
        <v>288</v>
      </c>
      <c r="T116" s="4">
        <v>2017</v>
      </c>
      <c r="U116" s="4">
        <v>2017</v>
      </c>
      <c r="V116" s="7" t="s">
        <v>258</v>
      </c>
      <c r="W116" s="16" t="s">
        <v>289</v>
      </c>
      <c r="X116" s="4" t="s">
        <v>254</v>
      </c>
      <c r="Y116" s="4" t="s">
        <v>257</v>
      </c>
    </row>
    <row r="117" spans="1:25" s="2" customFormat="1" ht="15" x14ac:dyDescent="0.25">
      <c r="A117" s="45" t="s">
        <v>45</v>
      </c>
      <c r="B117" s="44" t="s">
        <v>45</v>
      </c>
      <c r="C117" s="44" t="s">
        <v>45</v>
      </c>
      <c r="D117" s="45" t="s">
        <v>45</v>
      </c>
      <c r="E117" s="48" t="s">
        <v>45</v>
      </c>
      <c r="F117" s="48" t="s">
        <v>45</v>
      </c>
      <c r="G117" s="45" t="s">
        <v>45</v>
      </c>
      <c r="H117" s="48" t="s">
        <v>45</v>
      </c>
      <c r="I117" s="48" t="s">
        <v>45</v>
      </c>
      <c r="J117" s="47" t="s">
        <v>45</v>
      </c>
      <c r="K117" s="44" t="s">
        <v>45</v>
      </c>
      <c r="L117" s="44" t="s">
        <v>45</v>
      </c>
      <c r="M117" s="45" t="s">
        <v>45</v>
      </c>
      <c r="N117" s="48" t="s">
        <v>45</v>
      </c>
      <c r="O117" s="48" t="s">
        <v>45</v>
      </c>
      <c r="P117" s="45" t="s">
        <v>45</v>
      </c>
      <c r="Q117" s="44" t="s">
        <v>45</v>
      </c>
      <c r="R117" s="44" t="s">
        <v>45</v>
      </c>
      <c r="S117" s="7"/>
      <c r="T117" s="4">
        <v>2018</v>
      </c>
      <c r="U117" s="4">
        <v>2017</v>
      </c>
      <c r="V117" s="7" t="s">
        <v>259</v>
      </c>
      <c r="W117" s="16" t="s">
        <v>285</v>
      </c>
      <c r="X117" s="4" t="s">
        <v>254</v>
      </c>
      <c r="Y117" s="4" t="s">
        <v>257</v>
      </c>
    </row>
    <row r="118" spans="1:25" s="2" customFormat="1" ht="15" x14ac:dyDescent="0.25">
      <c r="A118" s="45" t="s">
        <v>45</v>
      </c>
      <c r="B118" s="44" t="s">
        <v>45</v>
      </c>
      <c r="C118" s="44" t="s">
        <v>45</v>
      </c>
      <c r="D118" s="45" t="s">
        <v>45</v>
      </c>
      <c r="E118" s="48" t="s">
        <v>45</v>
      </c>
      <c r="F118" s="48" t="s">
        <v>45</v>
      </c>
      <c r="G118" s="45" t="s">
        <v>45</v>
      </c>
      <c r="H118" s="48" t="s">
        <v>45</v>
      </c>
      <c r="I118" s="48" t="s">
        <v>45</v>
      </c>
      <c r="J118" s="47" t="s">
        <v>45</v>
      </c>
      <c r="K118" s="44" t="s">
        <v>45</v>
      </c>
      <c r="L118" s="44" t="s">
        <v>45</v>
      </c>
      <c r="M118" s="45" t="s">
        <v>45</v>
      </c>
      <c r="N118" s="48" t="s">
        <v>45</v>
      </c>
      <c r="O118" s="48" t="s">
        <v>45</v>
      </c>
      <c r="P118" s="45" t="s">
        <v>45</v>
      </c>
      <c r="Q118" s="44" t="s">
        <v>45</v>
      </c>
      <c r="R118" s="44" t="s">
        <v>45</v>
      </c>
      <c r="S118" s="7" t="s">
        <v>266</v>
      </c>
      <c r="T118" s="4">
        <v>2017</v>
      </c>
      <c r="U118" s="4">
        <v>2017</v>
      </c>
      <c r="V118" s="7" t="s">
        <v>61</v>
      </c>
      <c r="W118" s="16" t="s">
        <v>260</v>
      </c>
      <c r="X118" s="4" t="s">
        <v>254</v>
      </c>
      <c r="Y118" s="4" t="s">
        <v>257</v>
      </c>
    </row>
    <row r="119" spans="1:25" s="2" customFormat="1" ht="15" x14ac:dyDescent="0.25">
      <c r="A119" s="45" t="s">
        <v>45</v>
      </c>
      <c r="B119" s="44" t="s">
        <v>45</v>
      </c>
      <c r="C119" s="44" t="s">
        <v>45</v>
      </c>
      <c r="D119" s="45" t="s">
        <v>45</v>
      </c>
      <c r="E119" s="48" t="s">
        <v>45</v>
      </c>
      <c r="F119" s="48" t="s">
        <v>45</v>
      </c>
      <c r="G119" s="45" t="s">
        <v>45</v>
      </c>
      <c r="H119" s="48" t="s">
        <v>45</v>
      </c>
      <c r="I119" s="48" t="s">
        <v>45</v>
      </c>
      <c r="J119" s="47" t="s">
        <v>45</v>
      </c>
      <c r="K119" s="44" t="s">
        <v>45</v>
      </c>
      <c r="L119" s="44" t="s">
        <v>45</v>
      </c>
      <c r="M119" s="45" t="s">
        <v>45</v>
      </c>
      <c r="N119" s="48" t="s">
        <v>45</v>
      </c>
      <c r="O119" s="48" t="s">
        <v>45</v>
      </c>
      <c r="P119" s="45" t="s">
        <v>45</v>
      </c>
      <c r="Q119" s="44" t="s">
        <v>45</v>
      </c>
      <c r="R119" s="44" t="s">
        <v>45</v>
      </c>
      <c r="S119" s="7"/>
      <c r="T119" s="4" t="s">
        <v>262</v>
      </c>
      <c r="U119" s="4">
        <v>2016</v>
      </c>
      <c r="V119" s="7" t="s">
        <v>261</v>
      </c>
      <c r="W119" s="16" t="s">
        <v>286</v>
      </c>
      <c r="X119" s="4" t="s">
        <v>254</v>
      </c>
      <c r="Y119" s="4" t="s">
        <v>257</v>
      </c>
    </row>
    <row r="120" spans="1:25" s="2" customFormat="1" ht="15" x14ac:dyDescent="0.25">
      <c r="A120" s="45" t="s">
        <v>45</v>
      </c>
      <c r="B120" s="44" t="s">
        <v>45</v>
      </c>
      <c r="C120" s="44" t="s">
        <v>45</v>
      </c>
      <c r="D120" s="45" t="s">
        <v>45</v>
      </c>
      <c r="E120" s="48" t="s">
        <v>45</v>
      </c>
      <c r="F120" s="48" t="s">
        <v>45</v>
      </c>
      <c r="G120" s="45" t="s">
        <v>45</v>
      </c>
      <c r="H120" s="48" t="s">
        <v>45</v>
      </c>
      <c r="I120" s="48" t="s">
        <v>45</v>
      </c>
      <c r="J120" s="47" t="s">
        <v>45</v>
      </c>
      <c r="K120" s="44" t="s">
        <v>45</v>
      </c>
      <c r="L120" s="44" t="s">
        <v>45</v>
      </c>
      <c r="M120" s="45" t="s">
        <v>45</v>
      </c>
      <c r="N120" s="48" t="s">
        <v>45</v>
      </c>
      <c r="O120" s="48" t="s">
        <v>45</v>
      </c>
      <c r="P120" s="45" t="s">
        <v>45</v>
      </c>
      <c r="Q120" s="44" t="s">
        <v>45</v>
      </c>
      <c r="R120" s="44" t="s">
        <v>45</v>
      </c>
      <c r="S120" s="7" t="s">
        <v>292</v>
      </c>
      <c r="T120" s="4">
        <v>2016</v>
      </c>
      <c r="U120" s="4">
        <v>2016</v>
      </c>
      <c r="V120" s="7" t="s">
        <v>291</v>
      </c>
      <c r="W120" s="16" t="s">
        <v>290</v>
      </c>
      <c r="X120" s="4" t="s">
        <v>254</v>
      </c>
      <c r="Y120" s="4" t="s">
        <v>257</v>
      </c>
    </row>
    <row r="121" spans="1:25" s="2" customFormat="1" ht="15" x14ac:dyDescent="0.25">
      <c r="A121" s="45" t="s">
        <v>45</v>
      </c>
      <c r="B121" s="44" t="s">
        <v>45</v>
      </c>
      <c r="C121" s="44" t="s">
        <v>45</v>
      </c>
      <c r="D121" s="45" t="s">
        <v>45</v>
      </c>
      <c r="E121" s="48" t="s">
        <v>45</v>
      </c>
      <c r="F121" s="48" t="s">
        <v>45</v>
      </c>
      <c r="G121" s="45" t="s">
        <v>45</v>
      </c>
      <c r="H121" s="48" t="s">
        <v>45</v>
      </c>
      <c r="I121" s="48" t="s">
        <v>45</v>
      </c>
      <c r="J121" s="47" t="s">
        <v>45</v>
      </c>
      <c r="K121" s="44" t="s">
        <v>45</v>
      </c>
      <c r="L121" s="44" t="s">
        <v>45</v>
      </c>
      <c r="M121" s="45" t="s">
        <v>45</v>
      </c>
      <c r="N121" s="48" t="s">
        <v>45</v>
      </c>
      <c r="O121" s="48" t="s">
        <v>45</v>
      </c>
      <c r="P121" s="45" t="s">
        <v>45</v>
      </c>
      <c r="Q121" s="44" t="s">
        <v>45</v>
      </c>
      <c r="R121" s="44" t="s">
        <v>45</v>
      </c>
      <c r="S121" s="7" t="s">
        <v>267</v>
      </c>
      <c r="T121" s="4">
        <v>2016</v>
      </c>
      <c r="U121" s="4">
        <v>216</v>
      </c>
      <c r="V121" s="7" t="s">
        <v>263</v>
      </c>
      <c r="W121" s="16"/>
      <c r="X121" s="4" t="s">
        <v>254</v>
      </c>
      <c r="Y121" s="4" t="s">
        <v>257</v>
      </c>
    </row>
    <row r="122" spans="1:25" s="2" customFormat="1" ht="15" x14ac:dyDescent="0.25">
      <c r="A122" s="45" t="s">
        <v>45</v>
      </c>
      <c r="B122" s="44" t="s">
        <v>45</v>
      </c>
      <c r="C122" s="44" t="s">
        <v>45</v>
      </c>
      <c r="D122" s="45" t="s">
        <v>45</v>
      </c>
      <c r="E122" s="48" t="s">
        <v>45</v>
      </c>
      <c r="F122" s="48" t="s">
        <v>45</v>
      </c>
      <c r="G122" s="45" t="s">
        <v>45</v>
      </c>
      <c r="H122" s="48" t="s">
        <v>45</v>
      </c>
      <c r="I122" s="48" t="s">
        <v>45</v>
      </c>
      <c r="J122" s="47" t="s">
        <v>45</v>
      </c>
      <c r="K122" s="44" t="s">
        <v>45</v>
      </c>
      <c r="L122" s="44" t="s">
        <v>45</v>
      </c>
      <c r="M122" s="45" t="s">
        <v>45</v>
      </c>
      <c r="N122" s="48" t="s">
        <v>45</v>
      </c>
      <c r="O122" s="48" t="s">
        <v>45</v>
      </c>
      <c r="P122" s="45" t="s">
        <v>45</v>
      </c>
      <c r="Q122" s="44" t="s">
        <v>45</v>
      </c>
      <c r="R122" s="44" t="s">
        <v>45</v>
      </c>
      <c r="S122" s="7"/>
      <c r="T122" s="4" t="s">
        <v>24</v>
      </c>
      <c r="U122" s="4">
        <v>2015</v>
      </c>
      <c r="V122" s="7" t="s">
        <v>264</v>
      </c>
      <c r="W122" s="16" t="s">
        <v>287</v>
      </c>
      <c r="X122" s="4" t="s">
        <v>254</v>
      </c>
      <c r="Y122" s="4" t="s">
        <v>257</v>
      </c>
    </row>
    <row r="123" spans="1:25" s="2" customFormat="1" ht="15" x14ac:dyDescent="0.25">
      <c r="A123" s="45" t="s">
        <v>45</v>
      </c>
      <c r="B123" s="44" t="s">
        <v>45</v>
      </c>
      <c r="C123" s="44" t="s">
        <v>45</v>
      </c>
      <c r="D123" s="45" t="s">
        <v>45</v>
      </c>
      <c r="E123" s="48" t="s">
        <v>45</v>
      </c>
      <c r="F123" s="48" t="s">
        <v>45</v>
      </c>
      <c r="G123" s="45" t="s">
        <v>45</v>
      </c>
      <c r="H123" s="48" t="s">
        <v>45</v>
      </c>
      <c r="I123" s="48" t="s">
        <v>45</v>
      </c>
      <c r="J123" s="47" t="s">
        <v>45</v>
      </c>
      <c r="K123" s="44" t="s">
        <v>45</v>
      </c>
      <c r="L123" s="44" t="s">
        <v>45</v>
      </c>
      <c r="M123" s="45" t="s">
        <v>45</v>
      </c>
      <c r="N123" s="48" t="s">
        <v>45</v>
      </c>
      <c r="O123" s="48" t="s">
        <v>45</v>
      </c>
      <c r="P123" s="45" t="s">
        <v>45</v>
      </c>
      <c r="Q123" s="44" t="s">
        <v>45</v>
      </c>
      <c r="R123" s="44" t="s">
        <v>45</v>
      </c>
      <c r="S123" s="7"/>
      <c r="T123" s="4">
        <v>2015</v>
      </c>
      <c r="U123" s="4">
        <v>2016</v>
      </c>
      <c r="V123" s="7" t="s">
        <v>265</v>
      </c>
      <c r="W123" s="16" t="s">
        <v>297</v>
      </c>
      <c r="X123" s="4" t="s">
        <v>254</v>
      </c>
      <c r="Y123" s="4" t="s">
        <v>257</v>
      </c>
    </row>
    <row r="124" spans="1:25" s="2" customFormat="1" ht="15" x14ac:dyDescent="0.25">
      <c r="A124" s="45" t="s">
        <v>45</v>
      </c>
      <c r="B124" s="44" t="s">
        <v>45</v>
      </c>
      <c r="C124" s="44" t="s">
        <v>45</v>
      </c>
      <c r="D124" s="45" t="s">
        <v>45</v>
      </c>
      <c r="E124" s="48" t="s">
        <v>45</v>
      </c>
      <c r="F124" s="48" t="s">
        <v>45</v>
      </c>
      <c r="G124" s="45" t="s">
        <v>45</v>
      </c>
      <c r="H124" s="48" t="s">
        <v>45</v>
      </c>
      <c r="I124" s="48" t="s">
        <v>45</v>
      </c>
      <c r="J124" s="47" t="s">
        <v>45</v>
      </c>
      <c r="K124" s="44" t="s">
        <v>45</v>
      </c>
      <c r="L124" s="44" t="s">
        <v>45</v>
      </c>
      <c r="M124" s="45" t="s">
        <v>45</v>
      </c>
      <c r="N124" s="48" t="s">
        <v>45</v>
      </c>
      <c r="O124" s="48" t="s">
        <v>45</v>
      </c>
      <c r="P124" s="45" t="s">
        <v>45</v>
      </c>
      <c r="Q124" s="44" t="s">
        <v>45</v>
      </c>
      <c r="R124" s="44" t="s">
        <v>45</v>
      </c>
      <c r="S124" s="7"/>
      <c r="T124" s="4" t="s">
        <v>68</v>
      </c>
      <c r="U124" s="4">
        <v>2015</v>
      </c>
      <c r="V124" s="7" t="s">
        <v>296</v>
      </c>
      <c r="W124" s="16" t="s">
        <v>295</v>
      </c>
      <c r="X124" s="4" t="s">
        <v>254</v>
      </c>
      <c r="Y124" s="4" t="s">
        <v>257</v>
      </c>
    </row>
    <row r="125" spans="1:25" s="2" customFormat="1" ht="15" x14ac:dyDescent="0.25">
      <c r="A125" s="45" t="s">
        <v>45</v>
      </c>
      <c r="B125" s="44" t="s">
        <v>45</v>
      </c>
      <c r="C125" s="44" t="s">
        <v>45</v>
      </c>
      <c r="D125" s="45" t="s">
        <v>45</v>
      </c>
      <c r="E125" s="48" t="s">
        <v>45</v>
      </c>
      <c r="F125" s="48" t="s">
        <v>45</v>
      </c>
      <c r="G125" s="45" t="s">
        <v>45</v>
      </c>
      <c r="H125" s="48" t="s">
        <v>45</v>
      </c>
      <c r="I125" s="48" t="s">
        <v>45</v>
      </c>
      <c r="J125" s="47" t="s">
        <v>45</v>
      </c>
      <c r="K125" s="44" t="s">
        <v>45</v>
      </c>
      <c r="L125" s="44" t="s">
        <v>45</v>
      </c>
      <c r="M125" s="45" t="s">
        <v>45</v>
      </c>
      <c r="N125" s="48" t="s">
        <v>45</v>
      </c>
      <c r="O125" s="48" t="s">
        <v>45</v>
      </c>
      <c r="P125" s="45" t="s">
        <v>45</v>
      </c>
      <c r="Q125" s="44" t="s">
        <v>45</v>
      </c>
      <c r="R125" s="44" t="s">
        <v>45</v>
      </c>
      <c r="S125" s="7" t="s">
        <v>268</v>
      </c>
      <c r="T125" s="4">
        <v>2016</v>
      </c>
      <c r="U125" s="4">
        <v>2016</v>
      </c>
      <c r="V125" s="7" t="s">
        <v>294</v>
      </c>
      <c r="W125" s="16" t="s">
        <v>293</v>
      </c>
      <c r="X125" s="4" t="s">
        <v>254</v>
      </c>
      <c r="Y125" s="4" t="s">
        <v>257</v>
      </c>
    </row>
    <row r="126" spans="1:25" s="2" customFormat="1" ht="15" x14ac:dyDescent="0.25">
      <c r="A126" s="13">
        <f t="shared" si="105"/>
        <v>186</v>
      </c>
      <c r="B126" s="9">
        <v>74</v>
      </c>
      <c r="C126" s="9">
        <v>112</v>
      </c>
      <c r="D126" s="15" t="s">
        <v>45</v>
      </c>
      <c r="E126" s="12">
        <v>74</v>
      </c>
      <c r="F126" s="12">
        <v>112</v>
      </c>
      <c r="G126" s="20">
        <f t="shared" si="118"/>
        <v>0</v>
      </c>
      <c r="H126" s="11">
        <v>0</v>
      </c>
      <c r="I126" s="11">
        <v>0</v>
      </c>
      <c r="J126" s="47" t="s">
        <v>45</v>
      </c>
      <c r="K126" s="44" t="s">
        <v>45</v>
      </c>
      <c r="L126" s="44" t="s">
        <v>45</v>
      </c>
      <c r="M126" s="45" t="s">
        <v>45</v>
      </c>
      <c r="N126" s="48" t="s">
        <v>45</v>
      </c>
      <c r="O126" s="48" t="s">
        <v>45</v>
      </c>
      <c r="P126" s="45" t="s">
        <v>45</v>
      </c>
      <c r="Q126" s="44" t="s">
        <v>45</v>
      </c>
      <c r="R126" s="44" t="s">
        <v>45</v>
      </c>
      <c r="S126" s="7"/>
      <c r="T126" s="4" t="s">
        <v>10</v>
      </c>
      <c r="U126" s="4">
        <v>2016</v>
      </c>
      <c r="V126" s="7" t="s">
        <v>269</v>
      </c>
      <c r="W126" s="16" t="s">
        <v>298</v>
      </c>
      <c r="X126" s="4" t="s">
        <v>254</v>
      </c>
      <c r="Y126" s="4" t="s">
        <v>257</v>
      </c>
    </row>
    <row r="127" spans="1:25" s="2" customFormat="1" ht="15" x14ac:dyDescent="0.25">
      <c r="A127" s="45" t="s">
        <v>45</v>
      </c>
      <c r="B127" s="44" t="s">
        <v>45</v>
      </c>
      <c r="C127" s="44" t="s">
        <v>45</v>
      </c>
      <c r="D127" s="45" t="s">
        <v>45</v>
      </c>
      <c r="E127" s="48" t="s">
        <v>45</v>
      </c>
      <c r="F127" s="48" t="s">
        <v>45</v>
      </c>
      <c r="G127" s="45" t="s">
        <v>45</v>
      </c>
      <c r="H127" s="48" t="s">
        <v>45</v>
      </c>
      <c r="I127" s="48" t="s">
        <v>45</v>
      </c>
      <c r="J127" s="47" t="s">
        <v>45</v>
      </c>
      <c r="K127" s="44" t="s">
        <v>45</v>
      </c>
      <c r="L127" s="44" t="s">
        <v>45</v>
      </c>
      <c r="M127" s="45" t="s">
        <v>45</v>
      </c>
      <c r="N127" s="48" t="s">
        <v>45</v>
      </c>
      <c r="O127" s="48" t="s">
        <v>45</v>
      </c>
      <c r="P127" s="45" t="s">
        <v>45</v>
      </c>
      <c r="Q127" s="44" t="s">
        <v>45</v>
      </c>
      <c r="R127" s="44" t="s">
        <v>45</v>
      </c>
      <c r="S127" s="7"/>
      <c r="T127" s="4">
        <v>2009</v>
      </c>
      <c r="U127" s="4">
        <v>2015</v>
      </c>
      <c r="V127" s="7" t="s">
        <v>270</v>
      </c>
      <c r="W127" s="16" t="s">
        <v>299</v>
      </c>
      <c r="X127" s="4" t="s">
        <v>254</v>
      </c>
      <c r="Y127" s="4" t="s">
        <v>257</v>
      </c>
    </row>
    <row r="128" spans="1:25" x14ac:dyDescent="0.25">
      <c r="O128" s="136"/>
      <c r="P128" s="136"/>
    </row>
  </sheetData>
  <autoFilter ref="A2:X127"/>
  <mergeCells count="13">
    <mergeCell ref="A1:C1"/>
    <mergeCell ref="M1:O1"/>
    <mergeCell ref="D1:F1"/>
    <mergeCell ref="G1:I1"/>
    <mergeCell ref="J1:L1"/>
    <mergeCell ref="X1:X2"/>
    <mergeCell ref="Y1:Y2"/>
    <mergeCell ref="P1:R1"/>
    <mergeCell ref="W1:W2"/>
    <mergeCell ref="V1:V2"/>
    <mergeCell ref="U1:U2"/>
    <mergeCell ref="T1:T2"/>
    <mergeCell ref="S1:S2"/>
  </mergeCells>
  <hyperlinks>
    <hyperlink ref="W12" r:id="rId1"/>
    <hyperlink ref="W11" r:id="rId2"/>
    <hyperlink ref="W9" r:id="rId3"/>
    <hyperlink ref="W10" r:id="rId4"/>
    <hyperlink ref="W8" r:id="rId5"/>
    <hyperlink ref="W7" r:id="rId6"/>
    <hyperlink ref="W6" r:id="rId7"/>
    <hyperlink ref="W5" r:id="rId8"/>
    <hyperlink ref="W4" r:id="rId9"/>
    <hyperlink ref="W3" r:id="rId10"/>
    <hyperlink ref="W13" r:id="rId11"/>
    <hyperlink ref="W14" r:id="rId12"/>
    <hyperlink ref="W15" r:id="rId13"/>
    <hyperlink ref="W17" r:id="rId14"/>
    <hyperlink ref="W18" r:id="rId15"/>
    <hyperlink ref="W19" r:id="rId16"/>
    <hyperlink ref="W20" r:id="rId17"/>
    <hyperlink ref="W21" r:id="rId18"/>
    <hyperlink ref="W22" r:id="rId19"/>
    <hyperlink ref="W25" r:id="rId20"/>
    <hyperlink ref="W24" r:id="rId21"/>
    <hyperlink ref="W27" r:id="rId22"/>
    <hyperlink ref="W29" r:id="rId23"/>
    <hyperlink ref="W30" r:id="rId24"/>
    <hyperlink ref="W31" r:id="rId25"/>
    <hyperlink ref="W32" r:id="rId26"/>
    <hyperlink ref="W33" r:id="rId27"/>
    <hyperlink ref="W34" r:id="rId28"/>
    <hyperlink ref="W35" r:id="rId29"/>
    <hyperlink ref="W36" r:id="rId30"/>
    <hyperlink ref="W37" r:id="rId31"/>
    <hyperlink ref="W39" r:id="rId32"/>
    <hyperlink ref="W38" r:id="rId33"/>
    <hyperlink ref="W40" r:id="rId34"/>
    <hyperlink ref="W41" r:id="rId35"/>
    <hyperlink ref="W42" r:id="rId36"/>
    <hyperlink ref="W43" r:id="rId37"/>
    <hyperlink ref="W44" r:id="rId38"/>
    <hyperlink ref="W45" r:id="rId39"/>
    <hyperlink ref="W46" r:id="rId40"/>
    <hyperlink ref="W47" r:id="rId41"/>
    <hyperlink ref="W49" r:id="rId42"/>
    <hyperlink ref="W50" r:id="rId43"/>
    <hyperlink ref="W51" r:id="rId44"/>
    <hyperlink ref="W52" r:id="rId45"/>
    <hyperlink ref="W53" r:id="rId46"/>
    <hyperlink ref="W54" r:id="rId47"/>
    <hyperlink ref="W55" r:id="rId48"/>
    <hyperlink ref="W56" r:id="rId49"/>
    <hyperlink ref="W57" r:id="rId50"/>
    <hyperlink ref="W58" r:id="rId51"/>
    <hyperlink ref="W59" r:id="rId52"/>
    <hyperlink ref="W60" r:id="rId53"/>
    <hyperlink ref="W61" r:id="rId54"/>
    <hyperlink ref="W62" r:id="rId55"/>
    <hyperlink ref="W63" r:id="rId56"/>
    <hyperlink ref="W64" r:id="rId57"/>
    <hyperlink ref="W65" r:id="rId58"/>
    <hyperlink ref="W66" r:id="rId59"/>
    <hyperlink ref="W67" r:id="rId60"/>
    <hyperlink ref="W70" r:id="rId61"/>
    <hyperlink ref="W71" r:id="rId62"/>
    <hyperlink ref="W72" r:id="rId63"/>
    <hyperlink ref="W73" r:id="rId64"/>
    <hyperlink ref="W74" r:id="rId65"/>
    <hyperlink ref="W75" r:id="rId66"/>
    <hyperlink ref="W76" r:id="rId67"/>
    <hyperlink ref="W77" r:id="rId68"/>
    <hyperlink ref="W78" r:id="rId69"/>
    <hyperlink ref="W79" r:id="rId70"/>
    <hyperlink ref="W80" r:id="rId71"/>
    <hyperlink ref="W81" r:id="rId72"/>
    <hyperlink ref="W82" r:id="rId73"/>
    <hyperlink ref="W83" r:id="rId74"/>
    <hyperlink ref="W84" r:id="rId75"/>
    <hyperlink ref="W85" r:id="rId76"/>
    <hyperlink ref="W86" r:id="rId77"/>
    <hyperlink ref="W87" r:id="rId78"/>
    <hyperlink ref="W88" r:id="rId79"/>
    <hyperlink ref="W89" r:id="rId80"/>
    <hyperlink ref="W90" r:id="rId81"/>
    <hyperlink ref="W91" r:id="rId82"/>
    <hyperlink ref="W92" r:id="rId83"/>
    <hyperlink ref="W93" r:id="rId84"/>
    <hyperlink ref="W94" r:id="rId85"/>
    <hyperlink ref="W95" r:id="rId86"/>
    <hyperlink ref="W96" r:id="rId87"/>
    <hyperlink ref="W97" r:id="rId88"/>
    <hyperlink ref="W98" r:id="rId89"/>
    <hyperlink ref="W99" r:id="rId90"/>
    <hyperlink ref="W100" r:id="rId91"/>
    <hyperlink ref="W101" r:id="rId92"/>
    <hyperlink ref="W102" r:id="rId93"/>
    <hyperlink ref="W103" r:id="rId94"/>
    <hyperlink ref="W104" r:id="rId95"/>
    <hyperlink ref="W105" r:id="rId96"/>
    <hyperlink ref="W106" r:id="rId97"/>
    <hyperlink ref="W68" r:id="rId98"/>
    <hyperlink ref="W69" r:id="rId99"/>
    <hyperlink ref="W48" r:id="rId100"/>
    <hyperlink ref="W118" r:id="rId101"/>
    <hyperlink ref="W110" r:id="rId102"/>
    <hyperlink ref="W115" r:id="rId103"/>
    <hyperlink ref="W114" r:id="rId104"/>
    <hyperlink ref="W111" r:id="rId105"/>
    <hyperlink ref="W117" r:id="rId106"/>
    <hyperlink ref="W116" r:id="rId107"/>
    <hyperlink ref="W119" r:id="rId108"/>
    <hyperlink ref="W16" r:id="rId109"/>
    <hyperlink ref="W23" r:id="rId110"/>
    <hyperlink ref="W28" r:id="rId1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t="s">
        <v>250</v>
      </c>
    </row>
    <row r="2" spans="1:5" x14ac:dyDescent="0.25">
      <c r="A2" s="60" t="s">
        <v>10</v>
      </c>
      <c r="B2" s="60">
        <v>2017</v>
      </c>
      <c r="C2" s="58" t="s">
        <v>160</v>
      </c>
    </row>
    <row r="3" spans="1:5" x14ac:dyDescent="0.25">
      <c r="A3" s="120"/>
      <c r="B3" s="168" t="s">
        <v>4</v>
      </c>
      <c r="C3" s="168"/>
      <c r="D3" s="168" t="s">
        <v>5</v>
      </c>
      <c r="E3" s="168"/>
    </row>
    <row r="4" spans="1:5" ht="15.75" thickBot="1" x14ac:dyDescent="0.3">
      <c r="B4" t="s">
        <v>243</v>
      </c>
      <c r="C4" t="s">
        <v>244</v>
      </c>
      <c r="D4" t="s">
        <v>243</v>
      </c>
      <c r="E4" t="s">
        <v>244</v>
      </c>
    </row>
    <row r="5" spans="1:5" x14ac:dyDescent="0.25">
      <c r="A5" s="121" t="s">
        <v>245</v>
      </c>
      <c r="B5" s="122">
        <v>5</v>
      </c>
      <c r="C5" s="123">
        <v>5</v>
      </c>
      <c r="D5" s="124">
        <v>10</v>
      </c>
      <c r="E5" s="125">
        <v>10</v>
      </c>
    </row>
    <row r="6" spans="1:5" x14ac:dyDescent="0.25">
      <c r="A6" s="126" t="s">
        <v>246</v>
      </c>
      <c r="B6" s="127">
        <v>30</v>
      </c>
      <c r="C6" s="123">
        <v>10</v>
      </c>
      <c r="D6" s="128">
        <v>10</v>
      </c>
      <c r="E6" s="125">
        <v>10</v>
      </c>
    </row>
    <row r="7" spans="1:5" x14ac:dyDescent="0.25">
      <c r="A7" s="126" t="s">
        <v>247</v>
      </c>
      <c r="B7" s="127">
        <v>90</v>
      </c>
      <c r="C7" s="123">
        <v>30</v>
      </c>
      <c r="D7" s="128">
        <v>60</v>
      </c>
      <c r="E7" s="125">
        <v>30</v>
      </c>
    </row>
    <row r="8" spans="1:5" x14ac:dyDescent="0.25">
      <c r="A8" s="126" t="s">
        <v>248</v>
      </c>
      <c r="B8" s="127">
        <v>300</v>
      </c>
      <c r="C8" s="123">
        <v>90</v>
      </c>
      <c r="D8" s="128">
        <v>90</v>
      </c>
      <c r="E8" s="125">
        <v>60</v>
      </c>
    </row>
    <row r="9" spans="1:5" ht="15.75" thickBot="1" x14ac:dyDescent="0.3">
      <c r="A9" s="129" t="s">
        <v>249</v>
      </c>
      <c r="B9" s="130">
        <v>480</v>
      </c>
      <c r="C9" s="123">
        <v>240</v>
      </c>
      <c r="D9" s="131">
        <v>180</v>
      </c>
      <c r="E9" s="132">
        <v>180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 Statistics - Part1</vt:lpstr>
      <vt:lpstr>UPG Statistics Part2 In Process</vt:lpstr>
      <vt:lpstr>Draft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Ilina</dc:creator>
  <cp:lastModifiedBy>Sergii Chernenko</cp:lastModifiedBy>
  <dcterms:created xsi:type="dcterms:W3CDTF">2018-06-18T07:28:24Z</dcterms:created>
  <dcterms:modified xsi:type="dcterms:W3CDTF">2018-07-11T13:04:45Z</dcterms:modified>
</cp:coreProperties>
</file>