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<sst xmlns="http://schemas.openxmlformats.org/spreadsheetml/2006/main" uniqueCount="65">
  <si>
    <t>Table 1</t>
  </si>
  <si>
    <t>Uniswap Share</t>
  </si>
  <si>
    <t>Yearn Share</t>
  </si>
  <si>
    <t>No Change</t>
  </si>
  <si>
    <t>90% Formula</t>
  </si>
  <si>
    <t>Price</t>
  </si>
  <si>
    <t>xInit</t>
  </si>
  <si>
    <t>yInit</t>
  </si>
  <si>
    <t>A0UniInit</t>
  </si>
  <si>
    <t>A1UniInit</t>
  </si>
  <si>
    <t>deviation_A0Uni</t>
  </si>
  <si>
    <t>deviation_A1Uni</t>
  </si>
  <si>
    <t>A0YInit</t>
  </si>
  <si>
    <t>A1YInit</t>
  </si>
  <si>
    <t>t0beforeRebal</t>
  </si>
  <si>
    <t>t1beforeRebal</t>
  </si>
  <si>
    <t>delta_a0</t>
  </si>
  <si>
    <t>delta_a1</t>
  </si>
  <si>
    <t>PriceToSwap</t>
  </si>
  <si>
    <t>swap0to1</t>
  </si>
  <si>
    <t>swap1to0</t>
  </si>
  <si>
    <t>t0afterSwap</t>
  </si>
  <si>
    <t>t1afterSwap</t>
  </si>
  <si>
    <t>uniShare0</t>
  </si>
  <si>
    <t>uniShare1</t>
  </si>
  <si>
    <t>Price_New</t>
  </si>
  <si>
    <t>xNew</t>
  </si>
  <si>
    <t>yNew</t>
  </si>
  <si>
    <t>Pre-Rebalance</t>
  </si>
  <si>
    <t>sqrtPriceCurrent</t>
  </si>
  <si>
    <t>sqrtPriceLower</t>
  </si>
  <si>
    <t>sqrtPriceUpper</t>
  </si>
  <si>
    <t>totalAsset0</t>
  </si>
  <si>
    <t>totalAsset1</t>
  </si>
  <si>
    <t>A0Uni_Practical</t>
  </si>
  <si>
    <t>A1Uni_Practical</t>
  </si>
  <si>
    <t>Infinity</t>
  </si>
  <si>
    <t>L_0</t>
  </si>
  <si>
    <t>L_1</t>
  </si>
  <si>
    <t>L</t>
  </si>
  <si>
    <t>Num</t>
  </si>
  <si>
    <t>Den</t>
  </si>
  <si>
    <t>Swapping Mechanism</t>
  </si>
  <si>
    <t>PreSwap</t>
  </si>
  <si>
    <t>PostSwap</t>
  </si>
  <si>
    <t>Excess</t>
  </si>
  <si>
    <t>Post Rebalance</t>
  </si>
  <si>
    <t>sqrtPriceNew</t>
  </si>
  <si>
    <t xml:space="preserve">Token0 (ETH) </t>
  </si>
  <si>
    <t>Token1 (USDC)</t>
  </si>
  <si>
    <t>t1beforeRebal &gt; A1UniInit + A1YInit</t>
  </si>
  <si>
    <t>t0beforeRebal &gt; A0UniInit + A0YInit</t>
  </si>
  <si>
    <t>t1beforeRebal &lt; A1UniInit + A1YInit</t>
  </si>
  <si>
    <t>totalAsset0AfterSwap</t>
  </si>
  <si>
    <t>WCS</t>
  </si>
  <si>
    <t>Worst Case Price</t>
  </si>
  <si>
    <t>Lower</t>
  </si>
  <si>
    <t>Upper</t>
  </si>
  <si>
    <t>Actual Ticks</t>
  </si>
  <si>
    <t>Actual Price</t>
  </si>
  <si>
    <t>Floor</t>
  </si>
  <si>
    <t>Ceiling</t>
  </si>
  <si>
    <t>Mid</t>
  </si>
  <si>
    <t>Mid Tick</t>
  </si>
  <si>
    <t>sqrtPriceMid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</si>
</sst>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%"/>
    <numFmt numFmtId="60" formatCode="0.000000000000"/>
    <numFmt numFmtId="61" formatCode="0.000000"/>
    <numFmt numFmtId="62" formatCode="0.000000%"/>
    <numFmt numFmtId="63" formatCode="0.0"/>
  </numFmts>
  <fonts count="9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18"/>
      <color indexed="8"/>
      <name val="Helvetica Neue"/>
    </font>
    <font>
      <b val="1"/>
      <sz val="12"/>
      <color indexed="8"/>
      <name val="Helvetica Neue"/>
    </font>
    <font>
      <i val="1"/>
      <sz val="10"/>
      <color indexed="8"/>
      <name val="Helvetica Neue"/>
    </font>
    <font>
      <sz val="11"/>
      <color indexed="8"/>
      <name val="Calibri"/>
    </font>
    <font>
      <sz val="10"/>
      <color indexed="20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2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/>
      <top style="thick">
        <color indexed="8"/>
      </top>
      <bottom style="thin">
        <color indexed="22"/>
      </bottom>
      <diagonal/>
    </border>
    <border>
      <left/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1" fillId="2" borderId="4" applyNumberFormat="0" applyFont="1" applyFill="1" applyBorder="1" applyAlignment="1" applyProtection="0">
      <alignment horizontal="center" vertical="center"/>
    </xf>
    <xf numFmtId="49" fontId="1" fillId="2" borderId="5" applyNumberFormat="1" applyFont="1" applyFill="1" applyBorder="1" applyAlignment="1" applyProtection="0">
      <alignment horizontal="center" vertical="center"/>
    </xf>
    <xf numFmtId="0" fontId="3" fillId="3" borderId="6" applyNumberFormat="0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horizontal="center"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fillId="3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59" fontId="3" fillId="2" borderId="11" applyNumberFormat="1" applyFont="1" applyFill="1" applyBorder="1" applyAlignment="1" applyProtection="0">
      <alignment horizontal="center" vertical="top" wrapText="1"/>
    </xf>
    <xf numFmtId="0" fontId="0" fillId="2" borderId="12" applyNumberFormat="0" applyFont="1" applyFill="1" applyBorder="1" applyAlignment="1" applyProtection="0">
      <alignment vertical="top" wrapText="1"/>
    </xf>
    <xf numFmtId="60" fontId="0" fillId="2" borderId="13" applyNumberFormat="1" applyFont="1" applyFill="1" applyBorder="1" applyAlignment="1" applyProtection="0">
      <alignment vertical="top" wrapText="1"/>
    </xf>
    <xf numFmtId="60" fontId="0" fillId="2" borderId="14" applyNumberFormat="1" applyFont="1" applyFill="1" applyBorder="1" applyAlignment="1" applyProtection="0">
      <alignment vertical="top" wrapText="1"/>
    </xf>
    <xf numFmtId="1" fontId="0" fillId="2" borderId="14" applyNumberFormat="1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horizontal="left" vertical="top" wrapText="1"/>
    </xf>
    <xf numFmtId="0" fontId="0" fillId="2" borderId="15" applyNumberFormat="0" applyFont="1" applyFill="1" applyBorder="1" applyAlignment="1" applyProtection="0">
      <alignment horizontal="left" vertical="top" wrapText="1"/>
    </xf>
    <xf numFmtId="1" fontId="0" fillId="2" borderId="15" applyNumberFormat="1" applyFont="1" applyFill="1" applyBorder="1" applyAlignment="1" applyProtection="0">
      <alignment vertical="top" wrapText="1"/>
    </xf>
    <xf numFmtId="1" fontId="0" fillId="2" borderId="17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49" fontId="4" fillId="5" borderId="19" applyNumberFormat="1" applyFont="1" applyFill="1" applyBorder="1" applyAlignment="1" applyProtection="0">
      <alignment horizontal="left" vertical="center" wrapText="1"/>
    </xf>
    <xf numFmtId="0" fontId="0" fillId="2" borderId="20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0" fontId="0" fillId="2" borderId="22" applyNumberFormat="0" applyFont="1" applyFill="1" applyBorder="1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49" fontId="3" fillId="6" borderId="30" applyNumberFormat="1" applyFont="1" applyFill="1" applyBorder="1" applyAlignment="1" applyProtection="0">
      <alignment horizontal="center" vertical="top" wrapText="1"/>
    </xf>
    <xf numFmtId="61" fontId="0" fillId="2" borderId="31" applyNumberFormat="1" applyFont="1" applyFill="1" applyBorder="1" applyAlignment="1" applyProtection="0">
      <alignment horizontal="left" vertical="top" wrapText="1"/>
    </xf>
    <xf numFmtId="61" fontId="0" fillId="2" borderId="32" applyNumberFormat="1" applyFont="1" applyFill="1" applyBorder="1" applyAlignment="1" applyProtection="0">
      <alignment horizontal="left" vertical="top" wrapText="1"/>
    </xf>
    <xf numFmtId="0" fontId="0" fillId="5" borderId="33" applyNumberFormat="0" applyFont="1" applyFill="1" applyBorder="1" applyAlignment="1" applyProtection="0">
      <alignment vertical="top" wrapText="1"/>
    </xf>
    <xf numFmtId="0" fontId="0" fillId="2" borderId="34" applyNumberFormat="0" applyFont="1" applyFill="1" applyBorder="1" applyAlignment="1" applyProtection="0">
      <alignment vertical="top" wrapText="1"/>
    </xf>
    <xf numFmtId="0" fontId="0" fillId="7" borderId="33" applyNumberFormat="0" applyFont="1" applyFill="1" applyBorder="1" applyAlignment="1" applyProtection="0">
      <alignment horizontal="left" vertical="top" wrapText="1"/>
    </xf>
    <xf numFmtId="0" fontId="0" fillId="2" borderId="35" applyNumberFormat="0" applyFont="1" applyFill="1" applyBorder="1" applyAlignment="1" applyProtection="0">
      <alignment vertical="top" wrapText="1"/>
    </xf>
    <xf numFmtId="49" fontId="5" fillId="8" borderId="36" applyNumberFormat="1" applyFont="1" applyFill="1" applyBorder="1" applyAlignment="1" applyProtection="0">
      <alignment horizontal="center" vertical="top" wrapText="1"/>
    </xf>
    <xf numFmtId="49" fontId="5" fillId="4" borderId="27" applyNumberFormat="1" applyFont="1" applyFill="1" applyBorder="1" applyAlignment="1" applyProtection="0">
      <alignment horizontal="center" vertical="top" wrapText="1"/>
    </xf>
    <xf numFmtId="49" fontId="5" fillId="8" borderId="27" applyNumberFormat="1" applyFont="1" applyFill="1" applyBorder="1" applyAlignment="1" applyProtection="0">
      <alignment horizontal="center" vertical="top" wrapText="1"/>
    </xf>
    <xf numFmtId="49" fontId="5" fillId="4" borderId="28" applyNumberFormat="1" applyFont="1" applyFill="1" applyBorder="1" applyAlignment="1" applyProtection="0">
      <alignment horizontal="center" vertical="top" wrapText="1"/>
    </xf>
    <xf numFmtId="0" fontId="0" fillId="2" borderId="37" applyNumberFormat="0" applyFont="1" applyFill="1" applyBorder="1" applyAlignment="1" applyProtection="0">
      <alignment vertical="top" wrapText="1"/>
    </xf>
    <xf numFmtId="61" fontId="5" fillId="2" borderId="33" applyNumberFormat="1" applyFont="1" applyFill="1" applyBorder="1" applyAlignment="1" applyProtection="0">
      <alignment horizontal="justify" vertical="top" wrapText="1"/>
    </xf>
    <xf numFmtId="61" fontId="5" fillId="2" borderId="25" applyNumberFormat="1" applyFont="1" applyFill="1" applyBorder="1" applyAlignment="1" applyProtection="0">
      <alignment horizontal="justify" vertical="top" wrapText="1"/>
    </xf>
    <xf numFmtId="62" fontId="5" fillId="2" borderId="25" applyNumberFormat="1" applyFont="1" applyFill="1" applyBorder="1" applyAlignment="1" applyProtection="0">
      <alignment horizontal="justify" vertical="top" wrapText="1"/>
    </xf>
    <xf numFmtId="62" fontId="5" fillId="2" borderId="35" applyNumberFormat="1" applyFont="1" applyFill="1" applyBorder="1" applyAlignment="1" applyProtection="0">
      <alignment horizontal="justify" vertical="top" wrapText="1"/>
    </xf>
    <xf numFmtId="49" fontId="3" fillId="4" borderId="38" applyNumberFormat="1" applyFont="1" applyFill="1" applyBorder="1" applyAlignment="1" applyProtection="0">
      <alignment horizontal="center" vertical="top" wrapText="1"/>
    </xf>
    <xf numFmtId="49" fontId="6" fillId="9" borderId="36" applyNumberFormat="1" applyFont="1" applyFill="1" applyBorder="1" applyAlignment="1" applyProtection="0">
      <alignment vertical="top" wrapText="1"/>
    </xf>
    <xf numFmtId="49" fontId="6" fillId="9" borderId="27" applyNumberFormat="1" applyFont="1" applyFill="1" applyBorder="1" applyAlignment="1" applyProtection="0">
      <alignment vertical="top" wrapText="1"/>
    </xf>
    <xf numFmtId="49" fontId="6" fillId="8" borderId="27" applyNumberFormat="1" applyFont="1" applyFill="1" applyBorder="1" applyAlignment="1" applyProtection="0">
      <alignment vertical="top" wrapText="1"/>
    </xf>
    <xf numFmtId="49" fontId="6" fillId="9" borderId="39" applyNumberFormat="1" applyFont="1" applyFill="1" applyBorder="1" applyAlignment="1" applyProtection="0">
      <alignment vertical="top" wrapText="1"/>
    </xf>
    <xf numFmtId="49" fontId="3" fillId="4" borderId="30" applyNumberFormat="1" applyFont="1" applyFill="1" applyBorder="1" applyAlignment="1" applyProtection="0">
      <alignment horizontal="center"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0" fillId="2" borderId="32" applyNumberFormat="0" applyFont="1" applyFill="1" applyBorder="1" applyAlignment="1" applyProtection="0">
      <alignment vertical="top" wrapText="1"/>
    </xf>
    <xf numFmtId="0" fontId="0" fillId="2" borderId="40" applyNumberFormat="0" applyFont="1" applyFill="1" applyBorder="1" applyAlignment="1" applyProtection="0">
      <alignment vertical="top" wrapText="1"/>
    </xf>
    <xf numFmtId="0" fontId="0" fillId="2" borderId="36" applyNumberFormat="0" applyFont="1" applyFill="1" applyBorder="1" applyAlignment="1" applyProtection="0">
      <alignment vertical="top" wrapText="1"/>
    </xf>
    <xf numFmtId="0" fontId="0" fillId="2" borderId="39" applyNumberFormat="0" applyFont="1" applyFill="1" applyBorder="1" applyAlignment="1" applyProtection="0">
      <alignment vertical="top" wrapText="1"/>
    </xf>
    <xf numFmtId="0" fontId="0" fillId="2" borderId="41" applyNumberFormat="0" applyFont="1" applyFill="1" applyBorder="1" applyAlignment="1" applyProtection="0">
      <alignment vertical="top" wrapText="1"/>
    </xf>
    <xf numFmtId="0" fontId="3" fillId="4" borderId="38" applyNumberFormat="0" applyFont="1" applyFill="1" applyBorder="1" applyAlignment="1" applyProtection="0">
      <alignment horizontal="center" vertical="top" wrapText="1"/>
    </xf>
    <xf numFmtId="0" fontId="0" fillId="9" borderId="33" applyNumberFormat="1" applyFont="1" applyFill="1" applyBorder="1" applyAlignment="1" applyProtection="0">
      <alignment horizontal="justify" vertical="top" wrapText="1"/>
    </xf>
    <xf numFmtId="1" fontId="0" fillId="9" borderId="25" applyNumberFormat="1" applyFont="1" applyFill="1" applyBorder="1" applyAlignment="1" applyProtection="0">
      <alignment horizontal="justify" vertical="top" wrapText="1"/>
    </xf>
    <xf numFmtId="59" fontId="0" fillId="9" borderId="25" applyNumberFormat="1" applyFont="1" applyFill="1" applyBorder="1" applyAlignment="1" applyProtection="0">
      <alignment horizontal="justify" vertical="top" wrapText="1"/>
    </xf>
    <xf numFmtId="0" fontId="7" fillId="9" borderId="25" applyNumberFormat="1" applyFont="1" applyFill="1" applyBorder="1" applyAlignment="1" applyProtection="0">
      <alignment horizontal="justify" vertical="top" wrapText="1"/>
    </xf>
    <xf numFmtId="0" fontId="0" fillId="9" borderId="25" applyNumberFormat="1" applyFont="1" applyFill="1" applyBorder="1" applyAlignment="1" applyProtection="0">
      <alignment horizontal="justify" vertical="top" wrapText="1"/>
    </xf>
    <xf numFmtId="59" fontId="0" fillId="9" borderId="34" applyNumberFormat="1" applyFont="1" applyFill="1" applyBorder="1" applyAlignment="1" applyProtection="0">
      <alignment horizontal="justify" vertical="top" wrapText="1"/>
    </xf>
    <xf numFmtId="49" fontId="0" fillId="9" borderId="40" applyNumberFormat="1" applyFont="1" applyFill="1" applyBorder="1" applyAlignment="1" applyProtection="0">
      <alignment horizontal="justify" vertical="top" wrapText="1"/>
    </xf>
    <xf numFmtId="0" fontId="0" fillId="2" borderId="42" applyNumberFormat="0" applyFont="1" applyFill="1" applyBorder="1" applyAlignment="1" applyProtection="0">
      <alignment vertical="top" wrapText="1"/>
    </xf>
    <xf numFmtId="0" fontId="0" fillId="2" borderId="43" applyNumberFormat="0" applyFont="1" applyFill="1" applyBorder="1" applyAlignment="1" applyProtection="0">
      <alignment vertical="top" wrapText="1"/>
    </xf>
    <xf numFmtId="63" fontId="0" fillId="9" borderId="39" applyNumberFormat="1" applyFont="1" applyFill="1" applyBorder="1" applyAlignment="1" applyProtection="0">
      <alignment vertical="top" wrapText="1"/>
    </xf>
    <xf numFmtId="63" fontId="8" fillId="9" borderId="44" applyNumberFormat="1" applyFont="1" applyFill="1" applyBorder="1" applyAlignment="1" applyProtection="0">
      <alignment vertical="top" wrapText="1"/>
    </xf>
    <xf numFmtId="63" fontId="0" fillId="9" borderId="44" applyNumberFormat="1" applyFont="1" applyFill="1" applyBorder="1" applyAlignment="1" applyProtection="0">
      <alignment vertical="top" wrapText="1"/>
    </xf>
    <xf numFmtId="0" fontId="3" fillId="4" borderId="45" applyNumberFormat="0" applyFont="1" applyFill="1" applyBorder="1" applyAlignment="1" applyProtection="0">
      <alignment horizontal="center" vertical="top" wrapText="1"/>
    </xf>
    <xf numFmtId="0" fontId="0" fillId="9" borderId="46" applyNumberFormat="1" applyFont="1" applyFill="1" applyBorder="1" applyAlignment="1" applyProtection="0">
      <alignment horizontal="justify" vertical="top" wrapText="1"/>
    </xf>
    <xf numFmtId="63" fontId="0" fillId="9" borderId="15" applyNumberFormat="1" applyFont="1" applyFill="1" applyBorder="1" applyAlignment="1" applyProtection="0">
      <alignment horizontal="justify" vertical="top" wrapText="1"/>
    </xf>
    <xf numFmtId="0" fontId="7" fillId="9" borderId="15" applyNumberFormat="1" applyFont="1" applyFill="1" applyBorder="1" applyAlignment="1" applyProtection="0">
      <alignment horizontal="justify" vertical="top" wrapText="1"/>
    </xf>
    <xf numFmtId="0" fontId="0" fillId="9" borderId="15" applyNumberFormat="1" applyFont="1" applyFill="1" applyBorder="1" applyAlignment="1" applyProtection="0">
      <alignment horizontal="justify" vertical="top" wrapText="1"/>
    </xf>
    <xf numFmtId="63" fontId="0" fillId="9" borderId="47" applyNumberFormat="1" applyFont="1" applyFill="1" applyBorder="1" applyAlignment="1" applyProtection="0">
      <alignment horizontal="justify" vertical="top" wrapText="1"/>
    </xf>
    <xf numFmtId="49" fontId="6" fillId="9" borderId="46" applyNumberFormat="1" applyFont="1" applyFill="1" applyBorder="1" applyAlignment="1" applyProtection="0">
      <alignment vertical="top" wrapText="1"/>
    </xf>
    <xf numFmtId="63" fontId="0" fillId="9" borderId="47" applyNumberFormat="1" applyFont="1" applyFill="1" applyBorder="1" applyAlignment="1" applyProtection="0">
      <alignment vertical="top" wrapText="1"/>
    </xf>
    <xf numFmtId="63" fontId="8" fillId="9" borderId="48" applyNumberFormat="1" applyFont="1" applyFill="1" applyBorder="1" applyAlignment="1" applyProtection="0">
      <alignment vertical="top" wrapText="1"/>
    </xf>
    <xf numFmtId="63" fontId="0" fillId="9" borderId="48" applyNumberFormat="1" applyFont="1" applyFill="1" applyBorder="1" applyAlignment="1" applyProtection="0">
      <alignment vertical="top" wrapText="1"/>
    </xf>
    <xf numFmtId="0" fontId="3" fillId="9" borderId="48" applyNumberFormat="0" applyFont="1" applyFill="1" applyBorder="1" applyAlignment="1" applyProtection="0">
      <alignment vertical="top" wrapText="1"/>
    </xf>
    <xf numFmtId="0" fontId="0" fillId="2" borderId="46" applyNumberFormat="0" applyFont="1" applyFill="1" applyBorder="1" applyAlignment="1" applyProtection="0">
      <alignment vertical="top" wrapText="1"/>
    </xf>
    <xf numFmtId="0" fontId="0" fillId="2" borderId="47" applyNumberFormat="0" applyFont="1" applyFill="1" applyBorder="1" applyAlignment="1" applyProtection="0">
      <alignment vertical="top" wrapText="1"/>
    </xf>
    <xf numFmtId="0" fontId="0" fillId="2" borderId="49" applyNumberFormat="0" applyFont="1" applyFill="1" applyBorder="1" applyAlignment="1" applyProtection="0">
      <alignment vertical="top" wrapText="1"/>
    </xf>
    <xf numFmtId="0" fontId="0" fillId="2" borderId="50" applyNumberFormat="0" applyFont="1" applyFill="1" applyBorder="1" applyAlignment="1" applyProtection="0">
      <alignment vertical="top" wrapText="1"/>
    </xf>
    <xf numFmtId="0" fontId="0" fillId="2" borderId="51" applyNumberFormat="0" applyFont="1" applyFill="1" applyBorder="1" applyAlignment="1" applyProtection="0">
      <alignment vertical="top" wrapText="1"/>
    </xf>
    <xf numFmtId="49" fontId="4" fillId="5" borderId="20" applyNumberFormat="1" applyFont="1" applyFill="1" applyBorder="1" applyAlignment="1" applyProtection="0">
      <alignment horizontal="left" vertical="center" wrapText="1"/>
    </xf>
    <xf numFmtId="0" fontId="0" fillId="2" borderId="52" applyNumberFormat="0" applyFont="1" applyFill="1" applyBorder="1" applyAlignment="1" applyProtection="0">
      <alignment vertical="top" wrapText="1"/>
    </xf>
    <xf numFmtId="0" fontId="0" fillId="2" borderId="53" applyNumberFormat="0" applyFont="1" applyFill="1" applyBorder="1" applyAlignment="1" applyProtection="0">
      <alignment vertical="top" wrapText="1"/>
    </xf>
    <xf numFmtId="0" fontId="0" fillId="2" borderId="54" applyNumberFormat="0" applyFont="1" applyFill="1" applyBorder="1" applyAlignment="1" applyProtection="0">
      <alignment vertical="top" wrapText="1"/>
    </xf>
    <xf numFmtId="0" fontId="0" fillId="2" borderId="55" applyNumberFormat="0" applyFont="1" applyFill="1" applyBorder="1" applyAlignment="1" applyProtection="0">
      <alignment vertical="top" wrapText="1"/>
    </xf>
    <xf numFmtId="0" fontId="0" fillId="2" borderId="31" applyNumberFormat="1" applyFont="1" applyFill="1" applyBorder="1" applyAlignment="1" applyProtection="0">
      <alignment horizontal="left" vertical="top" wrapText="1"/>
    </xf>
    <xf numFmtId="0" fontId="0" fillId="2" borderId="32" applyNumberFormat="1" applyFont="1" applyFill="1" applyBorder="1" applyAlignment="1" applyProtection="0">
      <alignment horizontal="left" vertical="top" wrapText="1"/>
    </xf>
    <xf numFmtId="63" fontId="5" fillId="2" borderId="25" applyNumberFormat="1" applyFont="1" applyFill="1" applyBorder="1" applyAlignment="1" applyProtection="0">
      <alignment horizontal="justify" vertical="top" wrapText="1"/>
    </xf>
    <xf numFmtId="0" fontId="5" fillId="2" borderId="25" applyNumberFormat="1" applyFont="1" applyFill="1" applyBorder="1" applyAlignment="1" applyProtection="0">
      <alignment horizontal="justify" vertical="top" wrapText="1"/>
    </xf>
    <xf numFmtId="63" fontId="0" fillId="9" borderId="25" applyNumberFormat="1" applyFont="1" applyFill="1" applyBorder="1" applyAlignment="1" applyProtection="0">
      <alignment horizontal="justify" vertical="top" wrapText="1"/>
    </xf>
    <xf numFmtId="0" fontId="0" fillId="9" borderId="34" applyNumberFormat="1" applyFont="1" applyFill="1" applyBorder="1" applyAlignment="1" applyProtection="0">
      <alignment horizontal="justify" vertical="top" wrapText="1"/>
    </xf>
    <xf numFmtId="1" fontId="0" fillId="9" borderId="15" applyNumberFormat="1" applyFont="1" applyFill="1" applyBorder="1" applyAlignment="1" applyProtection="0">
      <alignment horizontal="justify" vertical="top" wrapText="1"/>
    </xf>
    <xf numFmtId="0" fontId="5" fillId="2" borderId="33" applyNumberFormat="1" applyFont="1" applyFill="1" applyBorder="1" applyAlignment="1" applyProtection="0">
      <alignment horizontal="justify" vertical="top" wrapText="1"/>
    </xf>
    <xf numFmtId="0" fontId="0" fillId="2" borderId="20" applyNumberFormat="0" applyFont="1" applyFill="1" applyBorder="1" applyAlignment="1" applyProtection="0">
      <alignment horizontal="justify" vertical="top" wrapText="1"/>
    </xf>
    <xf numFmtId="0" fontId="0" fillId="2" borderId="15" applyNumberFormat="0" applyFont="1" applyFill="1" applyBorder="1" applyAlignment="1" applyProtection="0">
      <alignment horizontal="justify" vertical="top" wrapText="1"/>
    </xf>
    <xf numFmtId="0" fontId="0" fillId="2" borderId="25" applyNumberFormat="0" applyFont="1" applyFill="1" applyBorder="1" applyAlignment="1" applyProtection="0">
      <alignment horizontal="justify" vertical="top" wrapText="1"/>
    </xf>
    <xf numFmtId="49" fontId="4" fillId="5" borderId="27" applyNumberFormat="1" applyFont="1" applyFill="1" applyBorder="1" applyAlignment="1" applyProtection="0">
      <alignment horizontal="left" vertical="center" wrapText="1"/>
    </xf>
    <xf numFmtId="0" fontId="0" fillId="2" borderId="56" applyNumberFormat="0" applyFont="1" applyFill="1" applyBorder="1" applyAlignment="1" applyProtection="0">
      <alignment vertical="top" wrapText="1"/>
    </xf>
    <xf numFmtId="49" fontId="5" fillId="8" borderId="57" applyNumberFormat="1" applyFont="1" applyFill="1" applyBorder="1" applyAlignment="1" applyProtection="0">
      <alignment horizontal="center" vertical="top" wrapText="1"/>
    </xf>
    <xf numFmtId="0" fontId="5" fillId="2" borderId="58" applyNumberFormat="1" applyFont="1" applyFill="1" applyBorder="1" applyAlignment="1" applyProtection="0">
      <alignment horizontal="justify" vertical="top" wrapText="1"/>
    </xf>
    <xf numFmtId="61" fontId="5" fillId="2" borderId="15" applyNumberFormat="1" applyFont="1" applyFill="1" applyBorder="1" applyAlignment="1" applyProtection="0">
      <alignment horizontal="justify" vertical="top" wrapText="1"/>
    </xf>
    <xf numFmtId="62" fontId="5" fillId="2" borderId="15" applyNumberFormat="1" applyFont="1" applyFill="1" applyBorder="1" applyAlignment="1" applyProtection="0">
      <alignment horizontal="justify" vertical="top" wrapText="1"/>
    </xf>
    <xf numFmtId="62" fontId="5" fillId="2" borderId="59" applyNumberFormat="1" applyFont="1" applyFill="1" applyBorder="1" applyAlignment="1" applyProtection="0">
      <alignment horizontal="justify" vertical="top" wrapText="1"/>
    </xf>
    <xf numFmtId="0" fontId="0" fillId="2" borderId="60" applyNumberFormat="0" applyFont="1" applyFill="1" applyBorder="1" applyAlignment="1" applyProtection="0">
      <alignment vertical="top" wrapText="1"/>
    </xf>
    <xf numFmtId="0" fontId="0" fillId="2" borderId="61" applyNumberFormat="0" applyFont="1" applyFill="1" applyBorder="1" applyAlignment="1" applyProtection="0">
      <alignment vertical="top" wrapText="1"/>
    </xf>
    <xf numFmtId="49" fontId="0" fillId="9" borderId="41" applyNumberFormat="1" applyFont="1" applyFill="1" applyBorder="1" applyAlignment="1" applyProtection="0">
      <alignment horizontal="justify" vertical="top" wrapText="1"/>
    </xf>
    <xf numFmtId="63" fontId="0" fillId="9" borderId="62" applyNumberFormat="1" applyFont="1" applyFill="1" applyBorder="1" applyAlignment="1" applyProtection="0">
      <alignment vertical="top" wrapText="1"/>
    </xf>
    <xf numFmtId="0" fontId="3" fillId="9" borderId="63" applyNumberFormat="0" applyFont="1" applyFill="1" applyBorder="1" applyAlignment="1" applyProtection="0">
      <alignment vertical="top" wrapText="1"/>
    </xf>
    <xf numFmtId="0" fontId="0" fillId="2" borderId="64" applyNumberFormat="0" applyFont="1" applyFill="1" applyBorder="1" applyAlignment="1" applyProtection="0">
      <alignment vertical="top" wrapText="1"/>
    </xf>
    <xf numFmtId="0" fontId="0" fillId="2" borderId="65" applyNumberFormat="0" applyFont="1" applyFill="1" applyBorder="1" applyAlignment="1" applyProtection="0">
      <alignment vertical="top" wrapText="1"/>
    </xf>
    <xf numFmtId="0" fontId="0" fillId="2" borderId="65" applyNumberFormat="0" applyFont="1" applyFill="1" applyBorder="1" applyAlignment="1" applyProtection="0">
      <alignment horizontal="justify" vertical="top" wrapText="1"/>
    </xf>
    <xf numFmtId="0" fontId="0" fillId="2" borderId="66" applyNumberFormat="0" applyFont="1" applyFill="1" applyBorder="1" applyAlignment="1" applyProtection="0">
      <alignment vertical="top" wrapText="1"/>
    </xf>
    <xf numFmtId="0" fontId="0" fillId="2" borderId="67" applyNumberFormat="0" applyFont="1" applyFill="1" applyBorder="1" applyAlignment="1" applyProtection="0">
      <alignment vertical="top" wrapText="1"/>
    </xf>
    <xf numFmtId="0" fontId="0" fillId="2" borderId="68" applyNumberFormat="0" applyFont="1" applyFill="1" applyBorder="1" applyAlignment="1" applyProtection="0">
      <alignment vertical="top" wrapText="1"/>
    </xf>
    <xf numFmtId="49" fontId="3" fillId="2" borderId="68" applyNumberFormat="1" applyFont="1" applyFill="1" applyBorder="1" applyAlignment="1" applyProtection="0">
      <alignment horizontal="justify" vertical="top" wrapText="1"/>
    </xf>
    <xf numFmtId="0" fontId="0" fillId="2" borderId="68" applyNumberFormat="1" applyFont="1" applyFill="1" applyBorder="1" applyAlignment="1" applyProtection="0">
      <alignment horizontal="justify" vertical="top" wrapText="1"/>
    </xf>
    <xf numFmtId="0" fontId="0" fillId="2" borderId="68" applyNumberFormat="0" applyFont="1" applyFill="1" applyBorder="1" applyAlignment="1" applyProtection="0">
      <alignment horizontal="justify" vertical="top" wrapText="1"/>
    </xf>
    <xf numFmtId="0" fontId="0" borderId="26" applyNumberFormat="0" applyFont="1" applyFill="0" applyBorder="1" applyAlignment="1" applyProtection="0">
      <alignment horizontal="justify" vertical="top" wrapText="1"/>
    </xf>
    <xf numFmtId="49" fontId="3" fillId="10" borderId="26" applyNumberFormat="1" applyFont="1" applyFill="1" applyBorder="1" applyAlignment="1" applyProtection="0">
      <alignment horizontal="justify" vertical="top" wrapText="1"/>
    </xf>
    <xf numFmtId="0" fontId="0" fillId="2" borderId="26" applyNumberFormat="0" applyFont="1" applyFill="1" applyBorder="1" applyAlignment="1" applyProtection="0">
      <alignment horizontal="justify" vertical="top" wrapText="1"/>
    </xf>
    <xf numFmtId="49" fontId="3" fillId="2" borderId="26" applyNumberFormat="1" applyFont="1" applyFill="1" applyBorder="1" applyAlignment="1" applyProtection="0">
      <alignment horizontal="justify" vertical="top" wrapText="1"/>
    </xf>
    <xf numFmtId="1" fontId="3" fillId="2" borderId="26" applyNumberFormat="1" applyFont="1" applyFill="1" applyBorder="1" applyAlignment="1" applyProtection="0">
      <alignment horizontal="justify" vertical="top" wrapText="1"/>
    </xf>
    <xf numFmtId="63" fontId="3" fillId="2" borderId="26" applyNumberFormat="1" applyFont="1" applyFill="1" applyBorder="1" applyAlignment="1" applyProtection="0">
      <alignment horizontal="justify" vertical="top" wrapText="1"/>
    </xf>
    <xf numFmtId="1" fontId="0" fillId="2" borderId="26" applyNumberFormat="1" applyFont="1" applyFill="1" applyBorder="1" applyAlignment="1" applyProtection="0">
      <alignment horizontal="justify" vertical="top" wrapText="1"/>
    </xf>
    <xf numFmtId="63" fontId="0" fillId="2" borderId="26" applyNumberFormat="1" applyFont="1" applyFill="1" applyBorder="1" applyAlignment="1" applyProtection="0">
      <alignment horizontal="justify" vertical="top" wrapText="1"/>
    </xf>
    <xf numFmtId="0" fontId="0" fillId="2" borderId="26" applyNumberFormat="1" applyFont="1" applyFill="1" applyBorder="1" applyAlignment="1" applyProtection="0">
      <alignment horizontal="justify" vertical="top" wrapText="1"/>
    </xf>
    <xf numFmtId="0" fontId="3" fillId="2" borderId="26" applyNumberFormat="1" applyFont="1" applyFill="1" applyBorder="1" applyAlignment="1" applyProtection="0">
      <alignment horizontal="justify" vertical="top" wrapText="1"/>
    </xf>
    <xf numFmtId="49" fontId="3" fillId="2" borderId="26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a3f6bb"/>
      <rgbColor rgb="ff73fdff"/>
      <rgbColor rgb="ffb9fcbc"/>
      <rgbColor rgb="ff76f9fb"/>
      <rgbColor rgb="fffff056"/>
      <rgbColor rgb="ffeaeaea"/>
      <rgbColor rgb="ff5e5e5e"/>
      <rgbColor rgb="ffbfbfbf"/>
      <rgbColor rgb="ffa5a5a5"/>
      <rgbColor rgb="ffb7fcb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78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6719" style="1" customWidth="1"/>
    <col min="3" max="6" width="16.3516" style="1" customWidth="1"/>
    <col min="7" max="7" width="16.5" style="1" customWidth="1"/>
    <col min="8" max="8" width="16.3516" style="1" customWidth="1"/>
    <col min="9" max="9" width="16.6719" style="1" customWidth="1"/>
    <col min="10" max="12" width="16.3516" style="1" customWidth="1"/>
    <col min="13" max="13" width="16.6719" style="1" customWidth="1"/>
    <col min="14" max="24" width="16.3516" style="1" customWidth="1"/>
    <col min="25" max="26" width="17.3516" style="1" customWidth="1"/>
    <col min="27" max="16384" width="16.3516" style="1" customWidth="1"/>
  </cols>
  <sheetData>
    <row r="1" ht="27.65" customHeight="1">
      <c r="A1" t="s" s="2">
        <v>0</v>
      </c>
      <c r="B1" s="3"/>
      <c r="C1" s="3"/>
      <c r="D1" s="4"/>
      <c r="E1" s="4"/>
      <c r="F1" s="4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6"/>
      <c r="Y1" s="7"/>
      <c r="Z1" s="7"/>
    </row>
    <row r="2" ht="21.05" customHeight="1">
      <c r="A2" s="8"/>
      <c r="B2" t="s" s="9">
        <v>1</v>
      </c>
      <c r="C2" t="s" s="9">
        <v>2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1.05" customHeight="1">
      <c r="A3" s="12"/>
      <c r="B3" s="13">
        <v>0.1</v>
      </c>
      <c r="C3" s="13">
        <f>1-B3</f>
        <v>0.9</v>
      </c>
      <c r="D3" s="14"/>
      <c r="E3" s="15"/>
      <c r="F3" s="15"/>
      <c r="G3" s="16"/>
      <c r="H3" s="17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22.2" customHeight="1">
      <c r="A4" s="20"/>
      <c r="B4" s="21"/>
      <c r="C4" s="22"/>
      <c r="D4" s="23"/>
      <c r="E4" s="20"/>
      <c r="F4" s="24"/>
      <c r="G4" s="25"/>
      <c r="H4" s="25"/>
      <c r="I4" s="26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3"/>
      <c r="X4" s="23"/>
      <c r="Y4" s="23"/>
      <c r="Z4" s="23"/>
    </row>
    <row r="5" ht="9.5" customHeight="1">
      <c r="A5" s="27"/>
      <c r="B5" t="s" s="28">
        <v>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30"/>
      <c r="Z5" s="31"/>
    </row>
    <row r="6" ht="21.95" customHeight="1">
      <c r="A6" s="32"/>
      <c r="B6" s="33"/>
      <c r="C6" s="34"/>
      <c r="D6" s="3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4"/>
      <c r="W6" s="34"/>
      <c r="X6" s="34"/>
      <c r="Y6" s="36"/>
      <c r="Z6" s="37"/>
    </row>
    <row r="7" ht="21.7" customHeight="1">
      <c r="A7" s="38"/>
      <c r="B7" t="s" s="39">
        <v>4</v>
      </c>
      <c r="C7" s="40">
        <f>0.81*B9</f>
        <v>2478.888514573250</v>
      </c>
      <c r="D7" s="41">
        <f>B9/0.81</f>
        <v>3778.217519544650</v>
      </c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43"/>
      <c r="V7" t="s" s="39">
        <v>4</v>
      </c>
      <c r="W7" s="40">
        <f>0.81*V9</f>
        <v>2478.88851471</v>
      </c>
      <c r="X7" s="41">
        <f>V9/0.81</f>
        <v>3778.217519753090</v>
      </c>
      <c r="Y7" s="44"/>
      <c r="Z7" s="45"/>
    </row>
    <row r="8" ht="23.8" customHeight="1">
      <c r="A8" s="38"/>
      <c r="B8" t="s" s="46">
        <v>5</v>
      </c>
      <c r="C8" t="s" s="47">
        <v>6</v>
      </c>
      <c r="D8" t="s" s="47">
        <v>7</v>
      </c>
      <c r="E8" t="s" s="47">
        <v>8</v>
      </c>
      <c r="F8" t="s" s="47">
        <v>9</v>
      </c>
      <c r="G8" t="s" s="47">
        <v>10</v>
      </c>
      <c r="H8" t="s" s="47">
        <v>11</v>
      </c>
      <c r="I8" t="s" s="47">
        <v>12</v>
      </c>
      <c r="J8" t="s" s="47">
        <v>13</v>
      </c>
      <c r="K8" t="s" s="47">
        <v>14</v>
      </c>
      <c r="L8" t="s" s="47">
        <v>15</v>
      </c>
      <c r="M8" t="s" s="47">
        <v>16</v>
      </c>
      <c r="N8" t="s" s="47">
        <v>17</v>
      </c>
      <c r="O8" t="s" s="48">
        <v>18</v>
      </c>
      <c r="P8" t="s" s="47">
        <v>19</v>
      </c>
      <c r="Q8" t="s" s="47">
        <v>20</v>
      </c>
      <c r="R8" t="s" s="47">
        <v>21</v>
      </c>
      <c r="S8" t="s" s="47">
        <v>22</v>
      </c>
      <c r="T8" t="s" s="47">
        <v>23</v>
      </c>
      <c r="U8" t="s" s="47">
        <v>24</v>
      </c>
      <c r="V8" t="s" s="48">
        <v>25</v>
      </c>
      <c r="W8" t="s" s="47">
        <v>26</v>
      </c>
      <c r="X8" t="s" s="47">
        <v>27</v>
      </c>
      <c r="Y8" t="s" s="47">
        <v>10</v>
      </c>
      <c r="Z8" t="s" s="49">
        <v>11</v>
      </c>
    </row>
    <row r="9" ht="39.95" customHeight="1">
      <c r="A9" s="50"/>
      <c r="B9" s="51">
        <f t="shared" si="5" ref="B9:B53">3060.35619083117</f>
        <v>3060.356190831170</v>
      </c>
      <c r="C9" s="52">
        <f>IF((LOG(1/(C11*C11*10^12/2^96/2^96)*10^12,1.0001)-FLOOR(LOG(1/(C11*C11*10^12/2^96/2^96)*10^12,1.0001)/60,1)*60)&gt;(CEILING(LOG(1/(C11*C11*10^12/2^96/2^96)*10^12,1.0001)/60,1)*60)-(LOG(1/(C11*C11*10^12/2^96/2^96)*10^12,1.0001)),CEILING(LOG(1/(C11*C11*10^12/2^96/2^96)*10^12,1.0001)/60,1)*60,FLOOR(LOG(1/(C11*C11*10^12/2^96/2^96)*10^12,1.0001)/60,1)*60)</f>
        <v>198180</v>
      </c>
      <c r="D9" s="52">
        <f>IF((LOG(1/(D11*D11*10^12/2^96/2^96)*10^12,1.0001)-FLOOR(LOG(1/(D11*D11*10^12/2^96/2^96)*10^12,1.0001)/60,1)*60)&gt;(CEILING(LOG(1/(D11*D11*10^12/2^96/2^96)*10^12,1.0001)/60,1)*60)-(LOG(1/(D11*D11*10^12/2^96/2^96)*10^12,1.0001)),CEILING(LOG(1/(D11*D11*10^12/2^96/2^96)*10^12,1.0001)/60,1)*60,FLOOR(LOG(1/(D11*D11*10^12/2^96/2^96)*10^12,1.0001)/60,1)*60)</f>
        <v>193920</v>
      </c>
      <c r="E9" s="52">
        <f>E11*$B$3*10^-18</f>
        <v>0.326787207467537</v>
      </c>
      <c r="F9" s="52">
        <f>F11*$B$3*10^-6</f>
        <v>1000</v>
      </c>
      <c r="G9" s="53">
        <f>((G11/E11)-(E9/E11))*10^18</f>
        <v>0.00133272376394435</v>
      </c>
      <c r="H9" s="53">
        <f>((H11/F11)-(F9/F11))*10^6</f>
        <v>0.000698852674847</v>
      </c>
      <c r="I9" s="52">
        <f>E11*$C$3*10^-18</f>
        <v>2.94108486720783</v>
      </c>
      <c r="J9" s="52">
        <f>F11*$C$3*10^-6</f>
        <v>9000</v>
      </c>
      <c r="K9" s="52">
        <f>E9+I9+M9</f>
        <v>3.26787207467537</v>
      </c>
      <c r="L9" s="52">
        <f>F9+J9+N9</f>
        <v>10000</v>
      </c>
      <c r="M9" s="52">
        <v>0</v>
      </c>
      <c r="N9" s="52">
        <v>0</v>
      </c>
      <c r="O9" s="52">
        <v>3060.356191</v>
      </c>
      <c r="P9" s="52">
        <f>IF(S12&lt;0,ABS(S12)/O9,0)</f>
        <v>0.000139245126232001</v>
      </c>
      <c r="Q9" s="52">
        <f>IF(S12&gt;0,S12,0)</f>
        <v>0</v>
      </c>
      <c r="R9" s="52">
        <f>R12</f>
        <v>3.26773282954914</v>
      </c>
      <c r="S9" s="52">
        <f>R13</f>
        <v>10000.4261396841</v>
      </c>
      <c r="T9" s="52">
        <f>R9*$B$3</f>
        <v>0.326773282954914</v>
      </c>
      <c r="U9" s="52">
        <f>S9*$B$3</f>
        <v>1000.042613968410</v>
      </c>
      <c r="V9" s="52">
        <v>3060.356191</v>
      </c>
      <c r="W9" s="52">
        <f>IF((LOG(1/(C13*C13*10^12/2^96/2^96)*10^12,1.0001)-FLOOR(LOG(1/(C13*C13*10^12/2^96/2^96)*10^12,1.0001)/60,1)*60)&gt;(CEILING(LOG(1/(C13*C13*10^12/2^96/2^96)*10^12,1.0001)/60,1)*60)-(LOG(1/(C13*C13*10^12/2^96/2^96)*10^12,1.0001)),CEILING(LOG(1/(C13*C13*10^12/2^96/2^96)*10^12,1.0001)/60,1)*60,FLOOR(LOG(1/(C13*C13*10^12/2^96/2^96)*10^12,1.0001)/60,1)*60)</f>
        <v>198180</v>
      </c>
      <c r="X9" s="52">
        <f>IF((LOG(1/(D13*D13*10^12/2^96/2^96)*10^12,1.0001)-FLOOR(LOG(1/(D13*D13*10^12/2^96/2^96)*10^12,1.0001)/60,1)*60)&gt;(CEILING(LOG(1/(D13*D13*10^12/2^96/2^96)*10^12,1.0001)/60,1)*60)-(LOG(1/(D13*D13*10^12/2^96/2^96)*10^12,1.0001)),CEILING(LOG(1/(D13*D13*10^12/2^96/2^96)*10^12,1.0001)/60,1)*60,FLOOR(LOG(1/(D13*D13*10^12/2^96/2^96)*10^12,1.0001)/60,1)*60)</f>
        <v>193920</v>
      </c>
      <c r="Y9" s="53">
        <f>(G13/T9)-1</f>
        <v>0.0134136011243605</v>
      </c>
      <c r="Z9" s="54">
        <f>(H13/U9)-1</f>
        <v>0.00698852699652134</v>
      </c>
    </row>
    <row r="10" ht="21.7" customHeight="1">
      <c r="A10" t="s" s="55">
        <v>28</v>
      </c>
      <c r="B10" t="s" s="56">
        <v>29</v>
      </c>
      <c r="C10" t="s" s="57">
        <v>30</v>
      </c>
      <c r="D10" t="s" s="57">
        <v>31</v>
      </c>
      <c r="E10" t="s" s="58">
        <v>32</v>
      </c>
      <c r="F10" t="s" s="58">
        <v>33</v>
      </c>
      <c r="G10" t="s" s="57">
        <v>34</v>
      </c>
      <c r="H10" t="s" s="57">
        <v>35</v>
      </c>
      <c r="I10" t="s" s="57">
        <v>36</v>
      </c>
      <c r="J10" t="s" s="57">
        <v>37</v>
      </c>
      <c r="K10" t="s" s="57">
        <v>38</v>
      </c>
      <c r="L10" t="s" s="57">
        <v>39</v>
      </c>
      <c r="M10" t="s" s="57">
        <v>40</v>
      </c>
      <c r="N10" t="s" s="59">
        <v>41</v>
      </c>
      <c r="O10" t="s" s="60">
        <v>42</v>
      </c>
      <c r="P10" s="61"/>
      <c r="Q10" s="61"/>
      <c r="R10" s="62"/>
      <c r="S10" s="63"/>
      <c r="T10" s="64"/>
      <c r="U10" s="36"/>
      <c r="V10" s="36"/>
      <c r="W10" s="36"/>
      <c r="X10" s="65"/>
      <c r="Y10" s="63"/>
      <c r="Z10" s="66"/>
    </row>
    <row r="11" ht="27.8" customHeight="1">
      <c r="A11" s="67"/>
      <c r="B11" s="68">
        <f>SQRT(B9*10^6/10^18)*2^96</f>
        <v>4.38294046917908e+24</v>
      </c>
      <c r="C11" s="69">
        <f>B11-$B$3*F11*POWER(2,96)/L11</f>
        <v>3.94464642226117e+24</v>
      </c>
      <c r="D11" s="70">
        <f>M11*B11/N11</f>
        <v>4.86997998604707e+24</v>
      </c>
      <c r="E11" s="71">
        <f t="shared" si="29" ref="E11:E66">3267872074675370000</f>
        <v>3.26787207467537e+18</v>
      </c>
      <c r="F11" s="71">
        <f t="shared" si="30" ref="F11:F66">10000000000</f>
        <v>10000000000</v>
      </c>
      <c r="G11" s="71">
        <f>(M11-(M11*B11)/(SQRT(1/(1.0001^D9)*2^96*2^96/10^6)*10^3))/B11/10^18</f>
        <v>0.331142378238987</v>
      </c>
      <c r="H11" s="71">
        <f>(B11-(SQRT(1/(1.0001^C9)*2^96*2^96)))*L11/POWER(2,96)/10^6</f>
        <v>1006.988526748470</v>
      </c>
      <c r="I11" s="69">
        <v>1e+99</v>
      </c>
      <c r="J11" s="69">
        <f>(E11)*(B11*I11)/POWER(2,96)/(I11-B11)</f>
        <v>180780271934442.1</v>
      </c>
      <c r="K11" s="72">
        <f>(F11)*POWER(2,96)/(B11-0)</f>
        <v>180764861105000.8</v>
      </c>
      <c r="L11" s="72">
        <f>MIN(J11,K11)</f>
        <v>180764861105000.8</v>
      </c>
      <c r="M11" s="72">
        <f>L11*POWER(2,96)</f>
        <v>1.43216677924954e+43</v>
      </c>
      <c r="N11" s="73">
        <f>M11-($B$3*E11)*B11</f>
        <v>1.28893789160759e+43</v>
      </c>
      <c r="O11" t="s" s="74">
        <v>43</v>
      </c>
      <c r="P11" s="63"/>
      <c r="Q11" t="s" s="74">
        <v>44</v>
      </c>
      <c r="R11" s="63"/>
      <c r="S11" t="s" s="74">
        <v>45</v>
      </c>
      <c r="T11" s="75"/>
      <c r="U11" s="35"/>
      <c r="V11" s="35"/>
      <c r="W11" s="35"/>
      <c r="X11" s="76"/>
      <c r="Y11" s="63"/>
      <c r="Z11" s="66"/>
    </row>
    <row r="12" ht="20.85" customHeight="1">
      <c r="A12" t="s" s="55">
        <v>46</v>
      </c>
      <c r="B12" t="s" s="56">
        <v>47</v>
      </c>
      <c r="C12" t="s" s="57">
        <v>30</v>
      </c>
      <c r="D12" t="s" s="57">
        <v>31</v>
      </c>
      <c r="E12" t="s" s="57">
        <v>32</v>
      </c>
      <c r="F12" t="s" s="57">
        <v>33</v>
      </c>
      <c r="G12" t="s" s="57">
        <v>34</v>
      </c>
      <c r="H12" t="s" s="57">
        <v>35</v>
      </c>
      <c r="I12" t="s" s="57">
        <v>36</v>
      </c>
      <c r="J12" t="s" s="57">
        <v>37</v>
      </c>
      <c r="K12" t="s" s="57">
        <v>38</v>
      </c>
      <c r="L12" t="s" s="57">
        <v>39</v>
      </c>
      <c r="M12" t="s" s="57">
        <v>40</v>
      </c>
      <c r="N12" t="s" s="59">
        <v>41</v>
      </c>
      <c r="O12" t="s" s="56">
        <v>48</v>
      </c>
      <c r="P12" s="77">
        <f>K9</f>
        <v>3.26787207467537</v>
      </c>
      <c r="Q12" s="78">
        <f>P12*O9</f>
        <v>10000.8525351288</v>
      </c>
      <c r="R12" s="79">
        <f>P12+(S12/O9)</f>
        <v>3.26773282954914</v>
      </c>
      <c r="S12" s="79">
        <f>(P13-Q12)/2*(1-0.0003)</f>
        <v>-0.42613968413068</v>
      </c>
      <c r="T12" s="75"/>
      <c r="U12" s="35"/>
      <c r="V12" s="35"/>
      <c r="W12" s="35"/>
      <c r="X12" s="76"/>
      <c r="Y12" s="63"/>
      <c r="Z12" s="66"/>
    </row>
    <row r="13" ht="30.05" customHeight="1">
      <c r="A13" s="80"/>
      <c r="B13" s="81">
        <f>SQRT(V9*10^6/10^18)*2^96</f>
        <v>4.38294046929997e+24</v>
      </c>
      <c r="C13" s="82">
        <f>B13-$B$3*F13*POWER(2,96)/L13</f>
        <v>3.94464642236997e+24</v>
      </c>
      <c r="D13" s="82">
        <f>M13*B13/N13</f>
        <v>4.86993386861645e+24</v>
      </c>
      <c r="E13" s="82">
        <f>R9*10^18</f>
        <v>3.26773282954914e+18</v>
      </c>
      <c r="F13" s="82">
        <f>S9*10^6</f>
        <v>10000426139.6841</v>
      </c>
      <c r="G13" s="83">
        <f>(M13-(M13*B13)/(SQRT(1/(1.0001^X9)*2^96*2^96/10^6)*10^3))/B13/10^18</f>
        <v>0.331156489430569</v>
      </c>
      <c r="H13" s="83">
        <f>(B13-(SQRT(1/(1.0001^W9)*2^96*2^96)))*L13/POWER(2,96)/10^6</f>
        <v>1007.0314387738</v>
      </c>
      <c r="I13" s="84">
        <v>1e+99</v>
      </c>
      <c r="J13" s="82">
        <f>(E13)*(B13*I13)/POWER(2,96)/(I13-B13)</f>
        <v>180772568831347.4</v>
      </c>
      <c r="K13" s="82">
        <f>(F13)*POWER(2,96)/(B13-0)</f>
        <v>180772564208095.5</v>
      </c>
      <c r="L13" s="82">
        <f>MIN(J13,K13)</f>
        <v>180772564208095.5</v>
      </c>
      <c r="M13" s="82">
        <f>L13*POWER(2,96)</f>
        <v>1.43222780951993e+43</v>
      </c>
      <c r="N13" s="85">
        <f>M13-(0.1*E13)*B13</f>
        <v>1.28900502490502e+43</v>
      </c>
      <c r="O13" t="s" s="86">
        <v>49</v>
      </c>
      <c r="P13" s="87">
        <f>L9</f>
        <v>10000</v>
      </c>
      <c r="Q13" s="88">
        <f>P13/O9</f>
        <v>3.26759350085076</v>
      </c>
      <c r="R13" s="89">
        <f>P13-S12</f>
        <v>10000.4261396841</v>
      </c>
      <c r="S13" s="90"/>
      <c r="T13" s="91"/>
      <c r="U13" s="20"/>
      <c r="V13" s="20"/>
      <c r="W13" s="20"/>
      <c r="X13" s="92"/>
      <c r="Y13" s="93"/>
      <c r="Z13" s="94"/>
    </row>
    <row r="14" ht="21.3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21.3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9.5" customHeight="1">
      <c r="A16" s="95"/>
      <c r="B16" t="s" s="96">
        <v>50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97"/>
      <c r="Z16" s="98"/>
    </row>
    <row r="17" ht="21.95" customHeight="1">
      <c r="A17" s="99"/>
      <c r="B17" s="34"/>
      <c r="C17" s="34"/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4"/>
      <c r="W17" s="34"/>
      <c r="X17" s="34"/>
      <c r="Y17" s="29"/>
      <c r="Z17" s="100"/>
    </row>
    <row r="18" ht="21.7" customHeight="1">
      <c r="A18" s="38"/>
      <c r="B18" t="s" s="39">
        <v>4</v>
      </c>
      <c r="C18" s="40">
        <f>0.81*B20</f>
        <v>2478.888514573250</v>
      </c>
      <c r="D18" s="41">
        <f>B20/0.81</f>
        <v>3778.217519544650</v>
      </c>
      <c r="E18" s="42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43"/>
      <c r="V18" t="s" s="39">
        <v>4</v>
      </c>
      <c r="W18" s="101">
        <f>0.81*V20</f>
        <v>2478.88851471</v>
      </c>
      <c r="X18" s="102">
        <f>V20/0.81</f>
        <v>3778.217519753090</v>
      </c>
      <c r="Y18" s="44"/>
      <c r="Z18" s="45"/>
    </row>
    <row r="19" ht="23.8" customHeight="1">
      <c r="A19" s="38"/>
      <c r="B19" t="s" s="46">
        <v>5</v>
      </c>
      <c r="C19" t="s" s="47">
        <v>6</v>
      </c>
      <c r="D19" t="s" s="47">
        <v>7</v>
      </c>
      <c r="E19" t="s" s="47">
        <v>8</v>
      </c>
      <c r="F19" t="s" s="47">
        <v>9</v>
      </c>
      <c r="G19" t="s" s="47">
        <v>10</v>
      </c>
      <c r="H19" t="s" s="47">
        <v>11</v>
      </c>
      <c r="I19" t="s" s="47">
        <v>12</v>
      </c>
      <c r="J19" t="s" s="47">
        <v>13</v>
      </c>
      <c r="K19" t="s" s="47">
        <v>14</v>
      </c>
      <c r="L19" t="s" s="47">
        <v>15</v>
      </c>
      <c r="M19" t="s" s="47">
        <v>16</v>
      </c>
      <c r="N19" t="s" s="47">
        <v>17</v>
      </c>
      <c r="O19" t="s" s="48">
        <v>18</v>
      </c>
      <c r="P19" t="s" s="47">
        <v>19</v>
      </c>
      <c r="Q19" t="s" s="47">
        <v>20</v>
      </c>
      <c r="R19" t="s" s="47">
        <v>21</v>
      </c>
      <c r="S19" t="s" s="47">
        <v>22</v>
      </c>
      <c r="T19" t="s" s="47">
        <v>23</v>
      </c>
      <c r="U19" t="s" s="47">
        <v>24</v>
      </c>
      <c r="V19" t="s" s="48">
        <v>25</v>
      </c>
      <c r="W19" t="s" s="47">
        <v>26</v>
      </c>
      <c r="X19" t="s" s="47">
        <v>27</v>
      </c>
      <c r="Y19" t="s" s="47">
        <v>10</v>
      </c>
      <c r="Z19" t="s" s="49">
        <v>11</v>
      </c>
    </row>
    <row r="20" ht="40.55" customHeight="1">
      <c r="A20" s="50"/>
      <c r="B20" s="51">
        <f t="shared" si="5"/>
        <v>3060.356190831170</v>
      </c>
      <c r="C20" s="52">
        <f>IF((LOG(1/(C22*C22*10^12/2^96/2^96)*10^12,1.0001)-FLOOR(LOG(1/(C22*C22*10^12/2^96/2^96)*10^12,1.0001)/60,1)*60)&gt;(CEILING(LOG(1/(C22*C22*10^12/2^96/2^96)*10^12,1.0001)/60,1)*60)-(LOG(1/(C22*C22*10^12/2^96/2^96)*10^12,1.0001)),CEILING(LOG(1/(C22*C22*10^12/2^96/2^96)*10^12,1.0001)/60,1)*60,FLOOR(LOG(1/(C22*C22*10^12/2^96/2^96)*10^12,1.0001)/60,1)*60)</f>
        <v>198180</v>
      </c>
      <c r="D20" s="52">
        <f>IF((LOG(1/(D22*D22*10^12/2^96/2^96)*10^12,1.0001)-FLOOR(LOG(1/(D22*D22*10^12/2^96/2^96)*10^12,1.0001)/60,1)*60)&gt;(CEILING(LOG(1/(D22*D22*10^12/2^96/2^96)*10^12,1.0001)/60,1)*60)-(LOG(1/(D22*D22*10^12/2^96/2^96)*10^12,1.0001)),CEILING(LOG(1/(D22*D22*10^12/2^96/2^96)*10^12,1.0001)/60,1)*60,FLOOR(LOG(1/(D22*D22*10^12/2^96/2^96)*10^12,1.0001)/60,1)*60)</f>
        <v>193920</v>
      </c>
      <c r="E20" s="103">
        <f>E22*$B$3*10^-18</f>
        <v>0.326787207467537</v>
      </c>
      <c r="F20" s="103">
        <f>F22*$B$3*10^-6</f>
        <v>1000</v>
      </c>
      <c r="G20" s="53">
        <f>((G22/E22)-(E20/E22))*10^18</f>
        <v>0.00133272376394435</v>
      </c>
      <c r="H20" s="53">
        <f>((H22/F22)-(F20/F22))*10^6</f>
        <v>0.000698852674847</v>
      </c>
      <c r="I20" s="103">
        <f>E22*$C$3*10^-18</f>
        <v>2.94108486720783</v>
      </c>
      <c r="J20" s="103">
        <f>F22*$C$3*10^-6</f>
        <v>9000</v>
      </c>
      <c r="K20" s="103">
        <f>E20+I20+M20</f>
        <v>3.26787207467537</v>
      </c>
      <c r="L20" s="103">
        <f>F20+J20+N20</f>
        <v>10700</v>
      </c>
      <c r="M20" s="104">
        <v>0</v>
      </c>
      <c r="N20" s="104">
        <v>700</v>
      </c>
      <c r="O20" s="104">
        <v>3060.356191</v>
      </c>
      <c r="P20" s="104">
        <f>IF(S23&lt;0,ABS(S23)/O20,0)</f>
        <v>0</v>
      </c>
      <c r="Q20" s="103">
        <f>IF(S23&gt;0,S23,0)</f>
        <v>349.468860315869</v>
      </c>
      <c r="R20" s="103">
        <f>R23</f>
        <v>3.38206429234716</v>
      </c>
      <c r="S20" s="103">
        <f>R24</f>
        <v>10350.5311396841</v>
      </c>
      <c r="T20" s="103">
        <f>R20*$B$3</f>
        <v>0.338206429234716</v>
      </c>
      <c r="U20" s="103">
        <f>S20*$B$3</f>
        <v>1035.053113968410</v>
      </c>
      <c r="V20" s="104">
        <v>3060.356191</v>
      </c>
      <c r="W20" s="52">
        <f>IF((LOG(1/(C24*C24*10^12/2^96/2^96)*10^12,1.0001)-FLOOR(LOG(1/(C24*C24*10^12/2^96/2^96)*10^12,1.0001)/60,1)*60)&gt;(CEILING(LOG(1/(C24*C24*10^12/2^96/2^96)*10^12,1.0001)/60,1)*60)-(LOG(1/(C24*C24*10^12/2^96/2^96)*10^12,1.0001)),CEILING(LOG(1/(C24*C24*10^12/2^96/2^96)*10^12,1.0001)/60,1)*60,FLOOR(LOG(1/(C24*C24*10^12/2^96/2^96)*10^12,1.0001)/60,1)*60)</f>
        <v>198180</v>
      </c>
      <c r="X20" s="52">
        <f>IF((LOG(1/(D24*D24*10^12/2^96/2^96)*10^12,1.0001)-FLOOR(LOG(1/(D24*D24*10^12/2^96/2^96)*10^12,1.0001)/60,1)*60)&gt;(CEILING(LOG(1/(D24*D24*10^12/2^96/2^96)*10^12,1.0001)/60,1)*60)-(LOG(1/(D24*D24*10^12/2^96/2^96)*10^12,1.0001)),CEILING(LOG(1/(D24*D24*10^12/2^96/2^96)*10^12,1.0001)/60,1)*60,FLOOR(LOG(1/(D24*D24*10^12/2^96/2^96)*10^12,1.0001)/60,1)*60)</f>
        <v>193920</v>
      </c>
      <c r="Y20" s="53">
        <f>(G24/T20)-1</f>
        <v>0.0134136270423754</v>
      </c>
      <c r="Z20" s="54">
        <f>(H24/U20)-1</f>
        <v>0.00696812127628662</v>
      </c>
    </row>
    <row r="21" ht="21.7" customHeight="1">
      <c r="A21" t="s" s="55">
        <v>28</v>
      </c>
      <c r="B21" t="s" s="56">
        <v>29</v>
      </c>
      <c r="C21" t="s" s="57">
        <v>30</v>
      </c>
      <c r="D21" t="s" s="57">
        <v>31</v>
      </c>
      <c r="E21" t="s" s="58">
        <v>32</v>
      </c>
      <c r="F21" t="s" s="58">
        <v>33</v>
      </c>
      <c r="G21" t="s" s="57">
        <v>34</v>
      </c>
      <c r="H21" t="s" s="57">
        <v>35</v>
      </c>
      <c r="I21" t="s" s="57">
        <v>36</v>
      </c>
      <c r="J21" t="s" s="57">
        <v>37</v>
      </c>
      <c r="K21" t="s" s="57">
        <v>38</v>
      </c>
      <c r="L21" t="s" s="57">
        <v>39</v>
      </c>
      <c r="M21" t="s" s="57">
        <v>40</v>
      </c>
      <c r="N21" t="s" s="59">
        <v>41</v>
      </c>
      <c r="O21" t="s" s="60">
        <v>42</v>
      </c>
      <c r="P21" s="61"/>
      <c r="Q21" s="61"/>
      <c r="R21" s="62"/>
      <c r="S21" s="63"/>
      <c r="T21" s="64"/>
      <c r="U21" s="36"/>
      <c r="V21" s="36"/>
      <c r="W21" s="36"/>
      <c r="X21" s="65"/>
      <c r="Y21" s="63"/>
      <c r="Z21" s="66"/>
    </row>
    <row r="22" ht="21.7" customHeight="1">
      <c r="A22" s="67"/>
      <c r="B22" s="68">
        <f>SQRT(B20*10^6/10^18)*2^96</f>
        <v>4.38294046917908e+24</v>
      </c>
      <c r="C22" s="105">
        <f>B22-$B$3*F22*POWER(2,96)/L22</f>
        <v>3.94464642226117e+24</v>
      </c>
      <c r="D22" s="72">
        <f>M22*B22/N22</f>
        <v>4.86997998604707e+24</v>
      </c>
      <c r="E22" s="71">
        <f t="shared" si="29"/>
        <v>3.26787207467537e+18</v>
      </c>
      <c r="F22" s="71">
        <f t="shared" si="30"/>
        <v>10000000000</v>
      </c>
      <c r="G22" s="71">
        <f>(M22-(M22*B22)/(SQRT(1/(1.0001^D20)*2^96*2^96/10^6)*10^3))/B22/10^18</f>
        <v>0.331142378238987</v>
      </c>
      <c r="H22" s="71">
        <f>(B22-(SQRT(1/(1.0001^C20)*2^96*2^96)))*L22/POWER(2,96)/10^6</f>
        <v>1006.988526748470</v>
      </c>
      <c r="I22" s="69">
        <v>1e+99</v>
      </c>
      <c r="J22" s="69">
        <f>(E22)*(B22*I22)/POWER(2,96)/(I22-B22)</f>
        <v>180780271934442.1</v>
      </c>
      <c r="K22" s="72">
        <f>(F22)*POWER(2,96)/(B22-0)</f>
        <v>180764861105000.8</v>
      </c>
      <c r="L22" s="72">
        <f>MIN(J22,K22)</f>
        <v>180764861105000.8</v>
      </c>
      <c r="M22" s="72">
        <f>L22*POWER(2,96)</f>
        <v>1.43216677924954e+43</v>
      </c>
      <c r="N22" s="106">
        <f>M22-(0.1*E22)*B22</f>
        <v>1.28893789160759e+43</v>
      </c>
      <c r="O22" t="s" s="74">
        <v>43</v>
      </c>
      <c r="P22" s="63"/>
      <c r="Q22" t="s" s="74">
        <v>44</v>
      </c>
      <c r="R22" s="63"/>
      <c r="S22" t="s" s="74">
        <v>45</v>
      </c>
      <c r="T22" s="75"/>
      <c r="U22" s="35"/>
      <c r="V22" s="35"/>
      <c r="W22" s="35"/>
      <c r="X22" s="76"/>
      <c r="Y22" s="63"/>
      <c r="Z22" s="66"/>
    </row>
    <row r="23" ht="20.85" customHeight="1">
      <c r="A23" t="s" s="55">
        <v>46</v>
      </c>
      <c r="B23" t="s" s="56">
        <v>47</v>
      </c>
      <c r="C23" t="s" s="57">
        <v>30</v>
      </c>
      <c r="D23" t="s" s="57">
        <v>31</v>
      </c>
      <c r="E23" t="s" s="57">
        <v>32</v>
      </c>
      <c r="F23" t="s" s="57">
        <v>33</v>
      </c>
      <c r="G23" t="s" s="57">
        <v>34</v>
      </c>
      <c r="H23" t="s" s="57">
        <v>35</v>
      </c>
      <c r="I23" t="s" s="57">
        <v>36</v>
      </c>
      <c r="J23" t="s" s="57">
        <v>37</v>
      </c>
      <c r="K23" t="s" s="57">
        <v>38</v>
      </c>
      <c r="L23" t="s" s="57">
        <v>39</v>
      </c>
      <c r="M23" t="s" s="57">
        <v>40</v>
      </c>
      <c r="N23" t="s" s="59">
        <v>41</v>
      </c>
      <c r="O23" t="s" s="56">
        <v>48</v>
      </c>
      <c r="P23" s="77">
        <f>K20</f>
        <v>3.26787207467537</v>
      </c>
      <c r="Q23" s="78">
        <f>P23*O20</f>
        <v>10000.8525351288</v>
      </c>
      <c r="R23" s="79">
        <f>P23+(S23/O20)</f>
        <v>3.38206429234716</v>
      </c>
      <c r="S23" s="79">
        <f>(P24-Q23)/2*(1-0.0003)</f>
        <v>349.468860315869</v>
      </c>
      <c r="T23" s="75"/>
      <c r="U23" s="35"/>
      <c r="V23" s="35"/>
      <c r="W23" s="35"/>
      <c r="X23" s="76"/>
      <c r="Y23" s="63"/>
      <c r="Z23" s="66"/>
    </row>
    <row r="24" ht="21.35" customHeight="1">
      <c r="A24" s="80"/>
      <c r="B24" s="81">
        <f>SQRT(V20*10^6/10^18)*2^96</f>
        <v>4.38294046929997e+24</v>
      </c>
      <c r="C24" s="82">
        <f>B24-$B$3*F24*POWER(2,96)/L24</f>
        <v>3.94463754055384e+24</v>
      </c>
      <c r="D24" s="82">
        <f>M24*B24/N24</f>
        <v>4.86993385477776e+24</v>
      </c>
      <c r="E24" s="82">
        <f>R20*10^18</f>
        <v>3.38206429234716e+18</v>
      </c>
      <c r="F24" s="82">
        <f>S20*10^6</f>
        <v>10350531139.6841</v>
      </c>
      <c r="G24" s="83">
        <f>(M24-(M24*B24)/(SQRT(1/(1.0001^X20)*2^96*2^96/10^6)*10^3))/B24/10^18</f>
        <v>0.342743004139804</v>
      </c>
      <c r="H24" s="83">
        <f>(B24-(SQRT(1/(1.0001^W20)*2^96*2^96)))*L24/POWER(2,96)/10^6</f>
        <v>1042.265489593940</v>
      </c>
      <c r="I24" s="107">
        <v>1e+99</v>
      </c>
      <c r="J24" s="84">
        <f>(E24)*(B24*I24)/POWER(2,96)/(I24-B24)</f>
        <v>187097440938806.5</v>
      </c>
      <c r="K24" s="82">
        <f>(F24)*POWER(2,96)/(B24-0)</f>
        <v>187101232377637.6</v>
      </c>
      <c r="L24" s="84">
        <f>MIN(J24,K24)</f>
        <v>187097440938806.5</v>
      </c>
      <c r="M24" s="84">
        <f>L24*POWER(2,96)</f>
        <v>1.48233864567027e+43</v>
      </c>
      <c r="N24" s="85">
        <f>M24-(0.1*E24)*B24</f>
        <v>1.33410478110324e+43</v>
      </c>
      <c r="O24" t="s" s="86">
        <v>49</v>
      </c>
      <c r="P24" s="87">
        <f>L20</f>
        <v>10700</v>
      </c>
      <c r="Q24" s="88">
        <f>P24/O20</f>
        <v>3.49632504591032</v>
      </c>
      <c r="R24" s="89">
        <f>P24-S23</f>
        <v>10350.5311396841</v>
      </c>
      <c r="S24" s="90"/>
      <c r="T24" s="91"/>
      <c r="U24" s="20"/>
      <c r="V24" s="20"/>
      <c r="W24" s="20"/>
      <c r="X24" s="92"/>
      <c r="Y24" s="93"/>
      <c r="Z24" s="94"/>
    </row>
    <row r="25" ht="21.3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21.3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9.5" customHeight="1">
      <c r="A27" s="95"/>
      <c r="B27" t="s" s="96">
        <v>51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97"/>
      <c r="Z27" s="98"/>
    </row>
    <row r="28" ht="21.95" customHeight="1">
      <c r="A28" s="99"/>
      <c r="B28" s="34"/>
      <c r="C28" s="34"/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4"/>
      <c r="W28" s="34"/>
      <c r="X28" s="34"/>
      <c r="Y28" s="29"/>
      <c r="Z28" s="100"/>
    </row>
    <row r="29" ht="21.7" customHeight="1">
      <c r="A29" s="38"/>
      <c r="B29" t="s" s="39">
        <v>4</v>
      </c>
      <c r="C29" s="101">
        <f>0.81*B31</f>
        <v>2478.888514573250</v>
      </c>
      <c r="D29" s="102">
        <f>B31/0.81</f>
        <v>3778.217519544650</v>
      </c>
      <c r="E29" s="42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43"/>
      <c r="V29" t="s" s="39">
        <v>4</v>
      </c>
      <c r="W29" s="101">
        <f>0.81*V31</f>
        <v>2478.88851471</v>
      </c>
      <c r="X29" s="102">
        <f>V31/0.81</f>
        <v>3778.217519753090</v>
      </c>
      <c r="Y29" s="44"/>
      <c r="Z29" s="45"/>
    </row>
    <row r="30" ht="23.8" customHeight="1">
      <c r="A30" s="38"/>
      <c r="B30" t="s" s="46">
        <v>5</v>
      </c>
      <c r="C30" t="s" s="47">
        <v>6</v>
      </c>
      <c r="D30" t="s" s="47">
        <v>7</v>
      </c>
      <c r="E30" t="s" s="47">
        <v>8</v>
      </c>
      <c r="F30" t="s" s="47">
        <v>9</v>
      </c>
      <c r="G30" t="s" s="47">
        <v>10</v>
      </c>
      <c r="H30" t="s" s="47">
        <v>11</v>
      </c>
      <c r="I30" t="s" s="47">
        <v>12</v>
      </c>
      <c r="J30" t="s" s="47">
        <v>13</v>
      </c>
      <c r="K30" t="s" s="47">
        <v>14</v>
      </c>
      <c r="L30" t="s" s="47">
        <v>15</v>
      </c>
      <c r="M30" t="s" s="47">
        <v>16</v>
      </c>
      <c r="N30" t="s" s="47">
        <v>17</v>
      </c>
      <c r="O30" t="s" s="48">
        <v>18</v>
      </c>
      <c r="P30" t="s" s="47">
        <v>19</v>
      </c>
      <c r="Q30" t="s" s="47">
        <v>20</v>
      </c>
      <c r="R30" t="s" s="47">
        <v>21</v>
      </c>
      <c r="S30" t="s" s="47">
        <v>22</v>
      </c>
      <c r="T30" t="s" s="47">
        <v>23</v>
      </c>
      <c r="U30" t="s" s="47">
        <v>24</v>
      </c>
      <c r="V30" t="s" s="48">
        <v>25</v>
      </c>
      <c r="W30" t="s" s="47">
        <v>26</v>
      </c>
      <c r="X30" t="s" s="47">
        <v>27</v>
      </c>
      <c r="Y30" t="s" s="47">
        <v>10</v>
      </c>
      <c r="Z30" t="s" s="49">
        <v>11</v>
      </c>
    </row>
    <row r="31" ht="40.4" customHeight="1">
      <c r="A31" s="50"/>
      <c r="B31" s="108">
        <f t="shared" si="5"/>
        <v>3060.356190831170</v>
      </c>
      <c r="C31" s="52">
        <f>IF((LOG(1/(C33*C33*10^12/2^96/2^96)*10^12,1.0001)-FLOOR(LOG(1/(C33*C33*10^12/2^96/2^96)*10^12,1.0001)/60,1)*60)&gt;(CEILING(LOG(1/(C33*C33*10^12/2^96/2^96)*10^12,1.0001)/60,1)*60)-(LOG(1/(C33*C33*10^12/2^96/2^96)*10^12,1.0001)),CEILING(LOG(1/(C33*C33*10^12/2^96/2^96)*10^12,1.0001)/60,1)*60,FLOOR(LOG(1/(C33*C33*10^12/2^96/2^96)*10^12,1.0001)/60,1)*60)</f>
        <v>198180</v>
      </c>
      <c r="D31" s="52">
        <f>IF((LOG(1/(D33*D33*10^12/2^96/2^96)*10^12,1.0001)-FLOOR(LOG(1/(D33*D33*10^12/2^96/2^96)*10^12,1.0001)/60,1)*60)&gt;(CEILING(LOG(1/(D33*D33*10^12/2^96/2^96)*10^12,1.0001)/60,1)*60)-(LOG(1/(D33*D33*10^12/2^96/2^96)*10^12,1.0001)),CEILING(LOG(1/(D33*D33*10^12/2^96/2^96)*10^12,1.0001)/60,1)*60,FLOOR(LOG(1/(D33*D33*10^12/2^96/2^96)*10^12,1.0001)/60,1)*60)</f>
        <v>193920</v>
      </c>
      <c r="E31" s="103">
        <f>E33*$B$3*10^-18</f>
        <v>0.326787207467537</v>
      </c>
      <c r="F31" s="103">
        <f>F33*$B$3*10^-6</f>
        <v>1000</v>
      </c>
      <c r="G31" s="53">
        <f>((G33/E33)-(E31/E33))*10^18</f>
        <v>0.00133272376394435</v>
      </c>
      <c r="H31" s="53">
        <f>((H33/F33)-(F31/F33))*10^6</f>
        <v>0.000698852674847</v>
      </c>
      <c r="I31" s="103">
        <f>E33*$C$3*10^-18</f>
        <v>2.94108486720783</v>
      </c>
      <c r="J31" s="103">
        <f>F33*$C$3*10^-6</f>
        <v>9000</v>
      </c>
      <c r="K31" s="103">
        <f>E31+I31+M31</f>
        <v>3.51787207467537</v>
      </c>
      <c r="L31" s="103">
        <f>F31+J31+N31</f>
        <v>10000</v>
      </c>
      <c r="M31" s="104">
        <v>0.25</v>
      </c>
      <c r="N31" s="104">
        <v>0</v>
      </c>
      <c r="O31" s="104">
        <v>3060.356191</v>
      </c>
      <c r="P31" s="103">
        <f>IF(S34&lt;0,ABS(S34)/O31,0)</f>
        <v>0.125101745126232</v>
      </c>
      <c r="Q31" s="104">
        <f>IF(S34&gt;0,S34,0)</f>
        <v>0</v>
      </c>
      <c r="R31" s="103">
        <f>R34</f>
        <v>3.39277032954914</v>
      </c>
      <c r="S31" s="103">
        <f>R35</f>
        <v>10382.855900202</v>
      </c>
      <c r="T31" s="103">
        <f>R31*$B$3</f>
        <v>0.339277032954914</v>
      </c>
      <c r="U31" s="103">
        <f>S31*$B$3</f>
        <v>1038.2855900202</v>
      </c>
      <c r="V31" s="104">
        <v>3060.356191</v>
      </c>
      <c r="W31" s="52">
        <f>IF((LOG(1/(C35*C35*10^12/2^96/2^96)*10^12,1.0001)-FLOOR(LOG(1/(C35*C35*10^12/2^96/2^96)*10^12,1.0001)/60,1)*60)&gt;(CEILING(LOG(1/(C35*C35*10^12/2^96/2^96)*10^12,1.0001)/60,1)*60)-(LOG(1/(C35*C35*10^12/2^96/2^96)*10^12,1.0001)),CEILING(LOG(1/(C35*C35*10^12/2^96/2^96)*10^12,1.0001)/60,1)*60,FLOOR(LOG(1/(C35*C35*10^12/2^96/2^96)*10^12,1.0001)/60,1)*60)</f>
        <v>198180</v>
      </c>
      <c r="X31" s="52">
        <f>IF((LOG(1/(D35*D35*10^12/2^96/2^96)*10^12,1.0001)-FLOOR(LOG(1/(D35*D35*10^12/2^96/2^96)*10^12,1.0001)/60,1)*60)&gt;(CEILING(LOG(1/(D35*D35*10^12/2^96/2^96)*10^12,1.0001)/60,1)*60)-(LOG(1/(D35*D35*10^12/2^96/2^96)*10^12,1.0001)),CEILING(LOG(1/(D35*D35*10^12/2^96/2^96)*10^12,1.0001)/60,1)*60,FLOOR(LOG(1/(D35*D35*10^12/2^96/2^96)*10^12,1.0001)/60,1)*60)</f>
        <v>193920</v>
      </c>
      <c r="Y31" s="53">
        <f>(G35/T31)-1</f>
        <v>0.0133911997314294</v>
      </c>
      <c r="Z31" s="54">
        <f>(H35/U31)-1</f>
        <v>0.00698852699651628</v>
      </c>
    </row>
    <row r="32" ht="21.7" customHeight="1">
      <c r="A32" t="s" s="55">
        <v>28</v>
      </c>
      <c r="B32" t="s" s="56">
        <v>29</v>
      </c>
      <c r="C32" t="s" s="57">
        <v>30</v>
      </c>
      <c r="D32" t="s" s="57">
        <v>31</v>
      </c>
      <c r="E32" t="s" s="58">
        <v>32</v>
      </c>
      <c r="F32" t="s" s="58">
        <v>33</v>
      </c>
      <c r="G32" t="s" s="57">
        <v>34</v>
      </c>
      <c r="H32" t="s" s="57">
        <v>35</v>
      </c>
      <c r="I32" t="s" s="57">
        <v>36</v>
      </c>
      <c r="J32" t="s" s="57">
        <v>37</v>
      </c>
      <c r="K32" t="s" s="57">
        <v>38</v>
      </c>
      <c r="L32" t="s" s="57">
        <v>39</v>
      </c>
      <c r="M32" t="s" s="57">
        <v>40</v>
      </c>
      <c r="N32" t="s" s="59">
        <v>41</v>
      </c>
      <c r="O32" t="s" s="60">
        <v>42</v>
      </c>
      <c r="P32" s="61"/>
      <c r="Q32" s="61"/>
      <c r="R32" s="62"/>
      <c r="S32" s="63"/>
      <c r="T32" s="64"/>
      <c r="U32" s="36"/>
      <c r="V32" s="36"/>
      <c r="W32" s="36"/>
      <c r="X32" s="65"/>
      <c r="Y32" s="63"/>
      <c r="Z32" s="66"/>
    </row>
    <row r="33" ht="21.7" customHeight="1">
      <c r="A33" s="67"/>
      <c r="B33" s="68">
        <f>SQRT(B31*10^6/10^18)*2^96</f>
        <v>4.38294046917908e+24</v>
      </c>
      <c r="C33" s="105">
        <f>B33-$B$3*F33*POWER(2,96)/L33</f>
        <v>3.94464642226117e+24</v>
      </c>
      <c r="D33" s="72">
        <f>M33*B33/N33</f>
        <v>4.86997998604707e+24</v>
      </c>
      <c r="E33" s="71">
        <f t="shared" si="29"/>
        <v>3.26787207467537e+18</v>
      </c>
      <c r="F33" s="71">
        <f t="shared" si="30"/>
        <v>10000000000</v>
      </c>
      <c r="G33" s="71">
        <f>(M33-(M33*B33)/(SQRT(1/(1.0001^D31)*2^96*2^96/10^6)*10^3))/B33/10^18</f>
        <v>0.331142378238987</v>
      </c>
      <c r="H33" s="71">
        <f>(B33-(SQRT(1/(1.0001^C31)*2^96*2^96)))*L33/POWER(2,96)/10^6</f>
        <v>1006.988526748470</v>
      </c>
      <c r="I33" s="69">
        <v>1e+99</v>
      </c>
      <c r="J33" s="69">
        <f>(E33)*(B33*I33)/POWER(2,96)/(I33-B33)</f>
        <v>180780271934442.1</v>
      </c>
      <c r="K33" s="72">
        <f>(F33)*POWER(2,96)/(B33-0)</f>
        <v>180764861105000.8</v>
      </c>
      <c r="L33" s="72">
        <f>MIN(J33,K33)</f>
        <v>180764861105000.8</v>
      </c>
      <c r="M33" s="72">
        <f>L33*POWER(2,96)</f>
        <v>1.43216677924954e+43</v>
      </c>
      <c r="N33" s="106">
        <f>M33-(0.1*E33)*B33</f>
        <v>1.28893789160759e+43</v>
      </c>
      <c r="O33" t="s" s="74">
        <v>43</v>
      </c>
      <c r="P33" s="63"/>
      <c r="Q33" t="s" s="74">
        <v>44</v>
      </c>
      <c r="R33" s="63"/>
      <c r="S33" t="s" s="74">
        <v>45</v>
      </c>
      <c r="T33" s="75"/>
      <c r="U33" s="35"/>
      <c r="V33" s="35"/>
      <c r="W33" s="35"/>
      <c r="X33" s="76"/>
      <c r="Y33" s="63"/>
      <c r="Z33" s="66"/>
    </row>
    <row r="34" ht="20.85" customHeight="1">
      <c r="A34" t="s" s="55">
        <v>46</v>
      </c>
      <c r="B34" t="s" s="56">
        <v>47</v>
      </c>
      <c r="C34" t="s" s="57">
        <v>30</v>
      </c>
      <c r="D34" t="s" s="57">
        <v>31</v>
      </c>
      <c r="E34" t="s" s="57">
        <v>32</v>
      </c>
      <c r="F34" t="s" s="57">
        <v>33</v>
      </c>
      <c r="G34" t="s" s="57">
        <v>34</v>
      </c>
      <c r="H34" t="s" s="57">
        <v>35</v>
      </c>
      <c r="I34" t="s" s="57">
        <v>36</v>
      </c>
      <c r="J34" t="s" s="57">
        <v>37</v>
      </c>
      <c r="K34" t="s" s="57">
        <v>38</v>
      </c>
      <c r="L34" t="s" s="57">
        <v>39</v>
      </c>
      <c r="M34" t="s" s="57">
        <v>40</v>
      </c>
      <c r="N34" t="s" s="59">
        <v>41</v>
      </c>
      <c r="O34" t="s" s="56">
        <v>48</v>
      </c>
      <c r="P34" s="77">
        <f>K31</f>
        <v>3.51787207467537</v>
      </c>
      <c r="Q34" s="78">
        <f>P34*O31</f>
        <v>10765.9415828788</v>
      </c>
      <c r="R34" s="79">
        <f>P34+(S34/O31)</f>
        <v>3.39277032954914</v>
      </c>
      <c r="S34" s="79">
        <f>(P35-Q34)/2*(1-0.0003)</f>
        <v>-382.855900201968</v>
      </c>
      <c r="T34" s="75"/>
      <c r="U34" s="35"/>
      <c r="V34" s="35"/>
      <c r="W34" s="35"/>
      <c r="X34" s="76"/>
      <c r="Y34" s="63"/>
      <c r="Z34" s="66"/>
    </row>
    <row r="35" ht="21.35" customHeight="1">
      <c r="A35" s="80"/>
      <c r="B35" s="81">
        <f>SQRT(V31*10^6/10^18)*2^96</f>
        <v>4.38294046929997e+24</v>
      </c>
      <c r="C35" s="82">
        <f>B35-$B$3*F35*POWER(2,96)/L35</f>
        <v>3.94464642236997e+24</v>
      </c>
      <c r="D35" s="82">
        <f>M35*B35/N35</f>
        <v>4.869945829948e+24</v>
      </c>
      <c r="E35" s="82">
        <f>R31*10^18</f>
        <v>3.39277032954914e+18</v>
      </c>
      <c r="F35" s="82">
        <f>S31*10^6</f>
        <v>10382855900.202</v>
      </c>
      <c r="G35" s="83">
        <f>(M35-(M35*B35)/(SQRT(1/(1.0001^X31)*2^96*2^96/10^6)*10^3))/B35/10^18</f>
        <v>0.3438203594675</v>
      </c>
      <c r="H35" s="83">
        <f>(B35-(SQRT(1/(1.0001^W31)*2^96*2^96)))*L35/POWER(2,96)/10^6</f>
        <v>1045.541676896150</v>
      </c>
      <c r="I35" s="107">
        <v>1e+99</v>
      </c>
      <c r="J35" s="84">
        <f>(E35)*(B35*I35)/POWER(2,96)/(I35-B35)</f>
        <v>187689704121862.6</v>
      </c>
      <c r="K35" s="82">
        <f>(F35)*POWER(2,96)/(B35-0)</f>
        <v>187685550462148.5</v>
      </c>
      <c r="L35" s="82">
        <f>MIN(J35,K35)</f>
        <v>187685550462148.5</v>
      </c>
      <c r="M35" s="82">
        <f>L35*POWER(2,96)</f>
        <v>1.48699812935943e+43</v>
      </c>
      <c r="N35" s="85">
        <f>M35-(0.1*E35)*B35</f>
        <v>1.33829502555522e+43</v>
      </c>
      <c r="O35" t="s" s="86">
        <v>49</v>
      </c>
      <c r="P35" s="87">
        <f>L31</f>
        <v>10000</v>
      </c>
      <c r="Q35" s="88">
        <f>P35/O31</f>
        <v>3.26759350085076</v>
      </c>
      <c r="R35" s="89">
        <f>P35-S34</f>
        <v>10382.855900202</v>
      </c>
      <c r="S35" s="90"/>
      <c r="T35" s="91"/>
      <c r="U35" s="20"/>
      <c r="V35" s="20"/>
      <c r="W35" s="20"/>
      <c r="X35" s="92"/>
      <c r="Y35" s="93"/>
      <c r="Z35" s="94"/>
    </row>
    <row r="36" ht="21.3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21.3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9.5" customHeight="1">
      <c r="A38" s="95"/>
      <c r="B38" t="s" s="96">
        <v>52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97"/>
      <c r="Z38" s="98"/>
    </row>
    <row r="39" ht="21.95" customHeight="1">
      <c r="A39" s="99"/>
      <c r="B39" s="34"/>
      <c r="C39" s="34"/>
      <c r="D39" s="34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4"/>
      <c r="W39" s="34"/>
      <c r="X39" s="34"/>
      <c r="Y39" s="29"/>
      <c r="Z39" s="100"/>
    </row>
    <row r="40" ht="21.7" customHeight="1">
      <c r="A40" s="38"/>
      <c r="B40" t="s" s="39">
        <v>4</v>
      </c>
      <c r="C40" s="101">
        <f>0.81*B42</f>
        <v>2478.888514573250</v>
      </c>
      <c r="D40" s="102">
        <f>B42/0.81</f>
        <v>3778.217519544650</v>
      </c>
      <c r="E40" s="42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43"/>
      <c r="V40" t="s" s="39">
        <v>4</v>
      </c>
      <c r="W40" s="101">
        <f>0.81*V42</f>
        <v>2478.88851471</v>
      </c>
      <c r="X40" s="102">
        <f>V42/0.81</f>
        <v>3778.217519753090</v>
      </c>
      <c r="Y40" s="44"/>
      <c r="Z40" s="45"/>
    </row>
    <row r="41" ht="23.8" customHeight="1">
      <c r="A41" s="38"/>
      <c r="B41" t="s" s="46">
        <v>5</v>
      </c>
      <c r="C41" t="s" s="47">
        <v>6</v>
      </c>
      <c r="D41" t="s" s="47">
        <v>7</v>
      </c>
      <c r="E41" t="s" s="47">
        <v>8</v>
      </c>
      <c r="F41" t="s" s="47">
        <v>9</v>
      </c>
      <c r="G41" t="s" s="47">
        <v>10</v>
      </c>
      <c r="H41" t="s" s="47">
        <v>11</v>
      </c>
      <c r="I41" t="s" s="47">
        <v>12</v>
      </c>
      <c r="J41" t="s" s="47">
        <v>13</v>
      </c>
      <c r="K41" t="s" s="47">
        <v>14</v>
      </c>
      <c r="L41" t="s" s="47">
        <v>15</v>
      </c>
      <c r="M41" t="s" s="47">
        <v>16</v>
      </c>
      <c r="N41" t="s" s="47">
        <v>17</v>
      </c>
      <c r="O41" t="s" s="48">
        <v>18</v>
      </c>
      <c r="P41" t="s" s="47">
        <v>19</v>
      </c>
      <c r="Q41" t="s" s="47">
        <v>20</v>
      </c>
      <c r="R41" t="s" s="47">
        <v>21</v>
      </c>
      <c r="S41" t="s" s="47">
        <v>22</v>
      </c>
      <c r="T41" t="s" s="47">
        <v>23</v>
      </c>
      <c r="U41" t="s" s="47">
        <v>24</v>
      </c>
      <c r="V41" t="s" s="48">
        <v>25</v>
      </c>
      <c r="W41" t="s" s="47">
        <v>26</v>
      </c>
      <c r="X41" t="s" s="47">
        <v>27</v>
      </c>
      <c r="Y41" t="s" s="47">
        <v>10</v>
      </c>
      <c r="Z41" t="s" s="49">
        <v>11</v>
      </c>
    </row>
    <row r="42" ht="40.75" customHeight="1">
      <c r="A42" s="50"/>
      <c r="B42" s="108">
        <f t="shared" si="5"/>
        <v>3060.356190831170</v>
      </c>
      <c r="C42" s="52">
        <f>IF((LOG(1/(C44*C44*10^12/2^96/2^96)*10^12,1.0001)-FLOOR(LOG(1/(C44*C44*10^12/2^96/2^96)*10^12,1.0001)/60,1)*60)&gt;(CEILING(LOG(1/(C44*C44*10^12/2^96/2^96)*10^12,1.0001)/60,1)*60)-(LOG(1/(C44*C44*10^12/2^96/2^96)*10^12,1.0001)),CEILING(LOG(1/(C44*C44*10^12/2^96/2^96)*10^12,1.0001)/60,1)*60,FLOOR(LOG(1/(C44*C44*10^12/2^96/2^96)*10^12,1.0001)/60,1)*60)</f>
        <v>198180</v>
      </c>
      <c r="D42" s="52">
        <f>IF((LOG(1/(D44*D44*10^12/2^96/2^96)*10^12,1.0001)-FLOOR(LOG(1/(D44*D44*10^12/2^96/2^96)*10^12,1.0001)/60,1)*60)&gt;(CEILING(LOG(1/(D44*D44*10^12/2^96/2^96)*10^12,1.0001)/60,1)*60)-(LOG(1/(D44*D44*10^12/2^96/2^96)*10^12,1.0001)),CEILING(LOG(1/(D44*D44*10^12/2^96/2^96)*10^12,1.0001)/60,1)*60,FLOOR(LOG(1/(D44*D44*10^12/2^96/2^96)*10^12,1.0001)/60,1)*60)</f>
        <v>193920</v>
      </c>
      <c r="E42" s="103">
        <f>E44*$B$3*10^-18</f>
        <v>0.326787207467537</v>
      </c>
      <c r="F42" s="103">
        <f>F44*$B$3*10^-6</f>
        <v>1000</v>
      </c>
      <c r="G42" s="53">
        <f>((G44/E44)-(E42/E44))*10^18</f>
        <v>0.00133272376394435</v>
      </c>
      <c r="H42" s="53">
        <f>((H44/F44)-(F42/F44))*10^6</f>
        <v>0.000698852674847</v>
      </c>
      <c r="I42" s="103">
        <f>E44*$C$3*10^-18</f>
        <v>2.94108486720783</v>
      </c>
      <c r="J42" s="103">
        <f>F44*$C$3*10^-6</f>
        <v>9000</v>
      </c>
      <c r="K42" s="103">
        <f>E42+I42+M42</f>
        <v>3.26787207467537</v>
      </c>
      <c r="L42" s="103">
        <f>F42+J42+N42</f>
        <v>7900</v>
      </c>
      <c r="M42" s="104">
        <v>0</v>
      </c>
      <c r="N42" s="104">
        <v>-2100</v>
      </c>
      <c r="O42" s="104">
        <v>3060.356191</v>
      </c>
      <c r="P42" s="103">
        <f>IF(S45&lt;0,ABS(S45)/O42,0)</f>
        <v>0.343133633520285</v>
      </c>
      <c r="Q42" s="104">
        <f>IF(S45&gt;0,S45,0)</f>
        <v>0</v>
      </c>
      <c r="R42" s="103">
        <f>R45</f>
        <v>2.92473844115508</v>
      </c>
      <c r="S42" s="103">
        <f>R46</f>
        <v>8950.111139684130</v>
      </c>
      <c r="T42" s="103">
        <f>R42*$B$3</f>
        <v>0.292473844115508</v>
      </c>
      <c r="U42" s="103">
        <f>S42*$B$3</f>
        <v>895.011113968413</v>
      </c>
      <c r="V42" s="104">
        <v>3060.356191</v>
      </c>
      <c r="W42" s="52">
        <f>IF((LOG(1/(C46*C46*10^12/2^96/2^96)*10^12,1.0001)-FLOOR(LOG(1/(C46*C46*10^12/2^96/2^96)*10^12,1.0001)/60,1)*60)&gt;(CEILING(LOG(1/(C46*C46*10^12/2^96/2^96)*10^12,1.0001)/60,1)*60)-(LOG(1/(C46*C46*10^12/2^96/2^96)*10^12,1.0001)),CEILING(LOG(1/(C46*C46*10^12/2^96/2^96)*10^12,1.0001)/60,1)*60,FLOOR(LOG(1/(C46*C46*10^12/2^96/2^96)*10^12,1.0001)/60,1)*60)</f>
        <v>198180</v>
      </c>
      <c r="X42" s="52">
        <f>IF((LOG(1/(D46*D46*10^12/2^96/2^96)*10^12,1.0001)-FLOOR(LOG(1/(D46*D46*10^12/2^96/2^96)*10^12,1.0001)/60,1)*60)&gt;(CEILING(LOG(1/(D46*D46*10^12/2^96/2^96)*10^12,1.0001)/60,1)*60)-(LOG(1/(D46*D46*10^12/2^96/2^96)*10^12,1.0001)),CEILING(LOG(1/(D46*D46*10^12/2^96/2^96)*10^12,1.0001)/60,1)*60,FLOOR(LOG(1/(D46*D46*10^12/2^96/2^96)*10^12,1.0001)/60,1)*60)</f>
        <v>193920</v>
      </c>
      <c r="Y42" s="53">
        <f>(G46/T42)-1</f>
        <v>0.013342268732714</v>
      </c>
      <c r="Z42" s="54">
        <f>(H46/U42)-1</f>
        <v>0.00698852699651923</v>
      </c>
    </row>
    <row r="43" ht="21.7" customHeight="1">
      <c r="A43" t="s" s="55">
        <v>28</v>
      </c>
      <c r="B43" t="s" s="56">
        <v>29</v>
      </c>
      <c r="C43" t="s" s="57">
        <v>30</v>
      </c>
      <c r="D43" t="s" s="57">
        <v>31</v>
      </c>
      <c r="E43" t="s" s="58">
        <v>32</v>
      </c>
      <c r="F43" t="s" s="58">
        <v>33</v>
      </c>
      <c r="G43" t="s" s="57">
        <v>34</v>
      </c>
      <c r="H43" t="s" s="57">
        <v>35</v>
      </c>
      <c r="I43" t="s" s="57">
        <v>36</v>
      </c>
      <c r="J43" t="s" s="57">
        <v>37</v>
      </c>
      <c r="K43" t="s" s="57">
        <v>38</v>
      </c>
      <c r="L43" t="s" s="57">
        <v>39</v>
      </c>
      <c r="M43" t="s" s="57">
        <v>40</v>
      </c>
      <c r="N43" t="s" s="59">
        <v>41</v>
      </c>
      <c r="O43" t="s" s="60">
        <v>42</v>
      </c>
      <c r="P43" s="61"/>
      <c r="Q43" s="61"/>
      <c r="R43" s="62"/>
      <c r="S43" s="63"/>
      <c r="T43" s="64"/>
      <c r="U43" s="36"/>
      <c r="V43" s="36"/>
      <c r="W43" s="36"/>
      <c r="X43" s="65"/>
      <c r="Y43" s="63"/>
      <c r="Z43" s="66"/>
    </row>
    <row r="44" ht="21.7" customHeight="1">
      <c r="A44" s="67"/>
      <c r="B44" s="68">
        <f>SQRT(B42*10^6/10^18)*2^96</f>
        <v>4.38294046917908e+24</v>
      </c>
      <c r="C44" s="105">
        <f>B44-$B$3*F44*POWER(2,96)/L44</f>
        <v>3.94464642226117e+24</v>
      </c>
      <c r="D44" s="72">
        <f>M44*B44/N44</f>
        <v>4.86997998604707e+24</v>
      </c>
      <c r="E44" s="71">
        <f t="shared" si="29"/>
        <v>3.26787207467537e+18</v>
      </c>
      <c r="F44" s="71">
        <f t="shared" si="30"/>
        <v>10000000000</v>
      </c>
      <c r="G44" s="71">
        <f>(M44-(M44*B44)/(SQRT(1/(1.0001^D42)*2^96*2^96/10^6)*10^3))/B44/10^18</f>
        <v>0.331142378238987</v>
      </c>
      <c r="H44" s="71">
        <f>(B44-(SQRT(1/(1.0001^C42)*2^96*2^96)))*L44/POWER(2,96)/10^6</f>
        <v>1006.988526748470</v>
      </c>
      <c r="I44" s="69">
        <v>1e+99</v>
      </c>
      <c r="J44" s="69">
        <f>(E44)*(B44*I44)/POWER(2,96)/(I44-B44)</f>
        <v>180780271934442.1</v>
      </c>
      <c r="K44" s="72">
        <f>(F44)*POWER(2,96)/(B44-0)</f>
        <v>180764861105000.8</v>
      </c>
      <c r="L44" s="72">
        <f>MIN(J44,K44)</f>
        <v>180764861105000.8</v>
      </c>
      <c r="M44" s="72">
        <f>L44*POWER(2,96)</f>
        <v>1.43216677924954e+43</v>
      </c>
      <c r="N44" s="106">
        <f>M44-(0.1*E44)*B44</f>
        <v>1.28893789160759e+43</v>
      </c>
      <c r="O44" t="s" s="74">
        <v>43</v>
      </c>
      <c r="P44" s="63"/>
      <c r="Q44" t="s" s="74">
        <v>44</v>
      </c>
      <c r="R44" s="63"/>
      <c r="S44" t="s" s="74">
        <v>45</v>
      </c>
      <c r="T44" s="75"/>
      <c r="U44" s="35"/>
      <c r="V44" s="35"/>
      <c r="W44" s="35"/>
      <c r="X44" s="76"/>
      <c r="Y44" s="63"/>
      <c r="Z44" s="66"/>
    </row>
    <row r="45" ht="20.85" customHeight="1">
      <c r="A45" t="s" s="55">
        <v>46</v>
      </c>
      <c r="B45" t="s" s="56">
        <v>47</v>
      </c>
      <c r="C45" t="s" s="57">
        <v>30</v>
      </c>
      <c r="D45" t="s" s="57">
        <v>31</v>
      </c>
      <c r="E45" t="s" s="57">
        <v>32</v>
      </c>
      <c r="F45" t="s" s="57">
        <v>33</v>
      </c>
      <c r="G45" t="s" s="57">
        <v>34</v>
      </c>
      <c r="H45" t="s" s="57">
        <v>35</v>
      </c>
      <c r="I45" t="s" s="57">
        <v>36</v>
      </c>
      <c r="J45" t="s" s="57">
        <v>37</v>
      </c>
      <c r="K45" t="s" s="57">
        <v>38</v>
      </c>
      <c r="L45" t="s" s="57">
        <v>39</v>
      </c>
      <c r="M45" t="s" s="57">
        <v>40</v>
      </c>
      <c r="N45" t="s" s="59">
        <v>41</v>
      </c>
      <c r="O45" t="s" s="56">
        <v>48</v>
      </c>
      <c r="P45" s="77">
        <f>K42</f>
        <v>3.26787207467537</v>
      </c>
      <c r="Q45" s="78">
        <f>P45*O42</f>
        <v>10000.8525351288</v>
      </c>
      <c r="R45" s="79">
        <f>P45+(S45/O42)</f>
        <v>2.92473844115508</v>
      </c>
      <c r="S45" s="79">
        <f>(P46-Q45)/2*(1-0.0003)</f>
        <v>-1050.111139684130</v>
      </c>
      <c r="T45" s="75"/>
      <c r="U45" s="35"/>
      <c r="V45" s="35"/>
      <c r="W45" s="35"/>
      <c r="X45" s="76"/>
      <c r="Y45" s="63"/>
      <c r="Z45" s="66"/>
    </row>
    <row r="46" ht="21.35" customHeight="1">
      <c r="A46" s="80"/>
      <c r="B46" s="81">
        <f>SQRT(V42*10^6/10^18)*2^96</f>
        <v>4.38294046929997e+24</v>
      </c>
      <c r="C46" s="82">
        <f>B46-$B$3*F46*POWER(2,96)/L46</f>
        <v>3.94464642236997e+24</v>
      </c>
      <c r="D46" s="82">
        <f>M46*B46/N46</f>
        <v>4.86997195893376e+24</v>
      </c>
      <c r="E46" s="82">
        <f>R42*10^18</f>
        <v>2.92473844115508e+18</v>
      </c>
      <c r="F46" s="82">
        <f>S42*10^6</f>
        <v>8950111139.68413</v>
      </c>
      <c r="G46" s="83">
        <f>(M46-(M46*B46)/(SQRT(1/(1.0001^X42)*2^96*2^96/10^6)*10^3))/B46/10^18</f>
        <v>0.296376108740987</v>
      </c>
      <c r="H46" s="83">
        <f>(B46-(SQRT(1/(1.0001^W42)*2^96*2^96)))*L46/POWER(2,96)/10^6</f>
        <v>901.265923300566</v>
      </c>
      <c r="I46" s="107">
        <v>1e+99</v>
      </c>
      <c r="J46" s="84">
        <f>(E46)*(B46*I46)/POWER(2,96)/(I46-B46)</f>
        <v>161797952508970.1</v>
      </c>
      <c r="K46" s="82">
        <f>(F46)*POWER(2,96)/(B46-0)</f>
        <v>161786559699469.8</v>
      </c>
      <c r="L46" s="82">
        <f>MIN(J46,K46)</f>
        <v>161786559699469.8</v>
      </c>
      <c r="M46" s="82">
        <f>L46*POWER(2,96)</f>
        <v>1.28180518444933e+43</v>
      </c>
      <c r="N46" s="85">
        <f>M46-(0.1*E46)*B46</f>
        <v>1.15361563969077e+43</v>
      </c>
      <c r="O46" t="s" s="86">
        <v>49</v>
      </c>
      <c r="P46" s="87">
        <f>L42</f>
        <v>7900</v>
      </c>
      <c r="Q46" s="88">
        <f>P46/O42</f>
        <v>2.5813988656721</v>
      </c>
      <c r="R46" s="89">
        <f>P46-S45</f>
        <v>8950.111139684130</v>
      </c>
      <c r="S46" s="90"/>
      <c r="T46" s="91"/>
      <c r="U46" s="20"/>
      <c r="V46" s="20"/>
      <c r="W46" s="20"/>
      <c r="X46" s="92"/>
      <c r="Y46" s="93"/>
      <c r="Z46" s="94"/>
    </row>
    <row r="47" ht="21.35" customHeight="1">
      <c r="A47" s="2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29"/>
      <c r="Y47" s="29"/>
      <c r="Z47" s="29"/>
    </row>
    <row r="48" ht="21.35" customHeight="1">
      <c r="A48" s="2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20"/>
      <c r="Y48" s="20"/>
      <c r="Z48" s="20"/>
    </row>
    <row r="49" ht="9.5" customHeight="1">
      <c r="A49" s="95"/>
      <c r="B49" t="s" s="96">
        <v>51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97"/>
      <c r="Z49" s="98"/>
    </row>
    <row r="50" ht="21.95" customHeight="1">
      <c r="A50" s="99"/>
      <c r="B50" s="34"/>
      <c r="C50" s="34"/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4"/>
      <c r="W50" s="34"/>
      <c r="X50" s="34"/>
      <c r="Y50" s="29"/>
      <c r="Z50" s="100"/>
    </row>
    <row r="51" ht="21.7" customHeight="1">
      <c r="A51" s="38"/>
      <c r="B51" t="s" s="39">
        <v>4</v>
      </c>
      <c r="C51" s="101">
        <f>0.81*B53</f>
        <v>2478.888514573250</v>
      </c>
      <c r="D51" s="102">
        <f>B53/0.81</f>
        <v>3778.217519544650</v>
      </c>
      <c r="E51" s="42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43"/>
      <c r="V51" t="s" s="39">
        <v>4</v>
      </c>
      <c r="W51" s="101">
        <f>0.81*V53</f>
        <v>2478.88851471</v>
      </c>
      <c r="X51" s="102">
        <f>V53/0.81</f>
        <v>3778.217519753090</v>
      </c>
      <c r="Y51" s="44"/>
      <c r="Z51" s="45"/>
    </row>
    <row r="52" ht="23.8" customHeight="1">
      <c r="A52" s="38"/>
      <c r="B52" t="s" s="46">
        <v>5</v>
      </c>
      <c r="C52" t="s" s="47">
        <v>6</v>
      </c>
      <c r="D52" t="s" s="47">
        <v>7</v>
      </c>
      <c r="E52" t="s" s="47">
        <v>8</v>
      </c>
      <c r="F52" t="s" s="47">
        <v>9</v>
      </c>
      <c r="G52" t="s" s="47">
        <v>10</v>
      </c>
      <c r="H52" t="s" s="47">
        <v>11</v>
      </c>
      <c r="I52" t="s" s="47">
        <v>12</v>
      </c>
      <c r="J52" t="s" s="47">
        <v>13</v>
      </c>
      <c r="K52" t="s" s="47">
        <v>14</v>
      </c>
      <c r="L52" t="s" s="47">
        <v>15</v>
      </c>
      <c r="M52" t="s" s="47">
        <v>16</v>
      </c>
      <c r="N52" t="s" s="47">
        <v>17</v>
      </c>
      <c r="O52" t="s" s="48">
        <v>18</v>
      </c>
      <c r="P52" t="s" s="47">
        <v>19</v>
      </c>
      <c r="Q52" t="s" s="47">
        <v>20</v>
      </c>
      <c r="R52" t="s" s="47">
        <v>21</v>
      </c>
      <c r="S52" t="s" s="47">
        <v>22</v>
      </c>
      <c r="T52" t="s" s="47">
        <v>23</v>
      </c>
      <c r="U52" t="s" s="47">
        <v>24</v>
      </c>
      <c r="V52" t="s" s="48">
        <v>25</v>
      </c>
      <c r="W52" t="s" s="47">
        <v>26</v>
      </c>
      <c r="X52" t="s" s="47">
        <v>27</v>
      </c>
      <c r="Y52" t="s" s="47">
        <v>10</v>
      </c>
      <c r="Z52" t="s" s="49">
        <v>11</v>
      </c>
    </row>
    <row r="53" ht="40.7" customHeight="1">
      <c r="A53" s="50"/>
      <c r="B53" s="108">
        <f t="shared" si="5"/>
        <v>3060.356190831170</v>
      </c>
      <c r="C53" s="52">
        <f>IF((LOG(1/(C55*C55*10^12/2^96/2^96)*10^12,1.0001)-FLOOR(LOG(1/(C55*C55*10^12/2^96/2^96)*10^12,1.0001)/60,1)*60)&gt;(CEILING(LOG(1/(C55*C55*10^12/2^96/2^96)*10^12,1.0001)/60,1)*60)-(LOG(1/(C55*C55*10^12/2^96/2^96)*10^12,1.0001)),CEILING(LOG(1/(C55*C55*10^12/2^96/2^96)*10^12,1.0001)/60,1)*60,FLOOR(LOG(1/(C55*C55*10^12/2^96/2^96)*10^12,1.0001)/60,1)*60)</f>
        <v>198180</v>
      </c>
      <c r="D53" s="52">
        <f>IF((LOG(1/(D55*D55*10^12/2^96/2^96)*10^12,1.0001)-FLOOR(LOG(1/(D55*D55*10^12/2^96/2^96)*10^12,1.0001)/60,1)*60)&gt;(CEILING(LOG(1/(D55*D55*10^12/2^96/2^96)*10^12,1.0001)/60,1)*60)-(LOG(1/(D55*D55*10^12/2^96/2^96)*10^12,1.0001)),CEILING(LOG(1/(D55*D55*10^12/2^96/2^96)*10^12,1.0001)/60,1)*60,FLOOR(LOG(1/(D55*D55*10^12/2^96/2^96)*10^12,1.0001)/60,1)*60)</f>
        <v>193920</v>
      </c>
      <c r="E53" s="103">
        <f>E55*$B$3*10^-18</f>
        <v>0.326787207467537</v>
      </c>
      <c r="F53" s="103">
        <f>F55*$B$3*10^-6</f>
        <v>1000</v>
      </c>
      <c r="G53" s="53">
        <f>((G55/E55)-(E53/E55))*10^18</f>
        <v>0.00133272376394435</v>
      </c>
      <c r="H53" s="53">
        <f>((H55/F55)-(F53/F55))*10^6</f>
        <v>0.000698852674847</v>
      </c>
      <c r="I53" s="103">
        <f>E55*$C$3*10^-18</f>
        <v>2.94108486720783</v>
      </c>
      <c r="J53" s="103">
        <f>F55*$C$3*10^-6</f>
        <v>9000</v>
      </c>
      <c r="K53" s="103">
        <f>E53+I53+M53</f>
        <v>2.76787207467537</v>
      </c>
      <c r="L53" s="103">
        <f>F53+J53+N53</f>
        <v>10000</v>
      </c>
      <c r="M53" s="104">
        <v>-0.5</v>
      </c>
      <c r="N53" s="104">
        <v>0</v>
      </c>
      <c r="O53" s="104">
        <v>3060.356191</v>
      </c>
      <c r="P53" s="104">
        <f>IF(S56&lt;0,ABS(S56)/O53,0)</f>
        <v>0</v>
      </c>
      <c r="Q53" s="103">
        <f>IF(S56&gt;0,S56,0)</f>
        <v>764.433381351554</v>
      </c>
      <c r="R53" s="103">
        <f>R56</f>
        <v>3.01765782954914</v>
      </c>
      <c r="S53" s="103">
        <f>R57</f>
        <v>9235.566618648450</v>
      </c>
      <c r="T53" s="103">
        <f>R53*$B$3</f>
        <v>0.301765782954914</v>
      </c>
      <c r="U53" s="103">
        <f>S53*$B$3</f>
        <v>923.556661864845</v>
      </c>
      <c r="V53" s="104">
        <v>3060.356191</v>
      </c>
      <c r="W53" s="52">
        <f>IF((LOG(1/(C57*C57*10^12/2^96/2^96)*10^12,1.0001)-FLOOR(LOG(1/(C57*C57*10^12/2^96/2^96)*10^12,1.0001)/60,1)*60)&gt;(CEILING(LOG(1/(C57*C57*10^12/2^96/2^96)*10^12,1.0001)/60,1)*60)-(LOG(1/(C57*C57*10^12/2^96/2^96)*10^12,1.0001)),CEILING(LOG(1/(C57*C57*10^12/2^96/2^96)*10^12,1.0001)/60,1)*60,FLOOR(LOG(1/(C57*C57*10^12/2^96/2^96)*10^12,1.0001)/60,1)*60)</f>
        <v>198180</v>
      </c>
      <c r="X53" s="52">
        <f>IF((LOG(1/(D57*D57*10^12/2^96/2^96)*10^12,1.0001)-FLOOR(LOG(1/(D57*D57*10^12/2^96/2^96)*10^12,1.0001)/60,1)*60)&gt;(CEILING(LOG(1/(D57*D57*10^12/2^96/2^96)*10^12,1.0001)/60,1)*60)-(LOG(1/(D57*D57*10^12/2^96/2^96)*10^12,1.0001)),CEILING(LOG(1/(D57*D57*10^12/2^96/2^96)*10^12,1.0001)/60,1)*60,FLOOR(LOG(1/(D57*D57*10^12/2^96/2^96)*10^12,1.0001)/60,1)*60)</f>
        <v>193920</v>
      </c>
      <c r="Y53" s="53">
        <f>(G57/T53)-1</f>
        <v>0.0134136270423733</v>
      </c>
      <c r="Z53" s="54">
        <f>(H57/U53)-1</f>
        <v>0.00693850256303254</v>
      </c>
    </row>
    <row r="54" ht="21.7" customHeight="1">
      <c r="A54" t="s" s="55">
        <v>28</v>
      </c>
      <c r="B54" t="s" s="56">
        <v>29</v>
      </c>
      <c r="C54" t="s" s="57">
        <v>30</v>
      </c>
      <c r="D54" t="s" s="57">
        <v>31</v>
      </c>
      <c r="E54" t="s" s="58">
        <v>32</v>
      </c>
      <c r="F54" t="s" s="58">
        <v>33</v>
      </c>
      <c r="G54" t="s" s="57">
        <v>34</v>
      </c>
      <c r="H54" t="s" s="57">
        <v>35</v>
      </c>
      <c r="I54" t="s" s="57">
        <v>36</v>
      </c>
      <c r="J54" t="s" s="57">
        <v>37</v>
      </c>
      <c r="K54" t="s" s="57">
        <v>38</v>
      </c>
      <c r="L54" t="s" s="57">
        <v>39</v>
      </c>
      <c r="M54" t="s" s="57">
        <v>40</v>
      </c>
      <c r="N54" t="s" s="59">
        <v>41</v>
      </c>
      <c r="O54" t="s" s="60">
        <v>42</v>
      </c>
      <c r="P54" s="61"/>
      <c r="Q54" s="61"/>
      <c r="R54" s="62"/>
      <c r="S54" s="63"/>
      <c r="T54" s="64"/>
      <c r="U54" s="36"/>
      <c r="V54" s="36"/>
      <c r="W54" s="36"/>
      <c r="X54" s="65"/>
      <c r="Y54" s="63"/>
      <c r="Z54" s="66"/>
    </row>
    <row r="55" ht="21.7" customHeight="1">
      <c r="A55" s="67"/>
      <c r="B55" s="68">
        <f>SQRT(B53*10^6/10^18)*2^96</f>
        <v>4.38294046917908e+24</v>
      </c>
      <c r="C55" s="105">
        <f>B55-$B$3*F55*POWER(2,96)/L55</f>
        <v>3.94464642226117e+24</v>
      </c>
      <c r="D55" s="72">
        <f>M55*B55/N55</f>
        <v>4.86997998604707e+24</v>
      </c>
      <c r="E55" s="71">
        <f t="shared" si="29"/>
        <v>3.26787207467537e+18</v>
      </c>
      <c r="F55" s="71">
        <f t="shared" si="30"/>
        <v>10000000000</v>
      </c>
      <c r="G55" s="71">
        <f>(M55-(M55*B55)/(SQRT(1/(1.0001^D53)*2^96*2^96/10^6)*10^3))/B55/10^18</f>
        <v>0.331142378238987</v>
      </c>
      <c r="H55" s="71">
        <f>(B55-(SQRT(1/(1.0001^C53)*2^96*2^96)))*L55/POWER(2,96)/10^6</f>
        <v>1006.988526748470</v>
      </c>
      <c r="I55" s="69">
        <v>1e+99</v>
      </c>
      <c r="J55" s="69">
        <f>(E55)*(B55*I55)/POWER(2,96)/(I55-B55)</f>
        <v>180780271934442.1</v>
      </c>
      <c r="K55" s="72">
        <f>(F55)*POWER(2,96)/(B55-0)</f>
        <v>180764861105000.8</v>
      </c>
      <c r="L55" s="72">
        <f>MIN(J55,K55)</f>
        <v>180764861105000.8</v>
      </c>
      <c r="M55" s="72">
        <f>L55*POWER(2,96)</f>
        <v>1.43216677924954e+43</v>
      </c>
      <c r="N55" s="106">
        <f>M55-(0.1*E55)*B55</f>
        <v>1.28893789160759e+43</v>
      </c>
      <c r="O55" t="s" s="74">
        <v>43</v>
      </c>
      <c r="P55" s="63"/>
      <c r="Q55" t="s" s="74">
        <v>44</v>
      </c>
      <c r="R55" s="63"/>
      <c r="S55" t="s" s="74">
        <v>45</v>
      </c>
      <c r="T55" s="75"/>
      <c r="U55" s="35"/>
      <c r="V55" s="35"/>
      <c r="W55" s="35"/>
      <c r="X55" s="76"/>
      <c r="Y55" s="63"/>
      <c r="Z55" s="66"/>
    </row>
    <row r="56" ht="32.85" customHeight="1">
      <c r="A56" t="s" s="55">
        <v>46</v>
      </c>
      <c r="B56" t="s" s="56">
        <v>47</v>
      </c>
      <c r="C56" t="s" s="57">
        <v>30</v>
      </c>
      <c r="D56" t="s" s="57">
        <v>31</v>
      </c>
      <c r="E56" t="s" s="57">
        <v>53</v>
      </c>
      <c r="F56" t="s" s="57">
        <v>33</v>
      </c>
      <c r="G56" t="s" s="57">
        <v>34</v>
      </c>
      <c r="H56" t="s" s="57">
        <v>35</v>
      </c>
      <c r="I56" t="s" s="57">
        <v>36</v>
      </c>
      <c r="J56" t="s" s="57">
        <v>37</v>
      </c>
      <c r="K56" t="s" s="57">
        <v>38</v>
      </c>
      <c r="L56" t="s" s="57">
        <v>39</v>
      </c>
      <c r="M56" t="s" s="57">
        <v>40</v>
      </c>
      <c r="N56" t="s" s="59">
        <v>41</v>
      </c>
      <c r="O56" t="s" s="56">
        <v>48</v>
      </c>
      <c r="P56" s="77">
        <f>K53</f>
        <v>2.76787207467537</v>
      </c>
      <c r="Q56" s="78">
        <f>P56*O53</f>
        <v>8470.674439628780</v>
      </c>
      <c r="R56" s="79">
        <f>P56+(S56/O53)</f>
        <v>3.01765782954914</v>
      </c>
      <c r="S56" s="79">
        <f>(P57-Q56)/2*(1-0.0003)</f>
        <v>764.433381351554</v>
      </c>
      <c r="T56" s="75"/>
      <c r="U56" s="35"/>
      <c r="V56" s="35"/>
      <c r="W56" s="35"/>
      <c r="X56" s="76"/>
      <c r="Y56" s="63"/>
      <c r="Z56" s="66"/>
    </row>
    <row r="57" ht="21.35" customHeight="1">
      <c r="A57" s="80"/>
      <c r="B57" s="81">
        <f>SQRT(V53*10^6/10^18)*2^96</f>
        <v>4.38294046929997e+24</v>
      </c>
      <c r="C57" s="82">
        <f>B57-$B$3*F57*POWER(2,96)/L57</f>
        <v>3.94462464803982e+24</v>
      </c>
      <c r="D57" s="82">
        <f>M57*B57/N57</f>
        <v>4.86993385477775e+24</v>
      </c>
      <c r="E57" s="82">
        <f>R53*10^18</f>
        <v>3.01765782954914e+18</v>
      </c>
      <c r="F57" s="82">
        <f>S53*10^6</f>
        <v>9235566618.648451</v>
      </c>
      <c r="G57" s="83">
        <f>(M57-(M57*B57)/(SQRT(1/(1.0001^X53)*2^96*2^96/10^6)*10^3))/B57/10^18</f>
        <v>0.305813556621621</v>
      </c>
      <c r="H57" s="83">
        <f>(B57-(SQRT(1/(1.0001^W53)*2^96*2^96)))*L57/POWER(2,96)/10^6</f>
        <v>929.9647621303</v>
      </c>
      <c r="I57" s="107">
        <v>1e+99</v>
      </c>
      <c r="J57" s="84">
        <f>(E57)*(B57*I57)/POWER(2,96)/(I57-B57)</f>
        <v>166938298250316.9</v>
      </c>
      <c r="K57" s="82">
        <f>(F57)*POWER(2,96)/(B57-0)</f>
        <v>166946591699992.2</v>
      </c>
      <c r="L57" s="84">
        <f>MIN(J57,K57)</f>
        <v>166938298250316.9</v>
      </c>
      <c r="M57" s="84">
        <f>L57*POWER(2,96)</f>
        <v>1.32262146236308e+43</v>
      </c>
      <c r="N57" s="85">
        <f>M57-(0.1*E57)*B57</f>
        <v>1.19035931612677e+43</v>
      </c>
      <c r="O57" t="s" s="86">
        <v>49</v>
      </c>
      <c r="P57" s="87">
        <f>L53</f>
        <v>10000</v>
      </c>
      <c r="Q57" s="88">
        <f>P57/O53</f>
        <v>3.26759350085076</v>
      </c>
      <c r="R57" s="89">
        <f>P57-S56</f>
        <v>9235.566618648450</v>
      </c>
      <c r="S57" s="90"/>
      <c r="T57" s="91"/>
      <c r="U57" s="20"/>
      <c r="V57" s="20"/>
      <c r="W57" s="20"/>
      <c r="X57" s="92"/>
      <c r="Y57" s="93"/>
      <c r="Z57" s="94"/>
    </row>
    <row r="58" ht="21.35" customHeight="1">
      <c r="A58" s="2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29"/>
      <c r="Y58" s="29"/>
      <c r="Z58" s="29"/>
    </row>
    <row r="59" ht="21.35" customHeight="1">
      <c r="A59" s="2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34"/>
      <c r="Y59" s="34"/>
      <c r="Z59" s="34"/>
    </row>
    <row r="60" ht="20.05" customHeight="1">
      <c r="A60" s="95"/>
      <c r="B60" t="s" s="112">
        <v>54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61"/>
      <c r="Z60" s="113"/>
    </row>
    <row r="61" ht="20.05" customHeight="1">
      <c r="A61" s="99"/>
      <c r="B61" s="34"/>
      <c r="C61" s="34"/>
      <c r="D61" s="34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4"/>
      <c r="W61" s="34"/>
      <c r="X61" s="34"/>
      <c r="Y61" s="36"/>
      <c r="Z61" s="37"/>
    </row>
    <row r="62" ht="20.05" customHeight="1">
      <c r="A62" s="38"/>
      <c r="B62" t="s" s="39">
        <v>4</v>
      </c>
      <c r="C62" s="101">
        <f>0.81*B64</f>
        <v>2478.815459999190</v>
      </c>
      <c r="D62" s="102">
        <f>B64/0.81</f>
        <v>3778.106172838270</v>
      </c>
      <c r="E62" s="42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43"/>
      <c r="V62" t="s" s="39">
        <v>4</v>
      </c>
      <c r="W62" s="40">
        <f>0.81*V64</f>
        <v>2478.88851471</v>
      </c>
      <c r="X62" s="41">
        <f>V64/0.81</f>
        <v>3778.217519753090</v>
      </c>
      <c r="Y62" s="44"/>
      <c r="Z62" s="45"/>
    </row>
    <row r="63" ht="20.05" customHeight="1">
      <c r="A63" s="38"/>
      <c r="B63" t="s" s="114">
        <v>5</v>
      </c>
      <c r="C63" t="s" s="47">
        <v>6</v>
      </c>
      <c r="D63" t="s" s="47">
        <v>7</v>
      </c>
      <c r="E63" t="s" s="47">
        <v>8</v>
      </c>
      <c r="F63" t="s" s="47">
        <v>9</v>
      </c>
      <c r="G63" t="s" s="47">
        <v>10</v>
      </c>
      <c r="H63" t="s" s="47">
        <v>11</v>
      </c>
      <c r="I63" t="s" s="47">
        <v>12</v>
      </c>
      <c r="J63" t="s" s="47">
        <v>13</v>
      </c>
      <c r="K63" t="s" s="47">
        <v>14</v>
      </c>
      <c r="L63" t="s" s="47">
        <v>15</v>
      </c>
      <c r="M63" t="s" s="47">
        <v>16</v>
      </c>
      <c r="N63" t="s" s="47">
        <v>17</v>
      </c>
      <c r="O63" t="s" s="48">
        <v>18</v>
      </c>
      <c r="P63" t="s" s="47">
        <v>19</v>
      </c>
      <c r="Q63" t="s" s="47">
        <v>20</v>
      </c>
      <c r="R63" t="s" s="47">
        <v>21</v>
      </c>
      <c r="S63" t="s" s="47">
        <v>22</v>
      </c>
      <c r="T63" t="s" s="47">
        <v>23</v>
      </c>
      <c r="U63" t="s" s="47">
        <v>24</v>
      </c>
      <c r="V63" t="s" s="48">
        <v>25</v>
      </c>
      <c r="W63" t="s" s="47">
        <v>26</v>
      </c>
      <c r="X63" t="s" s="47">
        <v>27</v>
      </c>
      <c r="Y63" t="s" s="47">
        <v>10</v>
      </c>
      <c r="Z63" t="s" s="49">
        <v>11</v>
      </c>
    </row>
    <row r="64" ht="36" customHeight="1">
      <c r="A64" s="50"/>
      <c r="B64" s="115">
        <f t="shared" si="285" ref="B64:D70">3060.265999999</f>
        <v>3060.265999999</v>
      </c>
      <c r="C64" s="52">
        <f>IF((LOG(1/(C66*C66*10^12/2^96/2^96)*10^12,1.0001)-FLOOR(LOG(1/(C66*C66*10^12/2^96/2^96)*10^12,1.0001)/60,1)*60)&gt;(CEILING(LOG(1/(C66*C66*10^12/2^96/2^96)*10^12,1.0001)/60,1)*60)-(LOG(1/(C66*C66*10^12/2^96/2^96)*10^12,1.0001)),CEILING(LOG(1/(C66*C66*10^12/2^96/2^96)*10^12,1.0001)/60,1)*60,FLOOR(LOG(1/(C66*C66*10^12/2^96/2^96)*10^12,1.0001)/60,1)*60)</f>
        <v>198180</v>
      </c>
      <c r="D64" s="52">
        <f>IF((LOG(1/(D66*D66*10^12/2^96/2^96)*10^12,1.0001)-FLOOR(LOG(1/(D66*D66*10^12/2^96/2^96)*10^12,1.0001)/60,1)*60)&gt;(CEILING(LOG(1/(D66*D66*10^12/2^96/2^96)*10^12,1.0001)/60,1)*60)-(LOG(1/(D66*D66*10^12/2^96/2^96)*10^12,1.0001)),CEILING(LOG(1/(D66*D66*10^12/2^96/2^96)*10^12,1.0001)/60,1)*60,FLOOR(LOG(1/(D66*D66*10^12/2^96/2^96)*10^12,1.0001)/60,1)*60)</f>
        <v>193980</v>
      </c>
      <c r="E64" s="52">
        <f>E66*$B$3*10^-18</f>
        <v>0.326787207467537</v>
      </c>
      <c r="F64" s="52">
        <f>F66*$B$3*10^-6</f>
        <v>1000</v>
      </c>
      <c r="G64" s="53">
        <f>((G66/E66)-(E64/E66))*10^18</f>
        <v>-0.00135074674846276</v>
      </c>
      <c r="H64" s="53">
        <f>((H66/F66)-(F64/F66))*10^6</f>
        <v>0.000685600865811</v>
      </c>
      <c r="I64" s="52">
        <f>E66*$C$3*10^-18</f>
        <v>2.94108486720783</v>
      </c>
      <c r="J64" s="52">
        <f>F66*$C$3*10^-6</f>
        <v>9000</v>
      </c>
      <c r="K64" s="52">
        <f>E64+I64+M64</f>
        <v>3.26787207467537</v>
      </c>
      <c r="L64" s="52">
        <f>F64+J64+N64</f>
        <v>10000</v>
      </c>
      <c r="M64" s="52">
        <v>0</v>
      </c>
      <c r="N64" s="52">
        <v>0</v>
      </c>
      <c r="O64" s="52">
        <v>3060.356191</v>
      </c>
      <c r="P64" s="52">
        <f>IF(S67&lt;0,ABS(S67)/O64,0)</f>
        <v>0.000139245126232001</v>
      </c>
      <c r="Q64" s="52">
        <f>IF(S67&gt;0,S67,0)</f>
        <v>0</v>
      </c>
      <c r="R64" s="52">
        <f>R67</f>
        <v>3.26773282954914</v>
      </c>
      <c r="S64" s="52">
        <f>R68</f>
        <v>10000.4261396841</v>
      </c>
      <c r="T64" s="116">
        <f>R64*$B$3</f>
        <v>0.326773282954914</v>
      </c>
      <c r="U64" s="116">
        <f>S64*$B$3</f>
        <v>1000.042613968410</v>
      </c>
      <c r="V64" s="116">
        <v>3060.356191</v>
      </c>
      <c r="W64" s="52">
        <f>IF((LOG(1/(C68*C68*10^12/2^96/2^96)*10^12,1.0001)-FLOOR(LOG(1/(C68*C68*10^12/2^96/2^96)*10^12,1.0001)/60,1)*60)&gt;(CEILING(LOG(1/(C68*C68*10^12/2^96/2^96)*10^12,1.0001)/60,1)*60)-(LOG(1/(C68*C68*10^12/2^96/2^96)*10^12,1.0001)),CEILING(LOG(1/(C68*C68*10^12/2^96/2^96)*10^12,1.0001)/60,1)*60,FLOOR(LOG(1/(C68*C68*10^12/2^96/2^96)*10^12,1.0001)/60,1)*60)</f>
        <v>198180</v>
      </c>
      <c r="X64" s="52">
        <f>IF((LOG(1/(D68*D68*10^12/2^96/2^96)*10^12,1.0001)-FLOOR(LOG(1/(D68*D68*10^12/2^96/2^96)*10^12,1.0001)/60,1)*60)&gt;(CEILING(LOG(1/(D68*D68*10^12/2^96/2^96)*10^12,1.0001)/60,1)*60)-(LOG(1/(D68*D68*10^12/2^96/2^96)*10^12,1.0001)),CEILING(LOG(1/(D68*D68*10^12/2^96/2^96)*10^12,1.0001)/60,1)*60,FLOOR(LOG(1/(D68*D68*10^12/2^96/2^96)*10^12,1.0001)/60,1)*60)</f>
        <v>193920</v>
      </c>
      <c r="Y64" s="117">
        <f>(G68/T64)-1</f>
        <v>0.0134136011243605</v>
      </c>
      <c r="Z64" s="118">
        <f>(H68/U64)-1</f>
        <v>0.00698852699652134</v>
      </c>
    </row>
    <row r="65" ht="20.05" customHeight="1">
      <c r="A65" t="s" s="55">
        <v>28</v>
      </c>
      <c r="B65" t="s" s="56">
        <v>29</v>
      </c>
      <c r="C65" t="s" s="57">
        <v>30</v>
      </c>
      <c r="D65" t="s" s="57">
        <v>31</v>
      </c>
      <c r="E65" t="s" s="58">
        <v>32</v>
      </c>
      <c r="F65" t="s" s="58">
        <v>33</v>
      </c>
      <c r="G65" t="s" s="57">
        <v>34</v>
      </c>
      <c r="H65" t="s" s="57">
        <v>35</v>
      </c>
      <c r="I65" t="s" s="57">
        <v>36</v>
      </c>
      <c r="J65" t="s" s="57">
        <v>37</v>
      </c>
      <c r="K65" t="s" s="57">
        <v>38</v>
      </c>
      <c r="L65" t="s" s="57">
        <v>39</v>
      </c>
      <c r="M65" t="s" s="57">
        <v>40</v>
      </c>
      <c r="N65" t="s" s="59">
        <v>41</v>
      </c>
      <c r="O65" t="s" s="60">
        <v>42</v>
      </c>
      <c r="P65" s="61"/>
      <c r="Q65" s="61"/>
      <c r="R65" s="62"/>
      <c r="S65" s="66"/>
      <c r="T65" s="95"/>
      <c r="U65" s="29"/>
      <c r="V65" s="29"/>
      <c r="W65" s="36"/>
      <c r="X65" s="65"/>
      <c r="Y65" s="119"/>
      <c r="Z65" s="120"/>
    </row>
    <row r="66" ht="20.05" customHeight="1">
      <c r="A66" s="67"/>
      <c r="B66" s="68">
        <f>SQRT(B64*10^6/10^18)*2^96</f>
        <v>4.38287588454642e+24</v>
      </c>
      <c r="C66" s="69">
        <f>B66-$B$3*F66*POWER(2,96)/L66</f>
        <v>3.94458829609178e+24</v>
      </c>
      <c r="D66" s="70">
        <f>M66*B66/N66</f>
        <v>4.86989227658452e+24</v>
      </c>
      <c r="E66" s="71">
        <f t="shared" si="29"/>
        <v>3.26787207467537e+18</v>
      </c>
      <c r="F66" s="71">
        <f t="shared" si="30"/>
        <v>10000000000</v>
      </c>
      <c r="G66" s="71">
        <f>(M66-(M66*B66)/(SQRT(1/(1.0001^D64)*2^96*2^96/10^6)*10^3))/B66/10^18</f>
        <v>0.322373139888277</v>
      </c>
      <c r="H66" s="71">
        <f>(B66-(SQRT(1/(1.0001^C64)*2^96*2^96)))*L66/POWER(2,96)/10^6</f>
        <v>1006.856008658110</v>
      </c>
      <c r="I66" s="69">
        <v>1e+99</v>
      </c>
      <c r="J66" s="69">
        <f>(E66)*(B66*I66)/POWER(2,96)/(I66-B66)</f>
        <v>180777608054442.6</v>
      </c>
      <c r="K66" s="72">
        <f>(F66)*POWER(2,96)/(B66-0)</f>
        <v>180767524797165.4</v>
      </c>
      <c r="L66" s="72">
        <f>MIN(J66,K66)</f>
        <v>180767524797165.4</v>
      </c>
      <c r="M66" s="72">
        <f>L66*POWER(2,96)</f>
        <v>1.43218788319311e+43</v>
      </c>
      <c r="N66" s="73">
        <f>M66-($B$3*E66)*B66</f>
        <v>1.28896110609434e+43</v>
      </c>
      <c r="O66" t="s" s="74">
        <v>43</v>
      </c>
      <c r="P66" s="63"/>
      <c r="Q66" t="s" s="74">
        <v>44</v>
      </c>
      <c r="R66" s="63"/>
      <c r="S66" t="s" s="121">
        <v>45</v>
      </c>
      <c r="T66" s="99"/>
      <c r="U66" s="35"/>
      <c r="V66" s="35"/>
      <c r="W66" s="35"/>
      <c r="X66" s="76"/>
      <c r="Y66" s="63"/>
      <c r="Z66" s="66"/>
    </row>
    <row r="67" ht="20.05" customHeight="1">
      <c r="A67" t="s" s="55">
        <v>46</v>
      </c>
      <c r="B67" t="s" s="56">
        <v>47</v>
      </c>
      <c r="C67" t="s" s="57">
        <v>30</v>
      </c>
      <c r="D67" t="s" s="57">
        <v>31</v>
      </c>
      <c r="E67" t="s" s="57">
        <v>32</v>
      </c>
      <c r="F67" t="s" s="57">
        <v>33</v>
      </c>
      <c r="G67" t="s" s="57">
        <v>34</v>
      </c>
      <c r="H67" t="s" s="57">
        <v>35</v>
      </c>
      <c r="I67" t="s" s="57">
        <v>36</v>
      </c>
      <c r="J67" t="s" s="57">
        <v>37</v>
      </c>
      <c r="K67" t="s" s="57">
        <v>38</v>
      </c>
      <c r="L67" t="s" s="57">
        <v>39</v>
      </c>
      <c r="M67" t="s" s="57">
        <v>40</v>
      </c>
      <c r="N67" t="s" s="59">
        <v>41</v>
      </c>
      <c r="O67" t="s" s="56">
        <v>48</v>
      </c>
      <c r="P67" s="77">
        <f>K64</f>
        <v>3.26787207467537</v>
      </c>
      <c r="Q67" s="78">
        <f>P67*O64</f>
        <v>10000.8525351288</v>
      </c>
      <c r="R67" s="79">
        <f>P67+(S67/O64)</f>
        <v>3.26773282954914</v>
      </c>
      <c r="S67" s="122">
        <f>(P68-Q67)/2*(1-0.0003)</f>
        <v>-0.42613968413068</v>
      </c>
      <c r="T67" s="99"/>
      <c r="U67" s="35"/>
      <c r="V67" s="35"/>
      <c r="W67" s="35"/>
      <c r="X67" s="76"/>
      <c r="Y67" s="63"/>
      <c r="Z67" s="66"/>
    </row>
    <row r="68" ht="20.05" customHeight="1">
      <c r="A68" s="80"/>
      <c r="B68" s="81">
        <f>SQRT(V64*10^6/10^18)*2^96</f>
        <v>4.38294046929997e+24</v>
      </c>
      <c r="C68" s="82">
        <f>B68-$B$3*F68*POWER(2,96)/L68</f>
        <v>3.94464642236997e+24</v>
      </c>
      <c r="D68" s="82">
        <f>M68*B68/N68</f>
        <v>4.86993386861645e+24</v>
      </c>
      <c r="E68" s="82">
        <f>R64*10^18</f>
        <v>3.26773282954914e+18</v>
      </c>
      <c r="F68" s="82">
        <f>S64*10^6</f>
        <v>10000426139.6841</v>
      </c>
      <c r="G68" s="83">
        <f>(M68-(M68*B68)/(SQRT(1/(1.0001^X64)*2^96*2^96/10^6)*10^3))/B68/10^18</f>
        <v>0.331156489430569</v>
      </c>
      <c r="H68" s="83">
        <f>(B68-(SQRT(1/(1.0001^W64)*2^96*2^96)))*L68/POWER(2,96)/10^6</f>
        <v>1007.0314387738</v>
      </c>
      <c r="I68" s="84">
        <v>1e+99</v>
      </c>
      <c r="J68" s="82">
        <f>(E68)*(B68*I68)/POWER(2,96)/(I68-B68)</f>
        <v>180772568831347.4</v>
      </c>
      <c r="K68" s="82">
        <f>(F68)*POWER(2,96)/(B68-0)</f>
        <v>180772564208095.5</v>
      </c>
      <c r="L68" s="82">
        <f>MIN(J68,K68)</f>
        <v>180772564208095.5</v>
      </c>
      <c r="M68" s="82">
        <f>L68*POWER(2,96)</f>
        <v>1.43222780951993e+43</v>
      </c>
      <c r="N68" s="85">
        <f>M68-(0.1*E68)*B68</f>
        <v>1.28900502490502e+43</v>
      </c>
      <c r="O68" t="s" s="86">
        <v>49</v>
      </c>
      <c r="P68" s="87">
        <f>L64</f>
        <v>10000</v>
      </c>
      <c r="Q68" s="88">
        <f>P68/O64</f>
        <v>3.26759350085076</v>
      </c>
      <c r="R68" s="89">
        <f>P68-S67</f>
        <v>10000.4261396841</v>
      </c>
      <c r="S68" s="123"/>
      <c r="T68" s="124"/>
      <c r="U68" s="20"/>
      <c r="V68" s="20"/>
      <c r="W68" s="20"/>
      <c r="X68" s="92"/>
      <c r="Y68" s="93"/>
      <c r="Z68" s="94"/>
    </row>
    <row r="69" ht="20.05" customHeight="1">
      <c r="A69" s="125"/>
      <c r="B69" s="126"/>
      <c r="C69" s="127"/>
      <c r="D69" s="128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5"/>
      <c r="Y69" s="125"/>
      <c r="Z69" s="125"/>
    </row>
    <row r="70" ht="20.05" customHeight="1">
      <c r="A70" s="129"/>
      <c r="B70" t="s" s="130">
        <v>55</v>
      </c>
      <c r="C70" s="131">
        <f>3064.79</f>
        <v>3064.79</v>
      </c>
      <c r="D70" s="131">
        <f t="shared" si="285"/>
        <v>3060.265999999</v>
      </c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29"/>
      <c r="Y70" s="129"/>
      <c r="Z70" s="129"/>
    </row>
    <row r="71" ht="20.05" customHeight="1">
      <c r="A71" s="35"/>
      <c r="B71" s="133"/>
      <c r="C71" t="s" s="134">
        <v>56</v>
      </c>
      <c r="D71" t="s" s="134">
        <v>57</v>
      </c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35"/>
      <c r="Y71" s="35"/>
      <c r="Z71" s="35"/>
    </row>
    <row r="72" ht="20.05" customHeight="1">
      <c r="A72" s="35"/>
      <c r="B72" t="s" s="136">
        <v>58</v>
      </c>
      <c r="C72" s="137">
        <f>LOG(1/(C66*C66*10^12/2^96/2^96)*10^12,1.0001)</f>
        <v>198164.757857131</v>
      </c>
      <c r="D72" s="138">
        <f>LOG(1/(D66*D66*10^12/2^96/2^96)*10^12,1.0001)</f>
        <v>193950.00255061</v>
      </c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35"/>
      <c r="Y72" s="35"/>
      <c r="Z72" s="35"/>
    </row>
    <row r="73" ht="20.05" customHeight="1">
      <c r="A73" s="35"/>
      <c r="B73" t="s" s="136">
        <v>59</v>
      </c>
      <c r="C73" s="139">
        <f>1/(1.0001^C72/10^12)</f>
        <v>2478.815459999090</v>
      </c>
      <c r="D73" s="140">
        <f>1/(1.0001^D72/10^12)</f>
        <v>3778.153005206480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35"/>
      <c r="Y73" s="35"/>
      <c r="Z73" s="35"/>
    </row>
    <row r="74" ht="20.05" customHeight="1">
      <c r="A74" s="35"/>
      <c r="B74" t="s" s="136">
        <v>60</v>
      </c>
      <c r="C74" s="141">
        <f>1/(1.0001^198180/10^12)</f>
        <v>2475.040280638190</v>
      </c>
      <c r="D74" s="141">
        <f>1/(1.0001^193980/10^12)</f>
        <v>3766.837056603210</v>
      </c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35"/>
      <c r="Y74" s="35"/>
      <c r="Z74" s="35"/>
    </row>
    <row r="75" ht="20.05" customHeight="1">
      <c r="A75" s="35"/>
      <c r="B75" t="s" s="136">
        <v>61</v>
      </c>
      <c r="C75" s="141">
        <f>1/(1.0001^198120/10^12)</f>
        <v>2489.934415351690</v>
      </c>
      <c r="D75" s="141">
        <f>1/(1.0001^193920/10^12)</f>
        <v>3789.504881043790</v>
      </c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35"/>
      <c r="Y75" s="35"/>
      <c r="Z75" s="35"/>
    </row>
    <row r="76" ht="20.05" customHeight="1">
      <c r="A76" s="35"/>
      <c r="B76" t="s" s="136">
        <v>62</v>
      </c>
      <c r="C76" s="141">
        <f>((C75-C74)/2)+C74</f>
        <v>2482.487347994940</v>
      </c>
      <c r="D76" s="141">
        <f>((D75-D74)/2)+D74</f>
        <v>3778.1709688235</v>
      </c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35"/>
      <c r="Y76" s="35"/>
      <c r="Z76" s="35"/>
    </row>
    <row r="77" ht="20.05" customHeight="1">
      <c r="A77" s="35"/>
      <c r="B77" t="s" s="136">
        <v>63</v>
      </c>
      <c r="C77" s="142">
        <f>LOG(1/C76*10^12,1.0001)</f>
        <v>198149.955002317</v>
      </c>
      <c r="D77" s="142">
        <f>LOG(1/D76*10^12,1.0001)</f>
        <v>193949.955002317</v>
      </c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35"/>
      <c r="Y77" s="35"/>
      <c r="Z77" s="35"/>
    </row>
    <row r="78" ht="14.7" customHeight="1">
      <c r="A78" s="35"/>
      <c r="B78" t="s" s="143">
        <v>64</v>
      </c>
      <c r="C78" s="141">
        <f>SQRT(C76*10^6/10^18)*2^96</f>
        <v>3.94750878911935e+24</v>
      </c>
      <c r="D78" s="141">
        <f>SQRT(D76*10^6/10^18)*2^96</f>
        <v>4.86990385377264e+24</v>
      </c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35"/>
      <c r="Y78" s="35"/>
      <c r="Z78" s="35"/>
    </row>
  </sheetData>
  <mergeCells count="61">
    <mergeCell ref="A1:X1"/>
    <mergeCell ref="O11:P11"/>
    <mergeCell ref="Q11:R11"/>
    <mergeCell ref="O10:S10"/>
    <mergeCell ref="A10:A11"/>
    <mergeCell ref="A12:A13"/>
    <mergeCell ref="A21:A22"/>
    <mergeCell ref="A23:A24"/>
    <mergeCell ref="A32:A33"/>
    <mergeCell ref="A34:A35"/>
    <mergeCell ref="A43:A44"/>
    <mergeCell ref="A45:A46"/>
    <mergeCell ref="A54:A55"/>
    <mergeCell ref="A56:A57"/>
    <mergeCell ref="A5:A9"/>
    <mergeCell ref="A16:A20"/>
    <mergeCell ref="A27:A31"/>
    <mergeCell ref="A38:A42"/>
    <mergeCell ref="A49:A53"/>
    <mergeCell ref="E7:U7"/>
    <mergeCell ref="E18:U18"/>
    <mergeCell ref="E29:U29"/>
    <mergeCell ref="E40:U40"/>
    <mergeCell ref="E51:U51"/>
    <mergeCell ref="O22:P22"/>
    <mergeCell ref="Q22:R22"/>
    <mergeCell ref="O21:S21"/>
    <mergeCell ref="O33:P33"/>
    <mergeCell ref="Q33:R33"/>
    <mergeCell ref="O32:S32"/>
    <mergeCell ref="O44:P44"/>
    <mergeCell ref="Q44:R44"/>
    <mergeCell ref="O43:S43"/>
    <mergeCell ref="O55:P55"/>
    <mergeCell ref="Q55:R55"/>
    <mergeCell ref="O54:S54"/>
    <mergeCell ref="O66:P66"/>
    <mergeCell ref="Q66:R66"/>
    <mergeCell ref="O65:S65"/>
    <mergeCell ref="A65:A66"/>
    <mergeCell ref="A67:A68"/>
    <mergeCell ref="A60:A64"/>
    <mergeCell ref="E62:U62"/>
    <mergeCell ref="T10:Z13"/>
    <mergeCell ref="B5:Z6"/>
    <mergeCell ref="Y7:Z7"/>
    <mergeCell ref="Y18:Z18"/>
    <mergeCell ref="Y29:Z29"/>
    <mergeCell ref="Y40:Z40"/>
    <mergeCell ref="Y51:Z51"/>
    <mergeCell ref="Y62:Z62"/>
    <mergeCell ref="T21:Z24"/>
    <mergeCell ref="T32:Z35"/>
    <mergeCell ref="T43:Z46"/>
    <mergeCell ref="T54:Z57"/>
    <mergeCell ref="T65:Z68"/>
    <mergeCell ref="B16:Z17"/>
    <mergeCell ref="B27:Z28"/>
    <mergeCell ref="B38:Z39"/>
    <mergeCell ref="B49:Z50"/>
    <mergeCell ref="B60:Z6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