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sigma-strategy-contracts\test\scenarios\"/>
    </mc:Choice>
  </mc:AlternateContent>
  <bookViews>
    <workbookView xWindow="0" yWindow="36" windowWidth="15960" windowHeight="12732"/>
  </bookViews>
  <sheets>
    <sheet name="Sheet 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L20" i="1" l="1"/>
  <c r="K20" i="1"/>
  <c r="C21" i="2"/>
  <c r="C13" i="2"/>
  <c r="C14" i="2"/>
  <c r="S42" i="1" l="1"/>
  <c r="L42" i="1"/>
  <c r="P45" i="1"/>
  <c r="P46" i="1"/>
  <c r="R42" i="1"/>
  <c r="S31" i="1"/>
  <c r="R31" i="1"/>
  <c r="F44" i="1"/>
  <c r="E44" i="1"/>
  <c r="K31" i="1"/>
  <c r="L31" i="1"/>
  <c r="F33" i="1"/>
  <c r="L9" i="1"/>
  <c r="B53" i="1" l="1"/>
  <c r="W53" i="1"/>
  <c r="S53" i="1"/>
  <c r="R53" i="1"/>
  <c r="K53" i="1"/>
  <c r="L53" i="1"/>
  <c r="B57" i="1"/>
  <c r="E22" i="1"/>
  <c r="N20" i="1"/>
  <c r="N42" i="1" l="1"/>
  <c r="K42" i="1"/>
  <c r="N53" i="1" l="1"/>
  <c r="M53" i="1"/>
  <c r="W9" i="1"/>
  <c r="T9" i="1"/>
  <c r="M31" i="1"/>
  <c r="B9" i="1"/>
  <c r="B13" i="1"/>
  <c r="P12" i="1"/>
  <c r="Q12" i="1"/>
  <c r="P13" i="1"/>
  <c r="P9" i="1"/>
  <c r="F11" i="1"/>
  <c r="E11" i="1" l="1"/>
  <c r="I9" i="1" s="1"/>
  <c r="D75" i="1"/>
  <c r="D76" i="1" s="1"/>
  <c r="C75" i="1"/>
  <c r="C76" i="1" s="1"/>
  <c r="D74" i="1"/>
  <c r="C74" i="1"/>
  <c r="D70" i="1"/>
  <c r="C70" i="1"/>
  <c r="B68" i="1"/>
  <c r="F66" i="1"/>
  <c r="K66" i="1" s="1"/>
  <c r="E66" i="1"/>
  <c r="J66" i="1" s="1"/>
  <c r="L66" i="1" s="1"/>
  <c r="B66" i="1"/>
  <c r="E64" i="1"/>
  <c r="B64" i="1"/>
  <c r="X62" i="1"/>
  <c r="W62" i="1"/>
  <c r="D62" i="1"/>
  <c r="C62" i="1"/>
  <c r="F55" i="1"/>
  <c r="E55" i="1"/>
  <c r="B55" i="1"/>
  <c r="E53" i="1"/>
  <c r="X51" i="1"/>
  <c r="W51" i="1"/>
  <c r="D51" i="1"/>
  <c r="C51" i="1"/>
  <c r="B46" i="1"/>
  <c r="K44" i="1"/>
  <c r="J44" i="1"/>
  <c r="B44" i="1"/>
  <c r="E42" i="1"/>
  <c r="B42" i="1"/>
  <c r="X40" i="1"/>
  <c r="W40" i="1"/>
  <c r="D40" i="1"/>
  <c r="C40" i="1"/>
  <c r="B35" i="1"/>
  <c r="K33" i="1"/>
  <c r="J33" i="1"/>
  <c r="B33" i="1"/>
  <c r="E31" i="1"/>
  <c r="B31" i="1"/>
  <c r="X29" i="1"/>
  <c r="W29" i="1"/>
  <c r="D29" i="1"/>
  <c r="C29" i="1"/>
  <c r="B24" i="1"/>
  <c r="F22" i="1"/>
  <c r="K22" i="1" s="1"/>
  <c r="J22" i="1"/>
  <c r="L22" i="1" s="1"/>
  <c r="B22" i="1"/>
  <c r="E20" i="1"/>
  <c r="B20" i="1"/>
  <c r="X18" i="1"/>
  <c r="W18" i="1"/>
  <c r="D18" i="1"/>
  <c r="C18" i="1"/>
  <c r="B11" i="1"/>
  <c r="K11" i="1" s="1"/>
  <c r="X7" i="1"/>
  <c r="W7" i="1"/>
  <c r="D7" i="1"/>
  <c r="C7" i="1"/>
  <c r="C3" i="1"/>
  <c r="I64" i="1" s="1"/>
  <c r="K64" i="1" s="1"/>
  <c r="P67" i="1" s="1"/>
  <c r="L44" i="1" l="1"/>
  <c r="J55" i="1"/>
  <c r="K55" i="1"/>
  <c r="L33" i="1"/>
  <c r="C33" i="1" s="1"/>
  <c r="C31" i="1" s="1"/>
  <c r="H33" i="1" s="1"/>
  <c r="H31" i="1" s="1"/>
  <c r="M22" i="1"/>
  <c r="C22" i="1"/>
  <c r="C20" i="1" s="1"/>
  <c r="M44" i="1"/>
  <c r="C44" i="1"/>
  <c r="C42" i="1" s="1"/>
  <c r="H44" i="1" s="1"/>
  <c r="Q67" i="1"/>
  <c r="C78" i="1"/>
  <c r="C77" i="1"/>
  <c r="H22" i="1"/>
  <c r="M66" i="1"/>
  <c r="C66" i="1"/>
  <c r="D78" i="1"/>
  <c r="D77" i="1"/>
  <c r="F9" i="1"/>
  <c r="J9" i="1"/>
  <c r="J11" i="1"/>
  <c r="L11" i="1" s="1"/>
  <c r="F20" i="1"/>
  <c r="P24" i="1" s="1"/>
  <c r="J20" i="1"/>
  <c r="F31" i="1"/>
  <c r="J31" i="1"/>
  <c r="F42" i="1"/>
  <c r="J42" i="1"/>
  <c r="F53" i="1"/>
  <c r="J53" i="1"/>
  <c r="F64" i="1"/>
  <c r="L64" i="1" s="1"/>
  <c r="P68" i="1" s="1"/>
  <c r="J64" i="1"/>
  <c r="E9" i="1"/>
  <c r="K9" i="1" s="1"/>
  <c r="I20" i="1"/>
  <c r="P23" i="1" s="1"/>
  <c r="I31" i="1"/>
  <c r="P34" i="1" s="1"/>
  <c r="I42" i="1"/>
  <c r="I53" i="1"/>
  <c r="P56" i="1" s="1"/>
  <c r="M33" i="1" l="1"/>
  <c r="N33" i="1" s="1"/>
  <c r="D33" i="1" s="1"/>
  <c r="D31" i="1" s="1"/>
  <c r="G33" i="1" s="1"/>
  <c r="G31" i="1" s="1"/>
  <c r="L55" i="1"/>
  <c r="C55" i="1" s="1"/>
  <c r="C53" i="1" s="1"/>
  <c r="H55" i="1" s="1"/>
  <c r="H53" i="1" s="1"/>
  <c r="Q68" i="1"/>
  <c r="S67" i="1"/>
  <c r="M11" i="1"/>
  <c r="C11" i="1"/>
  <c r="C9" i="1" s="1"/>
  <c r="H11" i="1" s="1"/>
  <c r="H9" i="1" s="1"/>
  <c r="Q56" i="1"/>
  <c r="P57" i="1"/>
  <c r="P35" i="1"/>
  <c r="C72" i="1"/>
  <c r="C73" i="1" s="1"/>
  <c r="C64" i="1"/>
  <c r="H66" i="1" s="1"/>
  <c r="H64" i="1" s="1"/>
  <c r="H20" i="1"/>
  <c r="Q34" i="1"/>
  <c r="Q23" i="1"/>
  <c r="Q45" i="1"/>
  <c r="D66" i="1"/>
  <c r="N66" i="1"/>
  <c r="N44" i="1"/>
  <c r="D44" i="1" s="1"/>
  <c r="D42" i="1" s="1"/>
  <c r="G44" i="1" s="1"/>
  <c r="G42" i="1" s="1"/>
  <c r="S45" i="1"/>
  <c r="Q46" i="1"/>
  <c r="S23" i="1"/>
  <c r="Q20" i="1" s="1"/>
  <c r="Q24" i="1"/>
  <c r="H42" i="1"/>
  <c r="D22" i="1"/>
  <c r="D20" i="1" s="1"/>
  <c r="G22" i="1" s="1"/>
  <c r="G20" i="1" s="1"/>
  <c r="N22" i="1"/>
  <c r="M55" i="1" l="1"/>
  <c r="N55" i="1" s="1"/>
  <c r="D55" i="1" s="1"/>
  <c r="D53" i="1" s="1"/>
  <c r="G55" i="1" s="1"/>
  <c r="G53" i="1" s="1"/>
  <c r="R23" i="1"/>
  <c r="P20" i="1"/>
  <c r="R24" i="1"/>
  <c r="P42" i="1"/>
  <c r="Q42" i="1"/>
  <c r="S12" i="1"/>
  <c r="R13" i="1" s="1"/>
  <c r="S9" i="1" s="1"/>
  <c r="Q13" i="1"/>
  <c r="S34" i="1"/>
  <c r="Q35" i="1"/>
  <c r="N11" i="1"/>
  <c r="D11" i="1" s="1"/>
  <c r="D9" i="1" s="1"/>
  <c r="G11" i="1" s="1"/>
  <c r="G9" i="1" s="1"/>
  <c r="R46" i="1"/>
  <c r="S56" i="1"/>
  <c r="R57" i="1" s="1"/>
  <c r="Q57" i="1"/>
  <c r="P64" i="1"/>
  <c r="Q64" i="1"/>
  <c r="R67" i="1"/>
  <c r="R64" i="1" s="1"/>
  <c r="R45" i="1"/>
  <c r="D72" i="1"/>
  <c r="D73" i="1" s="1"/>
  <c r="D64" i="1"/>
  <c r="G66" i="1" s="1"/>
  <c r="G64" i="1" s="1"/>
  <c r="R68" i="1"/>
  <c r="S64" i="1" s="1"/>
  <c r="P31" i="1" l="1"/>
  <c r="R34" i="1"/>
  <c r="S20" i="1"/>
  <c r="F24" i="1" s="1"/>
  <c r="K24" i="1" s="1"/>
  <c r="R20" i="1"/>
  <c r="T20" i="1" s="1"/>
  <c r="F13" i="1"/>
  <c r="U9" i="1"/>
  <c r="F57" i="1"/>
  <c r="U53" i="1"/>
  <c r="T42" i="1"/>
  <c r="E46" i="1"/>
  <c r="J46" i="1" s="1"/>
  <c r="Q31" i="1"/>
  <c r="F68" i="1"/>
  <c r="U64" i="1"/>
  <c r="T64" i="1"/>
  <c r="E68" i="1"/>
  <c r="J68" i="1" s="1"/>
  <c r="P53" i="1"/>
  <c r="Q53" i="1"/>
  <c r="R56" i="1"/>
  <c r="Q9" i="1"/>
  <c r="R12" i="1"/>
  <c r="R9" i="1" s="1"/>
  <c r="F46" i="1"/>
  <c r="U42" i="1"/>
  <c r="R35" i="1"/>
  <c r="E24" i="1" l="1"/>
  <c r="J24" i="1" s="1"/>
  <c r="L24" i="1" s="1"/>
  <c r="U20" i="1"/>
  <c r="T53" i="1"/>
  <c r="E57" i="1"/>
  <c r="J57" i="1" s="1"/>
  <c r="E13" i="1"/>
  <c r="J13" i="1" s="1"/>
  <c r="K57" i="1"/>
  <c r="K46" i="1"/>
  <c r="L46" i="1" s="1"/>
  <c r="M46" i="1" s="1"/>
  <c r="F35" i="1"/>
  <c r="U31" i="1"/>
  <c r="K68" i="1"/>
  <c r="L68" i="1"/>
  <c r="M68" i="1" s="1"/>
  <c r="T31" i="1"/>
  <c r="E35" i="1"/>
  <c r="J35" i="1" s="1"/>
  <c r="K13" i="1"/>
  <c r="C24" i="1" l="1"/>
  <c r="W20" i="1" s="1"/>
  <c r="H24" i="1" s="1"/>
  <c r="Z20" i="1" s="1"/>
  <c r="M24" i="1"/>
  <c r="N24" i="1" s="1"/>
  <c r="D24" i="1" s="1"/>
  <c r="X20" i="1" s="1"/>
  <c r="G24" i="1" s="1"/>
  <c r="Y20" i="1" s="1"/>
  <c r="C46" i="1"/>
  <c r="W42" i="1" s="1"/>
  <c r="H46" i="1" s="1"/>
  <c r="Z42" i="1" s="1"/>
  <c r="L57" i="1"/>
  <c r="L13" i="1"/>
  <c r="N46" i="1"/>
  <c r="D46" i="1" s="1"/>
  <c r="X42" i="1" s="1"/>
  <c r="G46" i="1" s="1"/>
  <c r="Y42" i="1" s="1"/>
  <c r="K35" i="1"/>
  <c r="L35" i="1" s="1"/>
  <c r="M35" i="1" s="1"/>
  <c r="N68" i="1"/>
  <c r="D68" i="1" s="1"/>
  <c r="X64" i="1" s="1"/>
  <c r="G68" i="1" s="1"/>
  <c r="Y64" i="1" s="1"/>
  <c r="C68" i="1"/>
  <c r="W64" i="1" s="1"/>
  <c r="H68" i="1" s="1"/>
  <c r="Z64" i="1" s="1"/>
  <c r="C57" i="1" l="1"/>
  <c r="M57" i="1"/>
  <c r="M13" i="1"/>
  <c r="N13" i="1" s="1"/>
  <c r="D13" i="1" s="1"/>
  <c r="X9" i="1" s="1"/>
  <c r="G13" i="1" s="1"/>
  <c r="Y9" i="1" s="1"/>
  <c r="C13" i="1"/>
  <c r="C35" i="1"/>
  <c r="W31" i="1" s="1"/>
  <c r="H35" i="1" s="1"/>
  <c r="Z31" i="1" s="1"/>
  <c r="N35" i="1"/>
  <c r="D35" i="1" s="1"/>
  <c r="X31" i="1" s="1"/>
  <c r="G35" i="1" s="1"/>
  <c r="Y31" i="1" s="1"/>
  <c r="N57" i="1" l="1"/>
  <c r="D57" i="1" s="1"/>
  <c r="H57" i="1"/>
  <c r="Z53" i="1" s="1"/>
  <c r="H13" i="1"/>
  <c r="Z9" i="1" s="1"/>
  <c r="X53" i="1" l="1"/>
  <c r="G57" i="1" s="1"/>
  <c r="Y53" i="1" s="1"/>
</calcChain>
</file>

<file path=xl/sharedStrings.xml><?xml version="1.0" encoding="utf-8"?>
<sst xmlns="http://schemas.openxmlformats.org/spreadsheetml/2006/main" count="385" uniqueCount="67">
  <si>
    <t>Table 1</t>
  </si>
  <si>
    <t>Uniswap Share</t>
  </si>
  <si>
    <t>Yearn Share</t>
  </si>
  <si>
    <t>No Change</t>
  </si>
  <si>
    <t>90% Formula</t>
  </si>
  <si>
    <t>Price</t>
  </si>
  <si>
    <t>xInit</t>
  </si>
  <si>
    <t>yInit</t>
  </si>
  <si>
    <t>A0UniInit</t>
  </si>
  <si>
    <t>A1UniInit</t>
  </si>
  <si>
    <t>deviation_A0Uni</t>
  </si>
  <si>
    <t>deviation_A1Uni</t>
  </si>
  <si>
    <t>A0YInit</t>
  </si>
  <si>
    <t>A1YInit</t>
  </si>
  <si>
    <t>t0beforeRebal</t>
  </si>
  <si>
    <t>t1beforeRebal</t>
  </si>
  <si>
    <t>delta_a0</t>
  </si>
  <si>
    <t>delta_a1</t>
  </si>
  <si>
    <t>PriceToSwap</t>
  </si>
  <si>
    <t>swap0to1</t>
  </si>
  <si>
    <t>swap1to0</t>
  </si>
  <si>
    <t>t0afterSwap</t>
  </si>
  <si>
    <t>t1afterSwap</t>
  </si>
  <si>
    <t>uniShare0</t>
  </si>
  <si>
    <t>uniShare1</t>
  </si>
  <si>
    <t>Price_New</t>
  </si>
  <si>
    <t>xNew</t>
  </si>
  <si>
    <t>yNew</t>
  </si>
  <si>
    <t>Pre-Rebalance</t>
  </si>
  <si>
    <t>sqrtPriceCurrent</t>
  </si>
  <si>
    <t>sqrtPriceLower</t>
  </si>
  <si>
    <t>sqrtPriceUpper</t>
  </si>
  <si>
    <t>totalAsset0</t>
  </si>
  <si>
    <t>totalAsset1</t>
  </si>
  <si>
    <t>A0Uni_Practical</t>
  </si>
  <si>
    <t>A1Uni_Practical</t>
  </si>
  <si>
    <t>Infinity</t>
  </si>
  <si>
    <t>L_0</t>
  </si>
  <si>
    <t>L_1</t>
  </si>
  <si>
    <t>L</t>
  </si>
  <si>
    <t>Num</t>
  </si>
  <si>
    <t>Den</t>
  </si>
  <si>
    <t>Swapping Mechanism</t>
  </si>
  <si>
    <t>PreSwap</t>
  </si>
  <si>
    <t>PostSwap</t>
  </si>
  <si>
    <t>Excess</t>
  </si>
  <si>
    <t>Post Rebalance</t>
  </si>
  <si>
    <t>sqrtPriceNew</t>
  </si>
  <si>
    <t xml:space="preserve">Token0 (ETH) </t>
  </si>
  <si>
    <t>Token1 (USDC)</t>
  </si>
  <si>
    <t>t1beforeRebal &gt; A1UniInit + A1YInit</t>
  </si>
  <si>
    <t>t0beforeRebal &gt; A0UniInit + A0YInit</t>
  </si>
  <si>
    <t>t1beforeRebal &lt; A1UniInit + A1YInit</t>
  </si>
  <si>
    <t>totalAsset0AfterSwap</t>
  </si>
  <si>
    <t>WCS</t>
  </si>
  <si>
    <t>Worst Case Price</t>
  </si>
  <si>
    <t>Lower</t>
  </si>
  <si>
    <t>Upper</t>
  </si>
  <si>
    <t>Actual Ticks</t>
  </si>
  <si>
    <t>Actual Price</t>
  </si>
  <si>
    <t>Floor</t>
  </si>
  <si>
    <t>Ceiling</t>
  </si>
  <si>
    <t>Mid</t>
  </si>
  <si>
    <t>Mid Tick</t>
  </si>
  <si>
    <t>sqrtPriceMid</t>
  </si>
  <si>
    <t>Uniswap Tick Goes Out Of Bounds</t>
  </si>
  <si>
    <t>Excess 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</si>
</sst>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"/>
  </numFmts>
  <fonts count="1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8"/>
      <color indexed="8"/>
      <name val="Helvetica Neue"/>
    </font>
    <font>
      <b/>
      <sz val="12"/>
      <color indexed="8"/>
      <name val="Helvetica Neue"/>
    </font>
    <font>
      <i/>
      <sz val="10"/>
      <color indexed="8"/>
      <name val="Helvetica Neue"/>
    </font>
    <font>
      <sz val="11"/>
      <color indexed="8"/>
      <name val="Calibri"/>
    </font>
    <font>
      <sz val="10"/>
      <color indexed="20"/>
      <name val="Helvetica Neue"/>
    </font>
    <font>
      <b/>
      <sz val="10"/>
      <color theme="3"/>
      <name val="Helvetica Neue"/>
    </font>
    <font>
      <sz val="10"/>
      <color theme="3"/>
      <name val="Helvetica Neue"/>
    </font>
    <font>
      <b/>
      <sz val="12"/>
      <color theme="3"/>
      <name val="Helvetica Neue"/>
    </font>
    <font>
      <i/>
      <sz val="10"/>
      <color theme="3"/>
      <name val="Helvetica Neue"/>
    </font>
    <font>
      <sz val="11"/>
      <color theme="3"/>
      <name val="Calibri"/>
      <family val="2"/>
    </font>
    <font>
      <sz val="12"/>
      <color theme="3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3"/>
        <bgColor auto="1"/>
      </patternFill>
    </fill>
  </fills>
  <borders count="6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medium">
        <color indexed="8"/>
      </right>
      <top style="thin">
        <color indexed="13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medium">
        <color indexed="8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medium">
        <color indexed="8"/>
      </top>
      <bottom style="thin">
        <color indexed="11"/>
      </bottom>
      <diagonal/>
    </border>
    <border>
      <left style="thick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ck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ck">
        <color indexed="8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21"/>
      </bottom>
      <diagonal/>
    </border>
    <border>
      <left style="medium">
        <color indexed="8"/>
      </left>
      <right style="thin">
        <color indexed="11"/>
      </right>
      <top style="thin">
        <color indexed="21"/>
      </top>
      <bottom style="medium">
        <color indexed="8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ck">
        <color indexed="8"/>
      </right>
      <top style="thin">
        <color indexed="11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22"/>
      </bottom>
      <diagonal/>
    </border>
    <border>
      <left style="thin">
        <color indexed="11"/>
      </left>
      <right/>
      <top style="thick">
        <color indexed="8"/>
      </top>
      <bottom style="thin">
        <color indexed="22"/>
      </bottom>
      <diagonal/>
    </border>
    <border>
      <left/>
      <right style="thin">
        <color indexed="11"/>
      </right>
      <top style="thick">
        <color indexed="8"/>
      </top>
      <bottom style="thin">
        <color indexed="22"/>
      </bottom>
      <diagonal/>
    </border>
    <border>
      <left style="thin">
        <color indexed="11"/>
      </left>
      <right style="thin">
        <color indexed="11"/>
      </right>
      <top style="thin">
        <color indexed="22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6">
    <xf numFmtId="0" fontId="0" fillId="0" borderId="0" xfId="0" applyFont="1" applyAlignment="1">
      <alignment vertical="top" wrapText="1"/>
    </xf>
    <xf numFmtId="164" fontId="13" fillId="2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vertical="top" wrapText="1"/>
    </xf>
    <xf numFmtId="164" fontId="2" fillId="3" borderId="6" xfId="0" applyNumberFormat="1" applyFont="1" applyFill="1" applyBorder="1" applyAlignment="1">
      <alignment vertical="top" wrapText="1"/>
    </xf>
    <xf numFmtId="164" fontId="2" fillId="4" borderId="7" xfId="0" applyNumberFormat="1" applyFont="1" applyFill="1" applyBorder="1" applyAlignment="1">
      <alignment horizontal="center" vertical="top" wrapText="1"/>
    </xf>
    <xf numFmtId="164" fontId="2" fillId="3" borderId="8" xfId="0" applyNumberFormat="1" applyFont="1" applyFill="1" applyBorder="1" applyAlignment="1">
      <alignment vertical="top" wrapText="1"/>
    </xf>
    <xf numFmtId="164" fontId="2" fillId="3" borderId="9" xfId="0" applyNumberFormat="1" applyFont="1" applyFill="1" applyBorder="1" applyAlignment="1">
      <alignment vertical="top" wrapText="1"/>
    </xf>
    <xf numFmtId="164" fontId="8" fillId="3" borderId="9" xfId="0" applyNumberFormat="1" applyFont="1" applyFill="1" applyBorder="1" applyAlignment="1">
      <alignment vertical="top" wrapText="1"/>
    </xf>
    <xf numFmtId="164" fontId="0" fillId="2" borderId="10" xfId="0" applyNumberFormat="1" applyFont="1" applyFill="1" applyBorder="1" applyAlignment="1">
      <alignment vertical="top" wrapText="1"/>
    </xf>
    <xf numFmtId="164" fontId="2" fillId="2" borderId="11" xfId="0" applyNumberFormat="1" applyFont="1" applyFill="1" applyBorder="1" applyAlignment="1">
      <alignment horizontal="center" vertical="top" wrapText="1"/>
    </xf>
    <xf numFmtId="164" fontId="0" fillId="2" borderId="12" xfId="0" applyNumberFormat="1" applyFont="1" applyFill="1" applyBorder="1" applyAlignment="1">
      <alignment vertical="top" wrapText="1"/>
    </xf>
    <xf numFmtId="164" fontId="0" fillId="2" borderId="13" xfId="0" applyNumberFormat="1" applyFont="1" applyFill="1" applyBorder="1" applyAlignment="1">
      <alignment vertical="top" wrapText="1"/>
    </xf>
    <xf numFmtId="164" fontId="9" fillId="2" borderId="14" xfId="0" applyNumberFormat="1" applyFont="1" applyFill="1" applyBorder="1" applyAlignment="1">
      <alignment vertical="top" wrapText="1"/>
    </xf>
    <xf numFmtId="164" fontId="0" fillId="2" borderId="14" xfId="0" applyNumberFormat="1" applyFont="1" applyFill="1" applyBorder="1" applyAlignment="1">
      <alignment vertical="top" wrapText="1"/>
    </xf>
    <xf numFmtId="164" fontId="9" fillId="2" borderId="13" xfId="0" applyNumberFormat="1" applyFont="1" applyFill="1" applyBorder="1" applyAlignment="1">
      <alignment vertical="top" wrapText="1"/>
    </xf>
    <xf numFmtId="164" fontId="0" fillId="2" borderId="15" xfId="0" applyNumberFormat="1" applyFont="1" applyFill="1" applyBorder="1" applyAlignment="1">
      <alignment vertical="top" wrapText="1"/>
    </xf>
    <xf numFmtId="164" fontId="0" fillId="2" borderId="16" xfId="0" applyNumberFormat="1" applyFont="1" applyFill="1" applyBorder="1" applyAlignment="1">
      <alignment vertical="top" wrapText="1"/>
    </xf>
    <xf numFmtId="164" fontId="0" fillId="2" borderId="16" xfId="0" applyNumberFormat="1" applyFont="1" applyFill="1" applyBorder="1" applyAlignment="1">
      <alignment horizontal="left" vertical="top" wrapText="1"/>
    </xf>
    <xf numFmtId="164" fontId="0" fillId="2" borderId="15" xfId="0" applyNumberFormat="1" applyFont="1" applyFill="1" applyBorder="1" applyAlignment="1">
      <alignment horizontal="left" vertical="top" wrapText="1"/>
    </xf>
    <xf numFmtId="164" fontId="9" fillId="2" borderId="17" xfId="0" applyNumberFormat="1" applyFont="1" applyFill="1" applyBorder="1" applyAlignment="1">
      <alignment vertical="top" wrapText="1"/>
    </xf>
    <xf numFmtId="164" fontId="0" fillId="2" borderId="17" xfId="0" applyNumberFormat="1" applyFont="1" applyFill="1" applyBorder="1" applyAlignment="1">
      <alignment vertical="top" wrapText="1"/>
    </xf>
    <xf numFmtId="164" fontId="9" fillId="2" borderId="15" xfId="0" applyNumberFormat="1" applyFont="1" applyFill="1" applyBorder="1" applyAlignment="1">
      <alignment horizontal="left" vertical="top" wrapText="1"/>
    </xf>
    <xf numFmtId="164" fontId="2" fillId="6" borderId="30" xfId="0" applyNumberFormat="1" applyFont="1" applyFill="1" applyBorder="1" applyAlignment="1">
      <alignment horizontal="center" vertical="top" wrapText="1"/>
    </xf>
    <xf numFmtId="164" fontId="0" fillId="2" borderId="31" xfId="0" applyNumberFormat="1" applyFont="1" applyFill="1" applyBorder="1" applyAlignment="1">
      <alignment horizontal="left" vertical="top" wrapText="1"/>
    </xf>
    <xf numFmtId="164" fontId="0" fillId="2" borderId="32" xfId="0" applyNumberFormat="1" applyFont="1" applyFill="1" applyBorder="1" applyAlignment="1">
      <alignment horizontal="left" vertical="top" wrapText="1"/>
    </xf>
    <xf numFmtId="164" fontId="4" fillId="8" borderId="36" xfId="0" applyNumberFormat="1" applyFont="1" applyFill="1" applyBorder="1" applyAlignment="1">
      <alignment horizontal="center" vertical="top" wrapText="1"/>
    </xf>
    <xf numFmtId="164" fontId="4" fillId="4" borderId="27" xfId="0" applyNumberFormat="1" applyFont="1" applyFill="1" applyBorder="1" applyAlignment="1">
      <alignment horizontal="center" vertical="top" wrapText="1"/>
    </xf>
    <xf numFmtId="164" fontId="10" fillId="4" borderId="27" xfId="0" applyNumberFormat="1" applyFont="1" applyFill="1" applyBorder="1" applyAlignment="1">
      <alignment horizontal="center" vertical="top" wrapText="1"/>
    </xf>
    <xf numFmtId="164" fontId="4" fillId="8" borderId="27" xfId="0" applyNumberFormat="1" applyFont="1" applyFill="1" applyBorder="1" applyAlignment="1">
      <alignment horizontal="center" vertical="top" wrapText="1"/>
    </xf>
    <xf numFmtId="164" fontId="10" fillId="4" borderId="28" xfId="0" applyNumberFormat="1" applyFont="1" applyFill="1" applyBorder="1" applyAlignment="1">
      <alignment horizontal="center" vertical="top" wrapText="1"/>
    </xf>
    <xf numFmtId="164" fontId="4" fillId="2" borderId="33" xfId="0" applyNumberFormat="1" applyFont="1" applyFill="1" applyBorder="1" applyAlignment="1">
      <alignment horizontal="justify" vertical="top" wrapText="1"/>
    </xf>
    <xf numFmtId="164" fontId="4" fillId="2" borderId="25" xfId="0" applyNumberFormat="1" applyFont="1" applyFill="1" applyBorder="1" applyAlignment="1">
      <alignment horizontal="justify" vertical="top" wrapText="1"/>
    </xf>
    <xf numFmtId="164" fontId="10" fillId="2" borderId="25" xfId="0" applyNumberFormat="1" applyFont="1" applyFill="1" applyBorder="1" applyAlignment="1">
      <alignment horizontal="justify" vertical="top" wrapText="1"/>
    </xf>
    <xf numFmtId="164" fontId="10" fillId="2" borderId="35" xfId="0" applyNumberFormat="1" applyFont="1" applyFill="1" applyBorder="1" applyAlignment="1">
      <alignment horizontal="justify" vertical="top" wrapText="1"/>
    </xf>
    <xf numFmtId="164" fontId="5" fillId="9" borderId="36" xfId="0" applyNumberFormat="1" applyFont="1" applyFill="1" applyBorder="1" applyAlignment="1">
      <alignment vertical="top" wrapText="1"/>
    </xf>
    <xf numFmtId="164" fontId="5" fillId="9" borderId="27" xfId="0" applyNumberFormat="1" applyFont="1" applyFill="1" applyBorder="1" applyAlignment="1">
      <alignment vertical="top" wrapText="1"/>
    </xf>
    <xf numFmtId="164" fontId="5" fillId="8" borderId="27" xfId="0" applyNumberFormat="1" applyFont="1" applyFill="1" applyBorder="1" applyAlignment="1">
      <alignment vertical="top" wrapText="1"/>
    </xf>
    <xf numFmtId="164" fontId="11" fillId="9" borderId="27" xfId="0" applyNumberFormat="1" applyFont="1" applyFill="1" applyBorder="1" applyAlignment="1">
      <alignment vertical="top" wrapText="1"/>
    </xf>
    <xf numFmtId="164" fontId="5" fillId="9" borderId="39" xfId="0" applyNumberFormat="1" applyFont="1" applyFill="1" applyBorder="1" applyAlignment="1">
      <alignment vertical="top" wrapText="1"/>
    </xf>
    <xf numFmtId="164" fontId="0" fillId="9" borderId="33" xfId="0" applyNumberFormat="1" applyFont="1" applyFill="1" applyBorder="1" applyAlignment="1">
      <alignment horizontal="justify" vertical="top" wrapText="1"/>
    </xf>
    <xf numFmtId="164" fontId="0" fillId="9" borderId="25" xfId="0" applyNumberFormat="1" applyFont="1" applyFill="1" applyBorder="1" applyAlignment="1">
      <alignment horizontal="justify" vertical="top" wrapText="1"/>
    </xf>
    <xf numFmtId="164" fontId="6" fillId="9" borderId="25" xfId="0" applyNumberFormat="1" applyFont="1" applyFill="1" applyBorder="1" applyAlignment="1">
      <alignment horizontal="justify" vertical="top" wrapText="1"/>
    </xf>
    <xf numFmtId="164" fontId="12" fillId="9" borderId="25" xfId="0" applyNumberFormat="1" applyFont="1" applyFill="1" applyBorder="1" applyAlignment="1">
      <alignment horizontal="justify" vertical="top" wrapText="1"/>
    </xf>
    <xf numFmtId="164" fontId="0" fillId="9" borderId="34" xfId="0" applyNumberFormat="1" applyFont="1" applyFill="1" applyBorder="1" applyAlignment="1">
      <alignment horizontal="justify" vertical="top" wrapText="1"/>
    </xf>
    <xf numFmtId="164" fontId="0" fillId="9" borderId="40" xfId="0" applyNumberFormat="1" applyFont="1" applyFill="1" applyBorder="1" applyAlignment="1">
      <alignment horizontal="justify" vertical="top" wrapText="1"/>
    </xf>
    <xf numFmtId="164" fontId="0" fillId="9" borderId="39" xfId="0" applyNumberFormat="1" applyFont="1" applyFill="1" applyBorder="1" applyAlignment="1">
      <alignment vertical="top" wrapText="1"/>
    </xf>
    <xf numFmtId="164" fontId="7" fillId="9" borderId="44" xfId="0" applyNumberFormat="1" applyFont="1" applyFill="1" applyBorder="1" applyAlignment="1">
      <alignment vertical="top" wrapText="1"/>
    </xf>
    <xf numFmtId="164" fontId="0" fillId="9" borderId="44" xfId="0" applyNumberFormat="1" applyFont="1" applyFill="1" applyBorder="1" applyAlignment="1">
      <alignment vertical="top" wrapText="1"/>
    </xf>
    <xf numFmtId="164" fontId="0" fillId="9" borderId="46" xfId="0" applyNumberFormat="1" applyFont="1" applyFill="1" applyBorder="1" applyAlignment="1">
      <alignment horizontal="justify" vertical="top" wrapText="1"/>
    </xf>
    <xf numFmtId="164" fontId="0" fillId="9" borderId="15" xfId="0" applyNumberFormat="1" applyFont="1" applyFill="1" applyBorder="1" applyAlignment="1">
      <alignment horizontal="justify" vertical="top" wrapText="1"/>
    </xf>
    <xf numFmtId="164" fontId="12" fillId="9" borderId="15" xfId="0" applyNumberFormat="1" applyFont="1" applyFill="1" applyBorder="1" applyAlignment="1">
      <alignment horizontal="justify" vertical="top" wrapText="1"/>
    </xf>
    <xf numFmtId="164" fontId="0" fillId="9" borderId="47" xfId="0" applyNumberFormat="1" applyFont="1" applyFill="1" applyBorder="1" applyAlignment="1">
      <alignment horizontal="justify" vertical="top" wrapText="1"/>
    </xf>
    <xf numFmtId="164" fontId="5" fillId="9" borderId="46" xfId="0" applyNumberFormat="1" applyFont="1" applyFill="1" applyBorder="1" applyAlignment="1">
      <alignment vertical="top" wrapText="1"/>
    </xf>
    <xf numFmtId="164" fontId="0" fillId="9" borderId="47" xfId="0" applyNumberFormat="1" applyFont="1" applyFill="1" applyBorder="1" applyAlignment="1">
      <alignment vertical="top" wrapText="1"/>
    </xf>
    <xf numFmtId="164" fontId="7" fillId="9" borderId="48" xfId="0" applyNumberFormat="1" applyFont="1" applyFill="1" applyBorder="1" applyAlignment="1">
      <alignment vertical="top" wrapText="1"/>
    </xf>
    <xf numFmtId="164" fontId="0" fillId="9" borderId="48" xfId="0" applyNumberFormat="1" applyFont="1" applyFill="1" applyBorder="1" applyAlignment="1">
      <alignment vertical="top" wrapText="1"/>
    </xf>
    <xf numFmtId="164" fontId="2" fillId="9" borderId="48" xfId="0" applyNumberFormat="1" applyFont="1" applyFill="1" applyBorder="1" applyAlignment="1">
      <alignment vertical="top" wrapText="1"/>
    </xf>
    <xf numFmtId="164" fontId="0" fillId="2" borderId="20" xfId="0" applyNumberFormat="1" applyFont="1" applyFill="1" applyBorder="1" applyAlignment="1">
      <alignment vertical="top" wrapText="1"/>
    </xf>
    <xf numFmtId="164" fontId="9" fillId="2" borderId="20" xfId="0" applyNumberFormat="1" applyFont="1" applyFill="1" applyBorder="1" applyAlignment="1">
      <alignment vertical="top" wrapText="1"/>
    </xf>
    <xf numFmtId="164" fontId="9" fillId="2" borderId="15" xfId="0" applyNumberFormat="1" applyFont="1" applyFill="1" applyBorder="1" applyAlignment="1">
      <alignment vertical="top" wrapText="1"/>
    </xf>
    <xf numFmtId="164" fontId="0" fillId="2" borderId="20" xfId="0" applyNumberFormat="1" applyFont="1" applyFill="1" applyBorder="1" applyAlignment="1">
      <alignment horizontal="justify" vertical="top" wrapText="1"/>
    </xf>
    <xf numFmtId="164" fontId="9" fillId="2" borderId="20" xfId="0" applyNumberFormat="1" applyFont="1" applyFill="1" applyBorder="1" applyAlignment="1">
      <alignment horizontal="justify" vertical="top" wrapText="1"/>
    </xf>
    <xf numFmtId="164" fontId="0" fillId="2" borderId="15" xfId="0" applyNumberFormat="1" applyFont="1" applyFill="1" applyBorder="1" applyAlignment="1">
      <alignment horizontal="justify" vertical="top" wrapText="1"/>
    </xf>
    <xf numFmtId="164" fontId="9" fillId="2" borderId="15" xfId="0" applyNumberFormat="1" applyFont="1" applyFill="1" applyBorder="1" applyAlignment="1">
      <alignment horizontal="justify" vertical="top" wrapText="1"/>
    </xf>
    <xf numFmtId="164" fontId="0" fillId="2" borderId="25" xfId="0" applyNumberFormat="1" applyFont="1" applyFill="1" applyBorder="1" applyAlignment="1">
      <alignment horizontal="justify" vertical="top" wrapText="1"/>
    </xf>
    <xf numFmtId="164" fontId="9" fillId="2" borderId="25" xfId="0" applyNumberFormat="1" applyFont="1" applyFill="1" applyBorder="1" applyAlignment="1">
      <alignment horizontal="justify" vertical="top" wrapText="1"/>
    </xf>
    <xf numFmtId="164" fontId="0" fillId="2" borderId="25" xfId="0" applyNumberFormat="1" applyFont="1" applyFill="1" applyBorder="1" applyAlignment="1">
      <alignment vertical="top" wrapText="1"/>
    </xf>
    <xf numFmtId="164" fontId="9" fillId="2" borderId="25" xfId="0" applyNumberFormat="1" applyFont="1" applyFill="1" applyBorder="1" applyAlignment="1">
      <alignment vertical="top" wrapText="1"/>
    </xf>
    <xf numFmtId="164" fontId="4" fillId="8" borderId="57" xfId="0" applyNumberFormat="1" applyFont="1" applyFill="1" applyBorder="1" applyAlignment="1">
      <alignment horizontal="center" vertical="top" wrapText="1"/>
    </xf>
    <xf numFmtId="164" fontId="4" fillId="2" borderId="58" xfId="0" applyNumberFormat="1" applyFont="1" applyFill="1" applyBorder="1" applyAlignment="1">
      <alignment horizontal="justify" vertical="top" wrapText="1"/>
    </xf>
    <xf numFmtId="164" fontId="4" fillId="2" borderId="15" xfId="0" applyNumberFormat="1" applyFont="1" applyFill="1" applyBorder="1" applyAlignment="1">
      <alignment horizontal="justify" vertical="top" wrapText="1"/>
    </xf>
    <xf numFmtId="164" fontId="10" fillId="2" borderId="15" xfId="0" applyNumberFormat="1" applyFont="1" applyFill="1" applyBorder="1" applyAlignment="1">
      <alignment horizontal="justify" vertical="top" wrapText="1"/>
    </xf>
    <xf numFmtId="164" fontId="10" fillId="2" borderId="59" xfId="0" applyNumberFormat="1" applyFont="1" applyFill="1" applyBorder="1" applyAlignment="1">
      <alignment horizontal="justify" vertical="top" wrapText="1"/>
    </xf>
    <xf numFmtId="164" fontId="0" fillId="9" borderId="41" xfId="0" applyNumberFormat="1" applyFont="1" applyFill="1" applyBorder="1" applyAlignment="1">
      <alignment horizontal="justify" vertical="top" wrapText="1"/>
    </xf>
    <xf numFmtId="164" fontId="0" fillId="9" borderId="62" xfId="0" applyNumberFormat="1" applyFont="1" applyFill="1" applyBorder="1" applyAlignment="1">
      <alignment vertical="top" wrapText="1"/>
    </xf>
    <xf numFmtId="164" fontId="2" fillId="9" borderId="63" xfId="0" applyNumberFormat="1" applyFont="1" applyFill="1" applyBorder="1" applyAlignment="1">
      <alignment vertical="top" wrapText="1"/>
    </xf>
    <xf numFmtId="164" fontId="0" fillId="2" borderId="65" xfId="0" applyNumberFormat="1" applyFont="1" applyFill="1" applyBorder="1" applyAlignment="1">
      <alignment vertical="top" wrapText="1"/>
    </xf>
    <xf numFmtId="164" fontId="0" fillId="2" borderId="65" xfId="0" applyNumberFormat="1" applyFont="1" applyFill="1" applyBorder="1" applyAlignment="1">
      <alignment horizontal="justify" vertical="top" wrapText="1"/>
    </xf>
    <xf numFmtId="164" fontId="0" fillId="2" borderId="66" xfId="0" applyNumberFormat="1" applyFont="1" applyFill="1" applyBorder="1" applyAlignment="1">
      <alignment vertical="top" wrapText="1"/>
    </xf>
    <xf numFmtId="164" fontId="0" fillId="2" borderId="67" xfId="0" applyNumberFormat="1" applyFont="1" applyFill="1" applyBorder="1" applyAlignment="1">
      <alignment vertical="top" wrapText="1"/>
    </xf>
    <xf numFmtId="164" fontId="9" fillId="2" borderId="65" xfId="0" applyNumberFormat="1" applyFont="1" applyFill="1" applyBorder="1" applyAlignment="1">
      <alignment horizontal="justify" vertical="top" wrapText="1"/>
    </xf>
    <xf numFmtId="164" fontId="9" fillId="2" borderId="65" xfId="0" applyNumberFormat="1" applyFont="1" applyFill="1" applyBorder="1" applyAlignment="1">
      <alignment vertical="top" wrapText="1"/>
    </xf>
    <xf numFmtId="164" fontId="0" fillId="2" borderId="68" xfId="0" applyNumberFormat="1" applyFont="1" applyFill="1" applyBorder="1" applyAlignment="1">
      <alignment vertical="top" wrapText="1"/>
    </xf>
    <xf numFmtId="164" fontId="2" fillId="2" borderId="68" xfId="0" applyNumberFormat="1" applyFont="1" applyFill="1" applyBorder="1" applyAlignment="1">
      <alignment horizontal="justify" vertical="top" wrapText="1"/>
    </xf>
    <xf numFmtId="164" fontId="0" fillId="2" borderId="68" xfId="0" applyNumberFormat="1" applyFont="1" applyFill="1" applyBorder="1" applyAlignment="1">
      <alignment horizontal="justify" vertical="top" wrapText="1"/>
    </xf>
    <xf numFmtId="164" fontId="9" fillId="2" borderId="68" xfId="0" applyNumberFormat="1" applyFont="1" applyFill="1" applyBorder="1" applyAlignment="1">
      <alignment horizontal="justify" vertical="top" wrapText="1"/>
    </xf>
    <xf numFmtId="164" fontId="9" fillId="2" borderId="68" xfId="0" applyNumberFormat="1" applyFont="1" applyFill="1" applyBorder="1" applyAlignment="1">
      <alignment vertical="top" wrapText="1"/>
    </xf>
    <xf numFmtId="164" fontId="0" fillId="2" borderId="26" xfId="0" applyNumberFormat="1" applyFont="1" applyFill="1" applyBorder="1" applyAlignment="1">
      <alignment vertical="top" wrapText="1"/>
    </xf>
    <xf numFmtId="164" fontId="0" fillId="0" borderId="26" xfId="0" applyNumberFormat="1" applyFont="1" applyBorder="1" applyAlignment="1">
      <alignment horizontal="justify" vertical="top" wrapText="1"/>
    </xf>
    <xf numFmtId="164" fontId="2" fillId="10" borderId="26" xfId="0" applyNumberFormat="1" applyFont="1" applyFill="1" applyBorder="1" applyAlignment="1">
      <alignment horizontal="justify" vertical="top" wrapText="1"/>
    </xf>
    <xf numFmtId="164" fontId="0" fillId="2" borderId="26" xfId="0" applyNumberFormat="1" applyFont="1" applyFill="1" applyBorder="1" applyAlignment="1">
      <alignment horizontal="justify" vertical="top" wrapText="1"/>
    </xf>
    <xf numFmtId="164" fontId="9" fillId="2" borderId="26" xfId="0" applyNumberFormat="1" applyFont="1" applyFill="1" applyBorder="1" applyAlignment="1">
      <alignment horizontal="justify" vertical="top" wrapText="1"/>
    </xf>
    <xf numFmtId="164" fontId="9" fillId="2" borderId="26" xfId="0" applyNumberFormat="1" applyFont="1" applyFill="1" applyBorder="1" applyAlignment="1">
      <alignment vertical="top" wrapText="1"/>
    </xf>
    <xf numFmtId="164" fontId="2" fillId="2" borderId="26" xfId="0" applyNumberFormat="1" applyFont="1" applyFill="1" applyBorder="1" applyAlignment="1">
      <alignment horizontal="justify" vertical="top" wrapText="1"/>
    </xf>
    <xf numFmtId="164" fontId="2" fillId="2" borderId="26" xfId="0" applyNumberFormat="1" applyFont="1" applyFill="1" applyBorder="1" applyAlignment="1">
      <alignment horizontal="left" vertical="top" wrapText="1"/>
    </xf>
    <xf numFmtId="164" fontId="9" fillId="0" borderId="0" xfId="0" applyNumberFormat="1" applyFont="1" applyAlignment="1">
      <alignment vertical="top" wrapText="1"/>
    </xf>
    <xf numFmtId="164" fontId="2" fillId="4" borderId="38" xfId="0" applyNumberFormat="1" applyFont="1" applyFill="1" applyBorder="1" applyAlignment="1">
      <alignment horizontal="center" vertical="top" wrapText="1"/>
    </xf>
    <xf numFmtId="164" fontId="2" fillId="4" borderId="45" xfId="0" applyNumberFormat="1" applyFont="1" applyFill="1" applyBorder="1" applyAlignment="1">
      <alignment horizontal="center" vertical="top" wrapText="1"/>
    </xf>
    <xf numFmtId="164" fontId="0" fillId="2" borderId="51" xfId="0" applyNumberFormat="1" applyFont="1" applyFill="1" applyBorder="1" applyAlignment="1">
      <alignment vertical="top" wrapText="1"/>
    </xf>
    <xf numFmtId="164" fontId="0" fillId="2" borderId="54" xfId="0" applyNumberFormat="1" applyFont="1" applyFill="1" applyBorder="1" applyAlignment="1">
      <alignment vertical="top" wrapText="1"/>
    </xf>
    <xf numFmtId="164" fontId="0" fillId="2" borderId="29" xfId="0" applyNumberFormat="1" applyFont="1" applyFill="1" applyBorder="1" applyAlignment="1">
      <alignment vertical="top" wrapText="1"/>
    </xf>
    <xf numFmtId="164" fontId="0" fillId="2" borderId="37" xfId="0" applyNumberFormat="1" applyFont="1" applyFill="1" applyBorder="1" applyAlignment="1">
      <alignment vertical="top" wrapText="1"/>
    </xf>
    <xf numFmtId="164" fontId="0" fillId="5" borderId="33" xfId="0" applyNumberFormat="1" applyFont="1" applyFill="1" applyBorder="1" applyAlignment="1">
      <alignment vertical="top" wrapText="1"/>
    </xf>
    <xf numFmtId="164" fontId="0" fillId="2" borderId="25" xfId="0" applyNumberFormat="1" applyFont="1" applyFill="1" applyBorder="1" applyAlignment="1">
      <alignment vertical="top" wrapText="1"/>
    </xf>
    <xf numFmtId="164" fontId="0" fillId="2" borderId="34" xfId="0" applyNumberFormat="1" applyFont="1" applyFill="1" applyBorder="1" applyAlignment="1">
      <alignment vertical="top" wrapText="1"/>
    </xf>
    <xf numFmtId="164" fontId="0" fillId="2" borderId="36" xfId="0" applyNumberFormat="1" applyFont="1" applyFill="1" applyBorder="1" applyAlignment="1">
      <alignment vertical="top" wrapText="1"/>
    </xf>
    <xf numFmtId="164" fontId="0" fillId="2" borderId="27" xfId="0" applyNumberFormat="1" applyFont="1" applyFill="1" applyBorder="1" applyAlignment="1">
      <alignment vertical="top" wrapText="1"/>
    </xf>
    <xf numFmtId="164" fontId="0" fillId="2" borderId="39" xfId="0" applyNumberFormat="1" applyFont="1" applyFill="1" applyBorder="1" applyAlignment="1">
      <alignment vertical="top" wrapText="1"/>
    </xf>
    <xf numFmtId="164" fontId="0" fillId="2" borderId="40" xfId="0" applyNumberFormat="1" applyFont="1" applyFill="1" applyBorder="1" applyAlignment="1">
      <alignment vertical="top" wrapText="1"/>
    </xf>
    <xf numFmtId="164" fontId="0" fillId="2" borderId="41" xfId="0" applyNumberFormat="1" applyFont="1" applyFill="1" applyBorder="1" applyAlignment="1">
      <alignment vertical="top" wrapText="1"/>
    </xf>
    <xf numFmtId="164" fontId="0" fillId="2" borderId="42" xfId="0" applyNumberFormat="1" applyFont="1" applyFill="1" applyBorder="1" applyAlignment="1">
      <alignment vertical="top" wrapText="1"/>
    </xf>
    <xf numFmtId="164" fontId="0" fillId="2" borderId="26" xfId="0" applyNumberFormat="1" applyFont="1" applyFill="1" applyBorder="1" applyAlignment="1">
      <alignment vertical="top" wrapText="1"/>
    </xf>
    <xf numFmtId="164" fontId="0" fillId="2" borderId="43" xfId="0" applyNumberFormat="1" applyFont="1" applyFill="1" applyBorder="1" applyAlignment="1">
      <alignment vertical="top" wrapText="1"/>
    </xf>
    <xf numFmtId="164" fontId="0" fillId="2" borderId="46" xfId="0" applyNumberFormat="1" applyFont="1" applyFill="1" applyBorder="1" applyAlignment="1">
      <alignment vertical="top" wrapText="1"/>
    </xf>
    <xf numFmtId="164" fontId="0" fillId="2" borderId="15" xfId="0" applyNumberFormat="1" applyFont="1" applyFill="1" applyBorder="1" applyAlignment="1">
      <alignment vertical="top" wrapText="1"/>
    </xf>
    <xf numFmtId="164" fontId="0" fillId="2" borderId="47" xfId="0" applyNumberFormat="1" applyFont="1" applyFill="1" applyBorder="1" applyAlignment="1">
      <alignment vertical="top" wrapText="1"/>
    </xf>
    <xf numFmtId="164" fontId="0" fillId="2" borderId="49" xfId="0" applyNumberFormat="1" applyFont="1" applyFill="1" applyBorder="1" applyAlignment="1">
      <alignment vertical="top" wrapText="1"/>
    </xf>
    <xf numFmtId="164" fontId="0" fillId="2" borderId="50" xfId="0" applyNumberFormat="1" applyFont="1" applyFill="1" applyBorder="1" applyAlignment="1">
      <alignment vertical="top" wrapText="1"/>
    </xf>
    <xf numFmtId="164" fontId="9" fillId="7" borderId="33" xfId="0" applyNumberFormat="1" applyFont="1" applyFill="1" applyBorder="1" applyAlignment="1">
      <alignment horizontal="left" vertical="top" wrapText="1"/>
    </xf>
    <xf numFmtId="164" fontId="9" fillId="2" borderId="35" xfId="0" applyNumberFormat="1" applyFont="1" applyFill="1" applyBorder="1" applyAlignment="1">
      <alignment vertical="top" wrapText="1"/>
    </xf>
    <xf numFmtId="164" fontId="0" fillId="2" borderId="20" xfId="0" applyNumberFormat="1" applyFont="1" applyFill="1" applyBorder="1" applyAlignment="1">
      <alignment vertical="top" wrapText="1"/>
    </xf>
    <xf numFmtId="164" fontId="0" fillId="2" borderId="60" xfId="0" applyNumberFormat="1" applyFont="1" applyFill="1" applyBorder="1" applyAlignment="1">
      <alignment vertical="top" wrapText="1"/>
    </xf>
    <xf numFmtId="164" fontId="0" fillId="2" borderId="61" xfId="0" applyNumberFormat="1" applyFont="1" applyFill="1" applyBorder="1" applyAlignment="1">
      <alignment vertical="top" wrapText="1"/>
    </xf>
    <xf numFmtId="164" fontId="0" fillId="2" borderId="64" xfId="0" applyNumberFormat="1" applyFont="1" applyFill="1" applyBorder="1" applyAlignment="1">
      <alignment vertical="top" wrapText="1"/>
    </xf>
    <xf numFmtId="164" fontId="3" fillId="5" borderId="20" xfId="0" applyNumberFormat="1" applyFont="1" applyFill="1" applyBorder="1" applyAlignment="1">
      <alignment horizontal="left" vertical="center" wrapText="1"/>
    </xf>
    <xf numFmtId="164" fontId="0" fillId="2" borderId="52" xfId="0" applyNumberFormat="1" applyFont="1" applyFill="1" applyBorder="1" applyAlignment="1">
      <alignment vertical="top" wrapText="1"/>
    </xf>
    <xf numFmtId="164" fontId="0" fillId="2" borderId="53" xfId="0" applyNumberFormat="1" applyFont="1" applyFill="1" applyBorder="1" applyAlignment="1">
      <alignment vertical="top" wrapText="1"/>
    </xf>
    <xf numFmtId="164" fontId="0" fillId="2" borderId="55" xfId="0" applyNumberFormat="1" applyFont="1" applyFill="1" applyBorder="1" applyAlignment="1">
      <alignment vertical="top" wrapText="1"/>
    </xf>
    <xf numFmtId="164" fontId="0" fillId="9" borderId="40" xfId="0" applyNumberFormat="1" applyFont="1" applyFill="1" applyBorder="1" applyAlignment="1">
      <alignment horizontal="justify" vertical="top" wrapText="1"/>
    </xf>
    <xf numFmtId="164" fontId="2" fillId="4" borderId="30" xfId="0" applyNumberFormat="1" applyFont="1" applyFill="1" applyBorder="1" applyAlignment="1">
      <alignment horizontal="center" vertical="top" wrapText="1"/>
    </xf>
    <xf numFmtId="164" fontId="0" fillId="2" borderId="31" xfId="0" applyNumberFormat="1" applyFont="1" applyFill="1" applyBorder="1" applyAlignment="1">
      <alignment vertical="top" wrapText="1"/>
    </xf>
    <xf numFmtId="164" fontId="0" fillId="2" borderId="32" xfId="0" applyNumberFormat="1" applyFont="1" applyFill="1" applyBorder="1" applyAlignment="1">
      <alignment vertical="top" wrapText="1"/>
    </xf>
    <xf numFmtId="164" fontId="3" fillId="5" borderId="27" xfId="0" applyNumberFormat="1" applyFont="1" applyFill="1" applyBorder="1" applyAlignment="1">
      <alignment horizontal="left" vertical="center" wrapText="1"/>
    </xf>
    <xf numFmtId="164" fontId="0" fillId="2" borderId="56" xfId="0" applyNumberFormat="1" applyFont="1" applyFill="1" applyBorder="1" applyAlignment="1">
      <alignment vertical="top" wrapText="1"/>
    </xf>
    <xf numFmtId="164" fontId="0" fillId="2" borderId="28" xfId="0" applyNumberFormat="1" applyFont="1" applyFill="1" applyBorder="1" applyAlignment="1">
      <alignment vertical="top" wrapText="1"/>
    </xf>
    <xf numFmtId="164" fontId="0" fillId="2" borderId="18" xfId="0" applyNumberFormat="1" applyFont="1" applyFill="1" applyBorder="1" applyAlignment="1">
      <alignment vertical="top" wrapText="1"/>
    </xf>
    <xf numFmtId="164" fontId="0" fillId="2" borderId="23" xfId="0" applyNumberFormat="1" applyFont="1" applyFill="1" applyBorder="1" applyAlignment="1">
      <alignment vertical="top" wrapText="1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0" fillId="2" borderId="3" xfId="0" applyNumberFormat="1" applyFont="1" applyFill="1" applyBorder="1" applyAlignment="1">
      <alignment vertical="top" wrapText="1"/>
    </xf>
    <xf numFmtId="164" fontId="1" fillId="2" borderId="4" xfId="0" applyNumberFormat="1" applyFont="1" applyFill="1" applyBorder="1" applyAlignment="1">
      <alignment horizontal="center" vertical="center"/>
    </xf>
    <xf numFmtId="164" fontId="3" fillId="5" borderId="19" xfId="0" applyNumberFormat="1" applyFont="1" applyFill="1" applyBorder="1" applyAlignment="1">
      <alignment horizontal="left" vertical="center" wrapText="1"/>
    </xf>
    <xf numFmtId="164" fontId="0" fillId="2" borderId="21" xfId="0" applyNumberFormat="1" applyFont="1" applyFill="1" applyBorder="1" applyAlignment="1">
      <alignment vertical="top" wrapText="1"/>
    </xf>
    <xf numFmtId="164" fontId="0" fillId="2" borderId="22" xfId="0" applyNumberFormat="1" applyFont="1" applyFill="1" applyBorder="1" applyAlignment="1">
      <alignment vertical="top" wrapText="1"/>
    </xf>
    <xf numFmtId="164" fontId="0" fillId="2" borderId="24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A3F6BB"/>
      <rgbColor rgb="FF73FDFF"/>
      <rgbColor rgb="FFB9FCBC"/>
      <rgbColor rgb="FF76F9FB"/>
      <rgbColor rgb="FFFFF056"/>
      <rgbColor rgb="FFEAEAEA"/>
      <rgbColor rgb="FF5E5E5E"/>
      <rgbColor rgb="FFBFBFBF"/>
      <rgbColor rgb="FFA5A5A5"/>
      <rgbColor rgb="FFB7FCBB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showGridLines="0" tabSelected="1" topLeftCell="N21" workbookViewId="0">
      <selection activeCell="S44" sqref="S44"/>
    </sheetView>
  </sheetViews>
  <sheetFormatPr defaultColWidth="16.33203125" defaultRowHeight="19.95" customHeight="1"/>
  <cols>
    <col min="1" max="1" width="14.6640625" style="2" bestFit="1" customWidth="1"/>
    <col min="2" max="2" width="45.44140625" style="2" bestFit="1" customWidth="1"/>
    <col min="3" max="3" width="45.44140625" style="2" customWidth="1"/>
    <col min="4" max="4" width="45.44140625" style="2" bestFit="1" customWidth="1"/>
    <col min="5" max="5" width="39.33203125" style="2" bestFit="1" customWidth="1"/>
    <col min="6" max="6" width="31.109375" style="2" bestFit="1" customWidth="1"/>
    <col min="7" max="7" width="26.109375" style="95" bestFit="1" customWidth="1"/>
    <col min="8" max="8" width="25.21875" style="95" bestFit="1" customWidth="1"/>
    <col min="9" max="9" width="122.5546875" style="2" bestFit="1" customWidth="1"/>
    <col min="10" max="10" width="35.21875" style="2" bestFit="1" customWidth="1"/>
    <col min="11" max="11" width="47.88671875" style="2" bestFit="1" customWidth="1"/>
    <col min="12" max="12" width="37.88671875" style="2" bestFit="1" customWidth="1"/>
    <col min="13" max="14" width="65" style="2" bestFit="1" customWidth="1"/>
    <col min="15" max="15" width="29" style="2" bestFit="1" customWidth="1"/>
    <col min="16" max="16" width="25.21875" style="2" bestFit="1" customWidth="1"/>
    <col min="17" max="17" width="36.5546875" style="2" bestFit="1" customWidth="1"/>
    <col min="18" max="18" width="32.77734375" style="2" bestFit="1" customWidth="1"/>
    <col min="19" max="19" width="36.5546875" style="2" bestFit="1" customWidth="1"/>
    <col min="20" max="20" width="31.5546875" style="2" bestFit="1" customWidth="1"/>
    <col min="21" max="21" width="35.33203125" style="2" bestFit="1" customWidth="1"/>
    <col min="22" max="22" width="29" style="2" bestFit="1" customWidth="1"/>
    <col min="23" max="24" width="31.5546875" style="2" bestFit="1" customWidth="1"/>
    <col min="25" max="25" width="29.21875" style="95" customWidth="1"/>
    <col min="26" max="26" width="25.21875" style="95" bestFit="1" customWidth="1"/>
    <col min="27" max="27" width="16.33203125" style="2" customWidth="1"/>
    <col min="28" max="16384" width="16.33203125" style="2"/>
  </cols>
  <sheetData>
    <row r="1" spans="1:26" ht="27.6" customHeight="1">
      <c r="A1" s="137" t="s">
        <v>0</v>
      </c>
      <c r="B1" s="138"/>
      <c r="C1" s="138"/>
      <c r="D1" s="139"/>
      <c r="E1" s="139"/>
      <c r="F1" s="139"/>
      <c r="G1" s="140"/>
      <c r="H1" s="140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41"/>
      <c r="Y1" s="1"/>
      <c r="Z1" s="1"/>
    </row>
    <row r="2" spans="1:26" ht="21" customHeight="1">
      <c r="A2" s="3"/>
      <c r="B2" s="4" t="s">
        <v>1</v>
      </c>
      <c r="C2" s="4" t="s">
        <v>2</v>
      </c>
      <c r="D2" s="5"/>
      <c r="E2" s="6"/>
      <c r="F2" s="6"/>
      <c r="G2" s="7"/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7"/>
    </row>
    <row r="3" spans="1:26" ht="21" customHeight="1">
      <c r="A3" s="8"/>
      <c r="B3" s="9">
        <v>0.1</v>
      </c>
      <c r="C3" s="9">
        <f>1-B3</f>
        <v>0.9</v>
      </c>
      <c r="D3" s="10"/>
      <c r="E3" s="11"/>
      <c r="F3" s="11"/>
      <c r="G3" s="12"/>
      <c r="H3" s="12"/>
      <c r="I3" s="1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4"/>
      <c r="Z3" s="14"/>
    </row>
    <row r="4" spans="1:26" ht="22.2" customHeight="1">
      <c r="A4" s="15"/>
      <c r="B4" s="16"/>
      <c r="C4" s="17"/>
      <c r="D4" s="18"/>
      <c r="E4" s="15"/>
      <c r="F4" s="15"/>
      <c r="G4" s="19"/>
      <c r="H4" s="19"/>
      <c r="I4" s="20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8"/>
      <c r="X4" s="18"/>
      <c r="Y4" s="21"/>
      <c r="Z4" s="21"/>
    </row>
    <row r="5" spans="1:26" ht="9.4499999999999993" customHeight="1">
      <c r="A5" s="135"/>
      <c r="B5" s="142" t="s">
        <v>3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43"/>
      <c r="Z5" s="144"/>
    </row>
    <row r="6" spans="1:26" ht="21.9" customHeight="1">
      <c r="A6" s="136"/>
      <c r="B6" s="145"/>
      <c r="C6" s="103"/>
      <c r="D6" s="103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03"/>
      <c r="W6" s="103"/>
      <c r="X6" s="103"/>
      <c r="Y6" s="106"/>
      <c r="Z6" s="134"/>
    </row>
    <row r="7" spans="1:26" ht="21.75" customHeight="1">
      <c r="A7" s="100"/>
      <c r="B7" s="22" t="s">
        <v>4</v>
      </c>
      <c r="C7" s="23">
        <f>0.81*B9</f>
        <v>2478.8885145732479</v>
      </c>
      <c r="D7" s="24">
        <f>B9/0.81</f>
        <v>3778.2175195446539</v>
      </c>
      <c r="E7" s="102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V7" s="22" t="s">
        <v>4</v>
      </c>
      <c r="W7" s="23">
        <f>0.81*V9</f>
        <v>2495.0885147100003</v>
      </c>
      <c r="X7" s="24">
        <f>V9/0.81</f>
        <v>3802.9088777777774</v>
      </c>
      <c r="Y7" s="118"/>
      <c r="Z7" s="119"/>
    </row>
    <row r="8" spans="1:26" ht="23.85" customHeight="1">
      <c r="A8" s="100"/>
      <c r="B8" s="25" t="s">
        <v>5</v>
      </c>
      <c r="C8" s="26" t="s">
        <v>6</v>
      </c>
      <c r="D8" s="26" t="s">
        <v>7</v>
      </c>
      <c r="E8" s="26" t="s">
        <v>8</v>
      </c>
      <c r="F8" s="26" t="s">
        <v>9</v>
      </c>
      <c r="G8" s="27" t="s">
        <v>10</v>
      </c>
      <c r="H8" s="27" t="s">
        <v>11</v>
      </c>
      <c r="I8" s="26" t="s">
        <v>12</v>
      </c>
      <c r="J8" s="26" t="s">
        <v>13</v>
      </c>
      <c r="K8" s="26" t="s">
        <v>14</v>
      </c>
      <c r="L8" s="26" t="s">
        <v>15</v>
      </c>
      <c r="M8" s="26" t="s">
        <v>16</v>
      </c>
      <c r="N8" s="26" t="s">
        <v>17</v>
      </c>
      <c r="O8" s="28" t="s">
        <v>18</v>
      </c>
      <c r="P8" s="26" t="s">
        <v>19</v>
      </c>
      <c r="Q8" s="26" t="s">
        <v>20</v>
      </c>
      <c r="R8" s="26" t="s">
        <v>21</v>
      </c>
      <c r="S8" s="26" t="s">
        <v>22</v>
      </c>
      <c r="T8" s="26" t="s">
        <v>23</v>
      </c>
      <c r="U8" s="26" t="s">
        <v>24</v>
      </c>
      <c r="V8" s="28" t="s">
        <v>25</v>
      </c>
      <c r="W8" s="26" t="s">
        <v>26</v>
      </c>
      <c r="X8" s="26" t="s">
        <v>27</v>
      </c>
      <c r="Y8" s="27" t="s">
        <v>10</v>
      </c>
      <c r="Z8" s="29" t="s">
        <v>11</v>
      </c>
    </row>
    <row r="9" spans="1:26" ht="39.9" customHeight="1">
      <c r="A9" s="101"/>
      <c r="B9" s="30">
        <f>3060.35619083117</f>
        <v>3060.3561908311699</v>
      </c>
      <c r="C9" s="31">
        <f>IF((LOG(1/(C11*C11*10^12/2^96/2^96)*10^12,1.0001)-FLOOR(LOG(1/(C11*C11*10^12/2^96/2^96)*10^12,1.0001)/60,1)*60)&gt;(CEILING(LOG(1/(C11*C11*10^12/2^96/2^96)*10^12,1.0001)/60,1)*60)-(LOG(1/(C11*C11*10^12/2^96/2^96)*10^12,1.0001)),CEILING(LOG(1/(C11*C11*10^12/2^96/2^96)*10^12,1.0001)/60,1)*60,FLOOR(LOG(1/(C11*C11*10^12/2^96/2^96)*10^12,1.0001)/60,1)*60)</f>
        <v>198180</v>
      </c>
      <c r="D9" s="31">
        <f>IF((LOG(1/(D11*D11*10^12/2^96/2^96)*10^12,1.0001)-FLOOR(LOG(1/(D11*D11*10^12/2^96/2^96)*10^12,1.0001)/60,1)*60)&gt;(CEILING(LOG(1/(D11*D11*10^12/2^96/2^96)*10^12,1.0001)/60,1)*60)-(LOG(1/(D11*D11*10^12/2^96/2^96)*10^12,1.0001)),CEILING(LOG(1/(D11*D11*10^12/2^96/2^96)*10^12,1.0001)/60,1)*60,FLOOR(LOG(1/(D11*D11*10^12/2^96/2^96)*10^12,1.0001)/60,1)*60)</f>
        <v>193920</v>
      </c>
      <c r="E9" s="31">
        <f>E11*$B$3*10^-18</f>
        <v>0.32678720746753703</v>
      </c>
      <c r="F9" s="31">
        <f>F11*$B$3*10^-6</f>
        <v>1000</v>
      </c>
      <c r="G9" s="32">
        <f>((G11/E11)-(E9/E11))*10^18</f>
        <v>1.3327237657696459E-3</v>
      </c>
      <c r="H9" s="32">
        <f>((H11/F11)-(F9/F11))*10^6</f>
        <v>6.9885267298091581E-4</v>
      </c>
      <c r="I9" s="31">
        <f>E11*$C$3*10^-18</f>
        <v>2.9410848672078331</v>
      </c>
      <c r="J9" s="31">
        <f>F11*$C$3*10^-6</f>
        <v>9000</v>
      </c>
      <c r="K9" s="31">
        <f>E9+I9+M9</f>
        <v>3.26787207467537</v>
      </c>
      <c r="L9" s="31">
        <f>F9+J9+N9</f>
        <v>10000</v>
      </c>
      <c r="M9" s="31">
        <v>0</v>
      </c>
      <c r="N9" s="31">
        <v>0</v>
      </c>
      <c r="O9" s="31">
        <v>3060.3561908311699</v>
      </c>
      <c r="P9" s="31">
        <f>IF(S12&lt;0,ABS(S12)/O9,0)</f>
        <v>1.3924503612502514E-4</v>
      </c>
      <c r="Q9" s="31">
        <f>IF(S12&gt;0,S12,0)</f>
        <v>0</v>
      </c>
      <c r="R9" s="31">
        <f>R12</f>
        <v>3.2677328296392449</v>
      </c>
      <c r="S9" s="31">
        <f>R13</f>
        <v>10000.426139408348</v>
      </c>
      <c r="T9" s="31">
        <f>R9*$B$3</f>
        <v>0.32677328296392449</v>
      </c>
      <c r="U9" s="31">
        <f>S9*$B$3</f>
        <v>1000.0426139408348</v>
      </c>
      <c r="V9" s="31">
        <v>3080.3561909999999</v>
      </c>
      <c r="W9" s="31">
        <f>IF((LOG(1/(C13*C13*10^12/2^96/2^96)*10^12,1.0001)-FLOOR(LOG(1/(C13*C13*10^12/2^96/2^96)*10^12,1.0001)/60,1)*60)&gt;(CEILING(LOG(1/(C13*C13*10^12/2^96/2^96)*10^12,1.0001)/60,1)*60)-(LOG(1/(C13*C13*10^12/2^96/2^96)*10^12,1.0001)),CEILING(LOG(1/(C13*C13*10^12/2^96/2^96)*10^12,1.0001)/60,1)*60,FLOOR(LOG(1/(C13*C13*10^12/2^96/2^96)*10^12,1.0001)/60,1)*60)</f>
        <v>198120</v>
      </c>
      <c r="X9" s="31">
        <f>IF((LOG(1/(D13*D13*10^12/2^96/2^96)*10^12,1.0001)-FLOOR(LOG(1/(D13*D13*10^12/2^96/2^96)*10^12,1.0001)/60,1)*60)&gt;(CEILING(LOG(1/(D13*D13*10^12/2^96/2^96)*10^12,1.0001)/60,1)*60)-(LOG(1/(D13*D13*10^12/2^96/2^96)*10^12,1.0001)),CEILING(LOG(1/(D13*D13*10^12/2^96/2^96)*10^12,1.0001)/60,1)*60,FLOOR(LOG(1/(D13*D13*10^12/2^96/2^96)*10^12,1.0001)/60,1)*60)</f>
        <v>193860</v>
      </c>
      <c r="Y9" s="32">
        <f>(G13/T9)-1</f>
        <v>4.537896358105975E-3</v>
      </c>
      <c r="Z9" s="33">
        <f>(H13/U9)-1</f>
        <v>9.3004464492894012E-3</v>
      </c>
    </row>
    <row r="10" spans="1:26" ht="21.75" customHeight="1">
      <c r="A10" s="96" t="s">
        <v>28</v>
      </c>
      <c r="B10" s="34" t="s">
        <v>29</v>
      </c>
      <c r="C10" s="35" t="s">
        <v>30</v>
      </c>
      <c r="D10" s="35" t="s">
        <v>31</v>
      </c>
      <c r="E10" s="36" t="s">
        <v>32</v>
      </c>
      <c r="F10" s="36" t="s">
        <v>33</v>
      </c>
      <c r="G10" s="37" t="s">
        <v>34</v>
      </c>
      <c r="H10" s="37" t="s">
        <v>35</v>
      </c>
      <c r="I10" s="35" t="s">
        <v>36</v>
      </c>
      <c r="J10" s="35" t="s">
        <v>37</v>
      </c>
      <c r="K10" s="35" t="s">
        <v>38</v>
      </c>
      <c r="L10" s="35" t="s">
        <v>39</v>
      </c>
      <c r="M10" s="35" t="s">
        <v>40</v>
      </c>
      <c r="N10" s="38" t="s">
        <v>41</v>
      </c>
      <c r="O10" s="129" t="s">
        <v>42</v>
      </c>
      <c r="P10" s="130"/>
      <c r="Q10" s="130"/>
      <c r="R10" s="131"/>
      <c r="S10" s="108"/>
      <c r="T10" s="105"/>
      <c r="U10" s="106"/>
      <c r="V10" s="106"/>
      <c r="W10" s="106"/>
      <c r="X10" s="107"/>
      <c r="Y10" s="108"/>
      <c r="Z10" s="109"/>
    </row>
    <row r="11" spans="1:26" ht="27.75" customHeight="1">
      <c r="A11" s="96"/>
      <c r="B11" s="39">
        <f>SQRT(B9*10^6/10^18)*2^96</f>
        <v>4.3829404691790772E+24</v>
      </c>
      <c r="C11" s="40">
        <f>B11-$B$3*F11*POWER(2,96)/L11</f>
        <v>3.9446464222611696E+24</v>
      </c>
      <c r="D11" s="40">
        <f>M11*B11/N11</f>
        <v>4.8699799860470599E+24</v>
      </c>
      <c r="E11" s="41">
        <f t="shared" ref="E11:E66" si="0">3267872074675370000</f>
        <v>3.26787207467537E+18</v>
      </c>
      <c r="F11" s="41">
        <f>10000000000</f>
        <v>10000000000</v>
      </c>
      <c r="G11" s="42">
        <f>(M11-(M11*B11)/(SQRT(1/(1.0001^D9)*2^96*2^96/10^6)*10^3))/B11/10^18</f>
        <v>0.33114237824495185</v>
      </c>
      <c r="H11" s="42">
        <f>(B11-(SQRT(1/(1.0001^C9)*2^96*2^96)))*L11/POWER(2,96)/10^6</f>
        <v>1006.9885267298091</v>
      </c>
      <c r="I11" s="40">
        <v>9.9999999999999997E+98</v>
      </c>
      <c r="J11" s="40">
        <f>(E11)*(B11*I11)/POWER(2,96)/(I11-B11)</f>
        <v>180780271934442</v>
      </c>
      <c r="K11" s="40">
        <f>(F11)*POWER(2,96)/(B11-0)</f>
        <v>180764861105000.91</v>
      </c>
      <c r="L11" s="40">
        <f>MIN(J11,K11)</f>
        <v>180764861105000.91</v>
      </c>
      <c r="M11" s="40">
        <f>L11*POWER(2,96)</f>
        <v>1.4321667792495432E+43</v>
      </c>
      <c r="N11" s="43">
        <f>M11-($B$3*E11)*B11</f>
        <v>1.2889378916075946E+43</v>
      </c>
      <c r="O11" s="128" t="s">
        <v>43</v>
      </c>
      <c r="P11" s="108"/>
      <c r="Q11" s="128" t="s">
        <v>44</v>
      </c>
      <c r="R11" s="108"/>
      <c r="S11" s="44" t="s">
        <v>45</v>
      </c>
      <c r="T11" s="110"/>
      <c r="U11" s="111"/>
      <c r="V11" s="111"/>
      <c r="W11" s="111"/>
      <c r="X11" s="112"/>
      <c r="Y11" s="108"/>
      <c r="Z11" s="109"/>
    </row>
    <row r="12" spans="1:26" ht="20.85" customHeight="1">
      <c r="A12" s="96" t="s">
        <v>46</v>
      </c>
      <c r="B12" s="34" t="s">
        <v>47</v>
      </c>
      <c r="C12" s="35" t="s">
        <v>30</v>
      </c>
      <c r="D12" s="35" t="s">
        <v>31</v>
      </c>
      <c r="E12" s="35" t="s">
        <v>32</v>
      </c>
      <c r="F12" s="35" t="s">
        <v>33</v>
      </c>
      <c r="G12" s="37" t="s">
        <v>34</v>
      </c>
      <c r="H12" s="37" t="s">
        <v>35</v>
      </c>
      <c r="I12" s="35" t="s">
        <v>36</v>
      </c>
      <c r="J12" s="35" t="s">
        <v>37</v>
      </c>
      <c r="K12" s="35" t="s">
        <v>38</v>
      </c>
      <c r="L12" s="35" t="s">
        <v>39</v>
      </c>
      <c r="M12" s="35" t="s">
        <v>40</v>
      </c>
      <c r="N12" s="38" t="s">
        <v>41</v>
      </c>
      <c r="O12" s="34" t="s">
        <v>48</v>
      </c>
      <c r="P12" s="45">
        <f>K9</f>
        <v>3.26787207467537</v>
      </c>
      <c r="Q12" s="46">
        <f>P12*O9</f>
        <v>10000.852534577069</v>
      </c>
      <c r="R12" s="47">
        <f>P12+(S12/O9)</f>
        <v>3.2677328296392449</v>
      </c>
      <c r="S12" s="47">
        <f>(P13-Q12)/2*(1-0.0003)</f>
        <v>-0.42613940834773056</v>
      </c>
      <c r="T12" s="110"/>
      <c r="U12" s="111"/>
      <c r="V12" s="111"/>
      <c r="W12" s="111"/>
      <c r="X12" s="112"/>
      <c r="Y12" s="108"/>
      <c r="Z12" s="109"/>
    </row>
    <row r="13" spans="1:26" ht="30" customHeight="1">
      <c r="A13" s="97"/>
      <c r="B13" s="48">
        <f>SQRT(V9*10^6/10^18)*2^96</f>
        <v>4.3972388145443278E+24</v>
      </c>
      <c r="C13" s="49">
        <f>B13-$B$3*F13*POWER(2,96)/L13</f>
        <v>3.9575149330898948E+24</v>
      </c>
      <c r="D13" s="49">
        <f>M13*B13/N13</f>
        <v>4.8893712474444639E+24</v>
      </c>
      <c r="E13" s="49">
        <f>R9*10^18</f>
        <v>3.2677328296392448E+18</v>
      </c>
      <c r="F13" s="49">
        <f>S9*10^6</f>
        <v>10000426139.408348</v>
      </c>
      <c r="G13" s="50">
        <f>(M13-(M13*B13)/(SQRT(1/(1.0001^X9)*2^96*2^96/10^6)*10^3))/B13/10^18</f>
        <v>0.3282561462546128</v>
      </c>
      <c r="H13" s="50">
        <f>(B13-(SQRT(1/(1.0001^W9)*2^96*2^96)))*L13/POWER(2,96)/10^6</f>
        <v>1009.343456718799</v>
      </c>
      <c r="I13" s="49">
        <v>9.9999999999999997E+98</v>
      </c>
      <c r="J13" s="49">
        <f>(E13)*(B13*I13)/POWER(2,96)/(I13-B13)</f>
        <v>181362298178547.81</v>
      </c>
      <c r="K13" s="49">
        <f>(F13)*POWER(2,96)/(B13-0)</f>
        <v>180184752477913.09</v>
      </c>
      <c r="L13" s="49">
        <f>MIN(J13,K13)</f>
        <v>180184752477913.09</v>
      </c>
      <c r="M13" s="49">
        <f>L13*POWER(2,96)</f>
        <v>1.4275706851912592E+43</v>
      </c>
      <c r="N13" s="51">
        <f>M13-(0.1*E13)*B13</f>
        <v>1.2838806688507547E+43</v>
      </c>
      <c r="O13" s="52" t="s">
        <v>49</v>
      </c>
      <c r="P13" s="53">
        <f>L9</f>
        <v>10000</v>
      </c>
      <c r="Q13" s="54">
        <f>P13/O9</f>
        <v>3.2675935010310271</v>
      </c>
      <c r="R13" s="55">
        <f>P13-S12</f>
        <v>10000.426139408348</v>
      </c>
      <c r="S13" s="56"/>
      <c r="T13" s="113"/>
      <c r="U13" s="114"/>
      <c r="V13" s="114"/>
      <c r="W13" s="114"/>
      <c r="X13" s="115"/>
      <c r="Y13" s="116"/>
      <c r="Z13" s="117"/>
    </row>
    <row r="14" spans="1:26" ht="21.3" customHeight="1">
      <c r="A14" s="57"/>
      <c r="B14" s="57"/>
      <c r="C14" s="57"/>
      <c r="D14" s="57"/>
      <c r="E14" s="57"/>
      <c r="F14" s="57"/>
      <c r="G14" s="58"/>
      <c r="H14" s="58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8"/>
      <c r="Z14" s="58"/>
    </row>
    <row r="15" spans="1:26" ht="21.3" customHeight="1">
      <c r="A15" s="15"/>
      <c r="B15" s="15"/>
      <c r="C15" s="15"/>
      <c r="D15" s="15"/>
      <c r="E15" s="15"/>
      <c r="F15" s="15"/>
      <c r="G15" s="59"/>
      <c r="H15" s="59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59"/>
      <c r="Z15" s="59"/>
    </row>
    <row r="16" spans="1:26" ht="9.4499999999999993" customHeight="1">
      <c r="A16" s="98"/>
      <c r="B16" s="124" t="s">
        <v>50</v>
      </c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5"/>
      <c r="Z16" s="126"/>
    </row>
    <row r="17" spans="1:26" ht="21.9" customHeight="1">
      <c r="A17" s="99"/>
      <c r="B17" s="103"/>
      <c r="C17" s="103"/>
      <c r="D17" s="103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03"/>
      <c r="W17" s="103"/>
      <c r="X17" s="103"/>
      <c r="Y17" s="120"/>
      <c r="Z17" s="127"/>
    </row>
    <row r="18" spans="1:26" ht="21.75" customHeight="1">
      <c r="A18" s="100"/>
      <c r="B18" s="22" t="s">
        <v>4</v>
      </c>
      <c r="C18" s="23">
        <f>0.81*B20</f>
        <v>2478.8885145732479</v>
      </c>
      <c r="D18" s="24">
        <f>B20/0.81</f>
        <v>3778.2175195446539</v>
      </c>
      <c r="E18" s="102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4"/>
      <c r="V18" s="22" t="s">
        <v>4</v>
      </c>
      <c r="W18" s="23">
        <f>0.81*V20</f>
        <v>2478.88851471</v>
      </c>
      <c r="X18" s="24">
        <f>V20/0.81</f>
        <v>3778.217519753086</v>
      </c>
      <c r="Y18" s="118"/>
      <c r="Z18" s="119"/>
    </row>
    <row r="19" spans="1:26" ht="23.85" customHeight="1">
      <c r="A19" s="100"/>
      <c r="B19" s="25" t="s">
        <v>5</v>
      </c>
      <c r="C19" s="26" t="s">
        <v>6</v>
      </c>
      <c r="D19" s="26" t="s">
        <v>7</v>
      </c>
      <c r="E19" s="26" t="s">
        <v>8</v>
      </c>
      <c r="F19" s="26" t="s">
        <v>9</v>
      </c>
      <c r="G19" s="27" t="s">
        <v>10</v>
      </c>
      <c r="H19" s="27" t="s">
        <v>11</v>
      </c>
      <c r="I19" s="26" t="s">
        <v>12</v>
      </c>
      <c r="J19" s="26" t="s">
        <v>13</v>
      </c>
      <c r="K19" s="26" t="s">
        <v>14</v>
      </c>
      <c r="L19" s="26" t="s">
        <v>15</v>
      </c>
      <c r="M19" s="26" t="s">
        <v>16</v>
      </c>
      <c r="N19" s="26" t="s">
        <v>17</v>
      </c>
      <c r="O19" s="28" t="s">
        <v>18</v>
      </c>
      <c r="P19" s="26" t="s">
        <v>19</v>
      </c>
      <c r="Q19" s="26" t="s">
        <v>20</v>
      </c>
      <c r="R19" s="26" t="s">
        <v>21</v>
      </c>
      <c r="S19" s="26" t="s">
        <v>22</v>
      </c>
      <c r="T19" s="26" t="s">
        <v>23</v>
      </c>
      <c r="U19" s="26" t="s">
        <v>24</v>
      </c>
      <c r="V19" s="28" t="s">
        <v>25</v>
      </c>
      <c r="W19" s="26" t="s">
        <v>26</v>
      </c>
      <c r="X19" s="26" t="s">
        <v>27</v>
      </c>
      <c r="Y19" s="27" t="s">
        <v>10</v>
      </c>
      <c r="Z19" s="29" t="s">
        <v>11</v>
      </c>
    </row>
    <row r="20" spans="1:26" ht="40.5" customHeight="1">
      <c r="A20" s="101"/>
      <c r="B20" s="30">
        <f t="shared" ref="B20:B53" si="1">3060.35619083117</f>
        <v>3060.3561908311699</v>
      </c>
      <c r="C20" s="31">
        <f>IF((LOG(1/(C22*C22*10^12/2^96/2^96)*10^12,1.0001)-FLOOR(LOG(1/(C22*C22*10^12/2^96/2^96)*10^12,1.0001)/60,1)*60)&gt;(CEILING(LOG(1/(C22*C22*10^12/2^96/2^96)*10^12,1.0001)/60,1)*60)-(LOG(1/(C22*C22*10^12/2^96/2^96)*10^12,1.0001)),CEILING(LOG(1/(C22*C22*10^12/2^96/2^96)*10^12,1.0001)/60,1)*60,FLOOR(LOG(1/(C22*C22*10^12/2^96/2^96)*10^12,1.0001)/60,1)*60)</f>
        <v>198180</v>
      </c>
      <c r="D20" s="31">
        <f>IF((LOG(1/(D22*D22*10^12/2^96/2^96)*10^12,1.0001)-FLOOR(LOG(1/(D22*D22*10^12/2^96/2^96)*10^12,1.0001)/60,1)*60)&gt;(CEILING(LOG(1/(D22*D22*10^12/2^96/2^96)*10^12,1.0001)/60,1)*60)-(LOG(1/(D22*D22*10^12/2^96/2^96)*10^12,1.0001)),CEILING(LOG(1/(D22*D22*10^12/2^96/2^96)*10^12,1.0001)/60,1)*60,FLOOR(LOG(1/(D22*D22*10^12/2^96/2^96)*10^12,1.0001)/60,1)*60)</f>
        <v>193920</v>
      </c>
      <c r="E20" s="31">
        <f>E22*$B$3*10^-18</f>
        <v>0.32678720746753703</v>
      </c>
      <c r="F20" s="31">
        <f>F22*$B$3*10^-6</f>
        <v>1000</v>
      </c>
      <c r="G20" s="32">
        <f>((G22/E22)-(E20/E22))*10^18</f>
        <v>1.3327237657696459E-3</v>
      </c>
      <c r="H20" s="32">
        <f>((H22/F22)-(F20/F22))*10^6</f>
        <v>6.9885267298091581E-4</v>
      </c>
      <c r="I20" s="31">
        <f>E22*$C$3*10^-18</f>
        <v>2.9410848672078331</v>
      </c>
      <c r="J20" s="31">
        <f>F22*$C$3*10^-6</f>
        <v>9000</v>
      </c>
      <c r="K20" s="31">
        <f>E20+I20+M20</f>
        <v>3.26787207467537</v>
      </c>
      <c r="L20" s="31">
        <f>15096.928674</f>
        <v>15096.928674000001</v>
      </c>
      <c r="M20" s="31">
        <v>0</v>
      </c>
      <c r="N20" s="31">
        <f>L20-F22/1000000</f>
        <v>5096.9286740000007</v>
      </c>
      <c r="O20" s="31">
        <v>3060.3561909999999</v>
      </c>
      <c r="P20" s="31">
        <f>IF(S23&lt;0,ABS(S23)/O20,0)</f>
        <v>0</v>
      </c>
      <c r="Q20" s="31">
        <f>IF(S23&gt;0,S23,0)</f>
        <v>2547.2736580147784</v>
      </c>
      <c r="R20" s="31">
        <f>R23</f>
        <v>4.1002175596571142</v>
      </c>
      <c r="S20" s="31">
        <f>R24</f>
        <v>12549.655015985223</v>
      </c>
      <c r="T20" s="31">
        <f>R20*$B$3</f>
        <v>0.41002175596571144</v>
      </c>
      <c r="U20" s="31">
        <f>S20*$B$3</f>
        <v>1254.9655015985225</v>
      </c>
      <c r="V20" s="31">
        <v>3060.3561909999999</v>
      </c>
      <c r="W20" s="31">
        <f>IF((LOG(1/(C24*C24*10^12/2^96/2^96)*10^12,1.0001)-FLOOR(LOG(1/(C24*C24*10^12/2^96/2^96)*10^12,1.0001)/60,1)*60)&gt;(CEILING(LOG(1/(C24*C24*10^12/2^96/2^96)*10^12,1.0001)/60,1)*60)-(LOG(1/(C24*C24*10^12/2^96/2^96)*10^12,1.0001)),CEILING(LOG(1/(C24*C24*10^12/2^96/2^96)*10^12,1.0001)/60,1)*60,FLOOR(LOG(1/(C24*C24*10^12/2^96/2^96)*10^12,1.0001)/60,1)*60)</f>
        <v>198180</v>
      </c>
      <c r="X20" s="31">
        <f>IF((LOG(1/(D24*D24*10^12/2^96/2^96)*10^12,1.0001)-FLOOR(LOG(1/(D24*D24*10^12/2^96/2^96)*10^12,1.0001)/60,1)*60)&gt;(CEILING(LOG(1/(D24*D24*10^12/2^96/2^96)*10^12,1.0001)/60,1)*60)-(LOG(1/(D24*D24*10^12/2^96/2^96)*10^12,1.0001)),CEILING(LOG(1/(D24*D24*10^12/2^96/2^96)*10^12,1.0001)/60,1)*60,FLOOR(LOG(1/(D24*D24*10^12/2^96/2^96)*10^12,1.0001)/60,1)*60)</f>
        <v>193920</v>
      </c>
      <c r="Y20" s="32">
        <f>(G24/T20)-1</f>
        <v>1.3413627060614441E-2</v>
      </c>
      <c r="Z20" s="33">
        <f>(H24/U20)-1</f>
        <v>6.8658537203649672E-3</v>
      </c>
    </row>
    <row r="21" spans="1:26" ht="21.75" customHeight="1">
      <c r="A21" s="96" t="s">
        <v>28</v>
      </c>
      <c r="B21" s="34" t="s">
        <v>29</v>
      </c>
      <c r="C21" s="35" t="s">
        <v>30</v>
      </c>
      <c r="D21" s="35" t="s">
        <v>31</v>
      </c>
      <c r="E21" s="36" t="s">
        <v>32</v>
      </c>
      <c r="F21" s="36" t="s">
        <v>33</v>
      </c>
      <c r="G21" s="37" t="s">
        <v>34</v>
      </c>
      <c r="H21" s="37" t="s">
        <v>35</v>
      </c>
      <c r="I21" s="35" t="s">
        <v>36</v>
      </c>
      <c r="J21" s="35" t="s">
        <v>37</v>
      </c>
      <c r="K21" s="35" t="s">
        <v>38</v>
      </c>
      <c r="L21" s="35" t="s">
        <v>39</v>
      </c>
      <c r="M21" s="35" t="s">
        <v>40</v>
      </c>
      <c r="N21" s="38" t="s">
        <v>41</v>
      </c>
      <c r="O21" s="129" t="s">
        <v>42</v>
      </c>
      <c r="P21" s="130"/>
      <c r="Q21" s="130"/>
      <c r="R21" s="131"/>
      <c r="S21" s="108"/>
      <c r="T21" s="105"/>
      <c r="U21" s="106"/>
      <c r="V21" s="106"/>
      <c r="W21" s="106"/>
      <c r="X21" s="107"/>
      <c r="Y21" s="108"/>
      <c r="Z21" s="109"/>
    </row>
    <row r="22" spans="1:26" ht="21.75" customHeight="1">
      <c r="A22" s="96"/>
      <c r="B22" s="39">
        <f>SQRT(B20*10^6/10^18)*2^96</f>
        <v>4.3829404691790772E+24</v>
      </c>
      <c r="C22" s="40">
        <f>B22-$B$3*F22*POWER(2,96)/L22</f>
        <v>3.9446464222611696E+24</v>
      </c>
      <c r="D22" s="40">
        <f>M22*B22/N22</f>
        <v>4.8699799860470599E+24</v>
      </c>
      <c r="E22" s="41">
        <f>3267872074675370000</f>
        <v>3.26787207467537E+18</v>
      </c>
      <c r="F22" s="41">
        <f t="shared" ref="F22:F66" si="2">10000000000</f>
        <v>10000000000</v>
      </c>
      <c r="G22" s="42">
        <f>(M22-(M22*B22)/(SQRT(1/(1.0001^D20)*2^96*2^96/10^6)*10^3))/B22/10^18</f>
        <v>0.33114237824495185</v>
      </c>
      <c r="H22" s="42">
        <f>(B22-(SQRT(1/(1.0001^C20)*2^96*2^96)))*L22/POWER(2,96)/10^6</f>
        <v>1006.9885267298091</v>
      </c>
      <c r="I22" s="40">
        <v>9.9999999999999997E+98</v>
      </c>
      <c r="J22" s="40">
        <f>(E22)*(B22*I22)/POWER(2,96)/(I22-B22)</f>
        <v>180780271934442</v>
      </c>
      <c r="K22" s="40">
        <f>(F22)*POWER(2,96)/(B22-0)</f>
        <v>180764861105000.91</v>
      </c>
      <c r="L22" s="40">
        <f>MIN(J22,K22)</f>
        <v>180764861105000.91</v>
      </c>
      <c r="M22" s="40">
        <f>L22*POWER(2,96)</f>
        <v>1.4321667792495432E+43</v>
      </c>
      <c r="N22" s="43">
        <f>M22-(0.1*E22)*B22</f>
        <v>1.2889378916075946E+43</v>
      </c>
      <c r="O22" s="128" t="s">
        <v>43</v>
      </c>
      <c r="P22" s="108"/>
      <c r="Q22" s="128" t="s">
        <v>44</v>
      </c>
      <c r="R22" s="108"/>
      <c r="S22" s="44" t="s">
        <v>45</v>
      </c>
      <c r="T22" s="110"/>
      <c r="U22" s="111"/>
      <c r="V22" s="111"/>
      <c r="W22" s="111"/>
      <c r="X22" s="112"/>
      <c r="Y22" s="108"/>
      <c r="Z22" s="109"/>
    </row>
    <row r="23" spans="1:26" ht="20.85" customHeight="1">
      <c r="A23" s="96" t="s">
        <v>46</v>
      </c>
      <c r="B23" s="34" t="s">
        <v>47</v>
      </c>
      <c r="C23" s="35" t="s">
        <v>30</v>
      </c>
      <c r="D23" s="35" t="s">
        <v>31</v>
      </c>
      <c r="E23" s="35" t="s">
        <v>32</v>
      </c>
      <c r="F23" s="35" t="s">
        <v>33</v>
      </c>
      <c r="G23" s="37" t="s">
        <v>34</v>
      </c>
      <c r="H23" s="37" t="s">
        <v>35</v>
      </c>
      <c r="I23" s="35" t="s">
        <v>36</v>
      </c>
      <c r="J23" s="35" t="s">
        <v>37</v>
      </c>
      <c r="K23" s="35" t="s">
        <v>38</v>
      </c>
      <c r="L23" s="35" t="s">
        <v>39</v>
      </c>
      <c r="M23" s="35" t="s">
        <v>40</v>
      </c>
      <c r="N23" s="38" t="s">
        <v>41</v>
      </c>
      <c r="O23" s="34" t="s">
        <v>48</v>
      </c>
      <c r="P23" s="45">
        <f>K20</f>
        <v>3.26787207467537</v>
      </c>
      <c r="Q23" s="46">
        <f>P23*O20</f>
        <v>10000.852535128783</v>
      </c>
      <c r="R23" s="47">
        <f>P23+(S23/O20)</f>
        <v>4.1002175596571142</v>
      </c>
      <c r="S23" s="47">
        <f>(P24-Q23)/2*(1-0.0003)</f>
        <v>2547.2736580147784</v>
      </c>
      <c r="T23" s="110"/>
      <c r="U23" s="111"/>
      <c r="V23" s="111"/>
      <c r="W23" s="111"/>
      <c r="X23" s="112"/>
      <c r="Y23" s="108"/>
      <c r="Z23" s="109"/>
    </row>
    <row r="24" spans="1:26" ht="21.3" customHeight="1">
      <c r="A24" s="97"/>
      <c r="B24" s="48">
        <f>SQRT(V20*10^6/10^18)*2^96</f>
        <v>4.3829404692999735E+24</v>
      </c>
      <c r="C24" s="49">
        <f>B24-$B$3*F24*POWER(2,96)/L24</f>
        <v>3.9445930220502792E+24</v>
      </c>
      <c r="D24" s="49">
        <f>M24*B24/N24</f>
        <v>4.8699338547777479E+24</v>
      </c>
      <c r="E24" s="49">
        <f>R20*10^18</f>
        <v>4.1002175596571141E+18</v>
      </c>
      <c r="F24" s="49">
        <f>S20*10^6</f>
        <v>12549655015.985224</v>
      </c>
      <c r="G24" s="50">
        <f>(M24-(M24*B24)/(SQRT(1/(1.0001^X20)*2^96*2^96/10^6)*10^3))/B24/10^18</f>
        <v>0.41552163488697375</v>
      </c>
      <c r="H24" s="50">
        <f>(B24-(SQRT(1/(1.0001^W20)*2^96*2^96)))*L24/POWER(2,96)/10^6</f>
        <v>1263.5819111566025</v>
      </c>
      <c r="I24" s="49">
        <v>9.9999999999999997E+98</v>
      </c>
      <c r="J24" s="49">
        <f>(E24)*(B24*I24)/POWER(2,96)/(I24-B24)</f>
        <v>226826028836905.31</v>
      </c>
      <c r="K24" s="49">
        <f>(F24)*POWER(2,96)/(B24-0)</f>
        <v>226853664581767.28</v>
      </c>
      <c r="L24" s="49">
        <f>MIN(J24,K24)</f>
        <v>226826028836905.31</v>
      </c>
      <c r="M24" s="49">
        <f>L24*POWER(2,96)</f>
        <v>1.7971009475155543E+43</v>
      </c>
      <c r="N24" s="51">
        <f>M24-(0.1*E24)*B24</f>
        <v>1.6173908527639989E+43</v>
      </c>
      <c r="O24" s="52" t="s">
        <v>49</v>
      </c>
      <c r="P24" s="53">
        <f>L20</f>
        <v>15096.928674000001</v>
      </c>
      <c r="Q24" s="54">
        <f>P24/O20</f>
        <v>4.933062601796995</v>
      </c>
      <c r="R24" s="55">
        <f>P24-S23</f>
        <v>12549.655015985223</v>
      </c>
      <c r="S24" s="56"/>
      <c r="T24" s="113"/>
      <c r="U24" s="114"/>
      <c r="V24" s="114"/>
      <c r="W24" s="114"/>
      <c r="X24" s="115"/>
      <c r="Y24" s="116"/>
      <c r="Z24" s="117"/>
    </row>
    <row r="25" spans="1:26" ht="21.3" customHeight="1">
      <c r="A25" s="57"/>
      <c r="B25" s="57"/>
      <c r="C25" s="57"/>
      <c r="D25" s="57"/>
      <c r="E25" s="57"/>
      <c r="F25" s="57"/>
      <c r="G25" s="58"/>
      <c r="H25" s="58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8"/>
      <c r="Z25" s="58"/>
    </row>
    <row r="26" spans="1:26" ht="21.3" customHeight="1">
      <c r="A26" s="15"/>
      <c r="B26" s="15"/>
      <c r="C26" s="15"/>
      <c r="D26" s="15"/>
      <c r="E26" s="15"/>
      <c r="F26" s="15"/>
      <c r="G26" s="59"/>
      <c r="H26" s="59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59"/>
      <c r="Z26" s="59"/>
    </row>
    <row r="27" spans="1:26" ht="9.4499999999999993" customHeight="1">
      <c r="A27" s="98"/>
      <c r="B27" s="124" t="s">
        <v>51</v>
      </c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5"/>
      <c r="Z27" s="126"/>
    </row>
    <row r="28" spans="1:26" ht="21.9" customHeight="1">
      <c r="A28" s="99"/>
      <c r="B28" s="103"/>
      <c r="C28" s="103"/>
      <c r="D28" s="103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03"/>
      <c r="W28" s="103"/>
      <c r="X28" s="103"/>
      <c r="Y28" s="120"/>
      <c r="Z28" s="127"/>
    </row>
    <row r="29" spans="1:26" ht="21.75" customHeight="1">
      <c r="A29" s="100"/>
      <c r="B29" s="22" t="s">
        <v>4</v>
      </c>
      <c r="C29" s="23">
        <f>0.81*B31</f>
        <v>2478.8885145732479</v>
      </c>
      <c r="D29" s="24">
        <f>B31/0.81</f>
        <v>3778.2175195446539</v>
      </c>
      <c r="E29" s="102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4"/>
      <c r="V29" s="22" t="s">
        <v>4</v>
      </c>
      <c r="W29" s="23">
        <f>0.81*V31</f>
        <v>2478.88851471</v>
      </c>
      <c r="X29" s="24">
        <f>V31/0.81</f>
        <v>3778.217519753086</v>
      </c>
      <c r="Y29" s="118"/>
      <c r="Z29" s="119"/>
    </row>
    <row r="30" spans="1:26" ht="23.85" customHeight="1">
      <c r="A30" s="100"/>
      <c r="B30" s="25" t="s">
        <v>5</v>
      </c>
      <c r="C30" s="26" t="s">
        <v>6</v>
      </c>
      <c r="D30" s="26" t="s">
        <v>7</v>
      </c>
      <c r="E30" s="26" t="s">
        <v>8</v>
      </c>
      <c r="F30" s="26" t="s">
        <v>9</v>
      </c>
      <c r="G30" s="27" t="s">
        <v>10</v>
      </c>
      <c r="H30" s="27" t="s">
        <v>11</v>
      </c>
      <c r="I30" s="26" t="s">
        <v>12</v>
      </c>
      <c r="J30" s="26" t="s">
        <v>13</v>
      </c>
      <c r="K30" s="26" t="s">
        <v>14</v>
      </c>
      <c r="L30" s="26" t="s">
        <v>15</v>
      </c>
      <c r="M30" s="26" t="s">
        <v>16</v>
      </c>
      <c r="N30" s="26" t="s">
        <v>17</v>
      </c>
      <c r="O30" s="28" t="s">
        <v>18</v>
      </c>
      <c r="P30" s="26" t="s">
        <v>19</v>
      </c>
      <c r="Q30" s="26" t="s">
        <v>20</v>
      </c>
      <c r="R30" s="26" t="s">
        <v>21</v>
      </c>
      <c r="S30" s="26" t="s">
        <v>22</v>
      </c>
      <c r="T30" s="26" t="s">
        <v>23</v>
      </c>
      <c r="U30" s="26" t="s">
        <v>24</v>
      </c>
      <c r="V30" s="28" t="s">
        <v>25</v>
      </c>
      <c r="W30" s="26" t="s">
        <v>26</v>
      </c>
      <c r="X30" s="26" t="s">
        <v>27</v>
      </c>
      <c r="Y30" s="27" t="s">
        <v>10</v>
      </c>
      <c r="Z30" s="29" t="s">
        <v>11</v>
      </c>
    </row>
    <row r="31" spans="1:26" ht="40.35" customHeight="1">
      <c r="A31" s="101"/>
      <c r="B31" s="30">
        <f t="shared" si="1"/>
        <v>3060.3561908311699</v>
      </c>
      <c r="C31" s="31">
        <f>IF((LOG(1/(C33*C33*10^12/2^96/2^96)*10^12,1.0001)-FLOOR(LOG(1/(C33*C33*10^12/2^96/2^96)*10^12,1.0001)/60,1)*60)&gt;(CEILING(LOG(1/(C33*C33*10^12/2^96/2^96)*10^12,1.0001)/60,1)*60)-(LOG(1/(C33*C33*10^12/2^96/2^96)*10^12,1.0001)),CEILING(LOG(1/(C33*C33*10^12/2^96/2^96)*10^12,1.0001)/60,1)*60,FLOOR(LOG(1/(C33*C33*10^12/2^96/2^96)*10^12,1.0001)/60,1)*60)</f>
        <v>198180</v>
      </c>
      <c r="D31" s="31">
        <f>IF((LOG(1/(D33*D33*10^12/2^96/2^96)*10^12,1.0001)-FLOOR(LOG(1/(D33*D33*10^12/2^96/2^96)*10^12,1.0001)/60,1)*60)&gt;(CEILING(LOG(1/(D33*D33*10^12/2^96/2^96)*10^12,1.0001)/60,1)*60)-(LOG(1/(D33*D33*10^12/2^96/2^96)*10^12,1.0001)),CEILING(LOG(1/(D33*D33*10^12/2^96/2^96)*10^12,1.0001)/60,1)*60,FLOOR(LOG(1/(D33*D33*10^12/2^96/2^96)*10^12,1.0001)/60,1)*60)</f>
        <v>193680</v>
      </c>
      <c r="E31" s="31">
        <f>E33*$B$3*10^-18</f>
        <v>0.45723948201616404</v>
      </c>
      <c r="F31" s="31">
        <f>F33*$B$3*10^-6</f>
        <v>1254.1223302999999</v>
      </c>
      <c r="G31" s="32">
        <f>((G33/E33)-(E31/E33))*10^18</f>
        <v>4.3288438520733247E-4</v>
      </c>
      <c r="H31" s="32">
        <f>((H33/F33)-(F31/F33))*10^6</f>
        <v>6.9885267298094226E-4</v>
      </c>
      <c r="I31" s="31">
        <f>E33*$C$3*10^-18</f>
        <v>4.1151553381454766</v>
      </c>
      <c r="J31" s="31">
        <f>F33*$C$3*10^-6</f>
        <v>11287.1009727</v>
      </c>
      <c r="K31" s="31">
        <f>E33/1000000000000000000</f>
        <v>4.57239482016164</v>
      </c>
      <c r="L31" s="31">
        <f>F31+J31+N31</f>
        <v>12541.223303000001</v>
      </c>
      <c r="M31" s="31">
        <f>472224643499820000/1000000000000000000</f>
        <v>0.47222464349982002</v>
      </c>
      <c r="N31" s="31">
        <v>0</v>
      </c>
      <c r="O31" s="31">
        <v>3060.3561909999999</v>
      </c>
      <c r="P31" s="31">
        <f>IF(S34&lt;0,ABS(S34)/O31,0)</f>
        <v>0.23853966438605864</v>
      </c>
      <c r="Q31" s="31">
        <f>IF(S34&gt;0,S34,0)</f>
        <v>0</v>
      </c>
      <c r="R31" s="31">
        <f>R34</f>
        <v>4.3366448068948111</v>
      </c>
      <c r="S31" s="31">
        <f>R35</f>
        <v>13271.239641702938</v>
      </c>
      <c r="T31" s="31">
        <f>R31*$B$3</f>
        <v>0.43366448068948116</v>
      </c>
      <c r="U31" s="31">
        <f>S31*$B$3</f>
        <v>1327.1239641702939</v>
      </c>
      <c r="V31" s="31">
        <v>3060.3561909999999</v>
      </c>
      <c r="W31" s="31">
        <f>IF((LOG(1/(C35*C35*10^12/2^96/2^96)*10^12,1.0001)-FLOOR(LOG(1/(C35*C35*10^12/2^96/2^96)*10^12,1.0001)/60,1)*60)&gt;(CEILING(LOG(1/(C35*C35*10^12/2^96/2^96)*10^12,1.0001)/60,1)*60)-(LOG(1/(C35*C35*10^12/2^96/2^96)*10^12,1.0001)),CEILING(LOG(1/(C35*C35*10^12/2^96/2^96)*10^12,1.0001)/60,1)*60,FLOOR(LOG(1/(C35*C35*10^12/2^96/2^96)*10^12,1.0001)/60,1)*60)</f>
        <v>198180</v>
      </c>
      <c r="X31" s="31">
        <f>IF((LOG(1/(D35*D35*10^12/2^96/2^96)*10^12,1.0001)-FLOOR(LOG(1/(D35*D35*10^12/2^96/2^96)*10^12,1.0001)/60,1)*60)&gt;(CEILING(LOG(1/(D35*D35*10^12/2^96/2^96)*10^12,1.0001)/60,1)*60)-(LOG(1/(D35*D35*10^12/2^96/2^96)*10^12,1.0001)),CEILING(LOG(1/(D35*D35*10^12/2^96/2^96)*10^12,1.0001)/60,1)*60,FLOOR(LOG(1/(D35*D35*10^12/2^96/2^96)*10^12,1.0001)/60,1)*60)</f>
        <v>193920</v>
      </c>
      <c r="Y31" s="32">
        <f>(G35/T31)-1</f>
        <v>1.3380170980974881E-2</v>
      </c>
      <c r="Z31" s="33">
        <f>(H35/U31)-1</f>
        <v>6.9885269778668935E-3</v>
      </c>
    </row>
    <row r="32" spans="1:26" ht="21.75" customHeight="1">
      <c r="A32" s="96" t="s">
        <v>28</v>
      </c>
      <c r="B32" s="34" t="s">
        <v>29</v>
      </c>
      <c r="C32" s="35" t="s">
        <v>30</v>
      </c>
      <c r="D32" s="35" t="s">
        <v>31</v>
      </c>
      <c r="E32" s="36" t="s">
        <v>32</v>
      </c>
      <c r="F32" s="36" t="s">
        <v>33</v>
      </c>
      <c r="G32" s="37" t="s">
        <v>34</v>
      </c>
      <c r="H32" s="37" t="s">
        <v>35</v>
      </c>
      <c r="I32" s="35" t="s">
        <v>36</v>
      </c>
      <c r="J32" s="35" t="s">
        <v>37</v>
      </c>
      <c r="K32" s="35" t="s">
        <v>38</v>
      </c>
      <c r="L32" s="35" t="s">
        <v>39</v>
      </c>
      <c r="M32" s="35" t="s">
        <v>40</v>
      </c>
      <c r="N32" s="38" t="s">
        <v>41</v>
      </c>
      <c r="O32" s="129" t="s">
        <v>42</v>
      </c>
      <c r="P32" s="130"/>
      <c r="Q32" s="130"/>
      <c r="R32" s="131"/>
      <c r="S32" s="108"/>
      <c r="T32" s="105"/>
      <c r="U32" s="106"/>
      <c r="V32" s="106"/>
      <c r="W32" s="106"/>
      <c r="X32" s="107"/>
      <c r="Y32" s="108"/>
      <c r="Z32" s="109"/>
    </row>
    <row r="33" spans="1:26" ht="21.75" customHeight="1">
      <c r="A33" s="96"/>
      <c r="B33" s="39">
        <f>SQRT(B31*10^6/10^18)*2^96</f>
        <v>4.3829404691790772E+24</v>
      </c>
      <c r="C33" s="40">
        <f>B33-$B$3*F33*POWER(2,96)/L33</f>
        <v>3.9446464222611696E+24</v>
      </c>
      <c r="D33" s="40">
        <f>M33*B33/N33</f>
        <v>4.9333953399236527E+24</v>
      </c>
      <c r="E33" s="41">
        <v>4.5723948201616399E+18</v>
      </c>
      <c r="F33" s="41">
        <f>12541223303</f>
        <v>12541223303</v>
      </c>
      <c r="G33" s="42">
        <f>(M33-(M33*B33)/(SQRT(1/(1.0001^D31)*2^96*2^96/10^6)*10^3))/B33/10^18</f>
        <v>0.45921880033681489</v>
      </c>
      <c r="H33" s="42">
        <f>(B33-(SQRT(1/(1.0001^C31)*2^96*2^96)))*L33/POWER(2,96)/10^6</f>
        <v>1262.8867977277523</v>
      </c>
      <c r="I33" s="40">
        <v>9.9999999999999997E+98</v>
      </c>
      <c r="J33" s="40">
        <f>(E33)*(B33*I33)/POWER(2,96)/(I33-B33)</f>
        <v>252947104443361.53</v>
      </c>
      <c r="K33" s="40">
        <f>(F33)*POWER(2,96)/(B33-0)</f>
        <v>226701248845359.56</v>
      </c>
      <c r="L33" s="40">
        <f>MIN(J33,K33)</f>
        <v>226701248845359.56</v>
      </c>
      <c r="M33" s="40">
        <f>L33*POWER(2,96)</f>
        <v>1.7961123385706828E+43</v>
      </c>
      <c r="N33" s="43">
        <f>M33-(0.1*E33)*B33</f>
        <v>1.5957069955871703E+43</v>
      </c>
      <c r="O33" s="128" t="s">
        <v>43</v>
      </c>
      <c r="P33" s="108"/>
      <c r="Q33" s="128" t="s">
        <v>44</v>
      </c>
      <c r="R33" s="108"/>
      <c r="S33" s="44" t="s">
        <v>45</v>
      </c>
      <c r="T33" s="110"/>
      <c r="U33" s="111"/>
      <c r="V33" s="111"/>
      <c r="W33" s="111"/>
      <c r="X33" s="112"/>
      <c r="Y33" s="108"/>
      <c r="Z33" s="109"/>
    </row>
    <row r="34" spans="1:26" ht="20.85" customHeight="1">
      <c r="A34" s="96" t="s">
        <v>46</v>
      </c>
      <c r="B34" s="34" t="s">
        <v>47</v>
      </c>
      <c r="C34" s="35" t="s">
        <v>30</v>
      </c>
      <c r="D34" s="35" t="s">
        <v>31</v>
      </c>
      <c r="E34" s="35" t="s">
        <v>32</v>
      </c>
      <c r="F34" s="35" t="s">
        <v>33</v>
      </c>
      <c r="G34" s="37" t="s">
        <v>34</v>
      </c>
      <c r="H34" s="37" t="s">
        <v>35</v>
      </c>
      <c r="I34" s="35" t="s">
        <v>36</v>
      </c>
      <c r="J34" s="35" t="s">
        <v>37</v>
      </c>
      <c r="K34" s="35" t="s">
        <v>38</v>
      </c>
      <c r="L34" s="35" t="s">
        <v>39</v>
      </c>
      <c r="M34" s="35" t="s">
        <v>40</v>
      </c>
      <c r="N34" s="38" t="s">
        <v>41</v>
      </c>
      <c r="O34" s="34" t="s">
        <v>48</v>
      </c>
      <c r="P34" s="45">
        <f>K31</f>
        <v>4.5751844712808696</v>
      </c>
      <c r="Q34" s="46">
        <f>P34*O31</f>
        <v>14001.69412165147</v>
      </c>
      <c r="R34" s="47">
        <f>P34+(S34/O31)</f>
        <v>4.3366448068948111</v>
      </c>
      <c r="S34" s="47">
        <f>(P35-Q34)/2*(1-0.0003)</f>
        <v>-730.01633870293676</v>
      </c>
      <c r="T34" s="110"/>
      <c r="U34" s="111"/>
      <c r="V34" s="111"/>
      <c r="W34" s="111"/>
      <c r="X34" s="112"/>
      <c r="Y34" s="108"/>
      <c r="Z34" s="109"/>
    </row>
    <row r="35" spans="1:26" ht="21.3" customHeight="1">
      <c r="A35" s="97"/>
      <c r="B35" s="48">
        <f>SQRT(V31*10^6/10^18)*2^96</f>
        <v>4.3829404692999735E+24</v>
      </c>
      <c r="C35" s="49">
        <f>B35-$B$3*F35*POWER(2,96)/L35</f>
        <v>3.9446464223699762E+24</v>
      </c>
      <c r="D35" s="49">
        <f>M35*B35/N35</f>
        <v>4.869951719027976E+24</v>
      </c>
      <c r="E35" s="49">
        <f>R31*10^18</f>
        <v>4.3366448068948111E+18</v>
      </c>
      <c r="F35" s="49">
        <f>S31*10^6</f>
        <v>13271239641.702938</v>
      </c>
      <c r="G35" s="50">
        <f>(M35-(M35*B35)/(SQRT(1/(1.0001^X31)*2^96*2^96/10^6)*10^3))/B35/10^18</f>
        <v>0.43946698558948211</v>
      </c>
      <c r="H35" s="50">
        <f>(B35-(SQRT(1/(1.0001^W31)*2^96*2^96)))*L35/POWER(2,96)/10^6</f>
        <v>1336.3986057968716</v>
      </c>
      <c r="I35" s="49">
        <v>9.9999999999999997E+98</v>
      </c>
      <c r="J35" s="49">
        <f>(E35)*(B35*I35)/POWER(2,96)/(I35-B35)</f>
        <v>239905299099884.41</v>
      </c>
      <c r="K35" s="49">
        <f>(F35)*POWER(2,96)/(B35-0)</f>
        <v>239897379045744.19</v>
      </c>
      <c r="L35" s="49">
        <f>MIN(J35,K35)</f>
        <v>239897379045744.19</v>
      </c>
      <c r="M35" s="49">
        <f>L35*POWER(2,96)</f>
        <v>1.9006628533782293E+43</v>
      </c>
      <c r="N35" s="51">
        <f>M35-(0.1*E35)*B35</f>
        <v>1.7105902931270409E+43</v>
      </c>
      <c r="O35" s="52" t="s">
        <v>49</v>
      </c>
      <c r="P35" s="53">
        <f>L31</f>
        <v>12541.223303000001</v>
      </c>
      <c r="Q35" s="54">
        <f>P35/O31</f>
        <v>4.0979619757600956</v>
      </c>
      <c r="R35" s="55">
        <f>P35-S34</f>
        <v>13271.239641702938</v>
      </c>
      <c r="S35" s="56"/>
      <c r="T35" s="113"/>
      <c r="U35" s="114"/>
      <c r="V35" s="114"/>
      <c r="W35" s="114"/>
      <c r="X35" s="115"/>
      <c r="Y35" s="116"/>
      <c r="Z35" s="117"/>
    </row>
    <row r="36" spans="1:26" ht="21.3" customHeight="1">
      <c r="A36" s="57"/>
      <c r="B36" s="57"/>
      <c r="C36" s="57"/>
      <c r="D36" s="57"/>
      <c r="E36" s="57"/>
      <c r="F36" s="57"/>
      <c r="G36" s="58"/>
      <c r="H36" s="58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8"/>
      <c r="Z36" s="58"/>
    </row>
    <row r="37" spans="1:26" ht="21.3" customHeight="1">
      <c r="A37" s="15"/>
      <c r="B37" s="15"/>
      <c r="C37" s="15"/>
      <c r="D37" s="15"/>
      <c r="E37" s="15"/>
      <c r="F37" s="15"/>
      <c r="G37" s="59"/>
      <c r="H37" s="59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59"/>
      <c r="Z37" s="59"/>
    </row>
    <row r="38" spans="1:26" ht="9.4499999999999993" customHeight="1">
      <c r="A38" s="98"/>
      <c r="B38" s="124" t="s">
        <v>52</v>
      </c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5"/>
      <c r="Z38" s="126"/>
    </row>
    <row r="39" spans="1:26" ht="21.9" customHeight="1">
      <c r="A39" s="99"/>
      <c r="B39" s="103"/>
      <c r="C39" s="103"/>
      <c r="D39" s="103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03"/>
      <c r="W39" s="103"/>
      <c r="X39" s="103"/>
      <c r="Y39" s="120"/>
      <c r="Z39" s="127"/>
    </row>
    <row r="40" spans="1:26" ht="21.75" customHeight="1">
      <c r="A40" s="100"/>
      <c r="B40" s="22" t="s">
        <v>4</v>
      </c>
      <c r="C40" s="23">
        <f>0.81*B42</f>
        <v>2478.8885145732479</v>
      </c>
      <c r="D40" s="24">
        <f>B42/0.81</f>
        <v>3778.2175195446539</v>
      </c>
      <c r="E40" s="102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4"/>
      <c r="V40" s="22" t="s">
        <v>4</v>
      </c>
      <c r="W40" s="23">
        <f>0.81*V42</f>
        <v>2478.88851471</v>
      </c>
      <c r="X40" s="24">
        <f>V42/0.81</f>
        <v>3778.217519753086</v>
      </c>
      <c r="Y40" s="118"/>
      <c r="Z40" s="119"/>
    </row>
    <row r="41" spans="1:26" ht="23.85" customHeight="1">
      <c r="A41" s="100"/>
      <c r="B41" s="25" t="s">
        <v>5</v>
      </c>
      <c r="C41" s="26" t="s">
        <v>6</v>
      </c>
      <c r="D41" s="26" t="s">
        <v>7</v>
      </c>
      <c r="E41" s="26" t="s">
        <v>8</v>
      </c>
      <c r="F41" s="26" t="s">
        <v>9</v>
      </c>
      <c r="G41" s="27" t="s">
        <v>10</v>
      </c>
      <c r="H41" s="27" t="s">
        <v>11</v>
      </c>
      <c r="I41" s="26" t="s">
        <v>12</v>
      </c>
      <c r="J41" s="26" t="s">
        <v>13</v>
      </c>
      <c r="K41" s="26" t="s">
        <v>14</v>
      </c>
      <c r="L41" s="26" t="s">
        <v>15</v>
      </c>
      <c r="M41" s="26" t="s">
        <v>16</v>
      </c>
      <c r="N41" s="26" t="s">
        <v>17</v>
      </c>
      <c r="O41" s="28" t="s">
        <v>18</v>
      </c>
      <c r="P41" s="26" t="s">
        <v>19</v>
      </c>
      <c r="Q41" s="26" t="s">
        <v>20</v>
      </c>
      <c r="R41" s="26" t="s">
        <v>21</v>
      </c>
      <c r="S41" s="26" t="s">
        <v>22</v>
      </c>
      <c r="T41" s="26" t="s">
        <v>23</v>
      </c>
      <c r="U41" s="26" t="s">
        <v>24</v>
      </c>
      <c r="V41" s="28" t="s">
        <v>25</v>
      </c>
      <c r="W41" s="26" t="s">
        <v>26</v>
      </c>
      <c r="X41" s="26" t="s">
        <v>27</v>
      </c>
      <c r="Y41" s="27" t="s">
        <v>10</v>
      </c>
      <c r="Z41" s="29" t="s">
        <v>11</v>
      </c>
    </row>
    <row r="42" spans="1:26" ht="40.799999999999997" customHeight="1">
      <c r="A42" s="101"/>
      <c r="B42" s="30">
        <f t="shared" si="1"/>
        <v>3060.3561908311699</v>
      </c>
      <c r="C42" s="31">
        <f>IF((LOG(1/(C44*C44*10^12/2^96/2^96)*10^12,1.0001)-FLOOR(LOG(1/(C44*C44*10^12/2^96/2^96)*10^12,1.0001)/60,1)*60)&gt;(CEILING(LOG(1/(C44*C44*10^12/2^96/2^96)*10^12,1.0001)/60,1)*60)-(LOG(1/(C44*C44*10^12/2^96/2^96)*10^12,1.0001)),CEILING(LOG(1/(C44*C44*10^12/2^96/2^96)*10^12,1.0001)/60,1)*60,FLOOR(LOG(1/(C44*C44*10^12/2^96/2^96)*10^12,1.0001)/60,1)*60)</f>
        <v>198180</v>
      </c>
      <c r="D42" s="31">
        <f>IF((LOG(1/(D44*D44*10^12/2^96/2^96)*10^12,1.0001)-FLOOR(LOG(1/(D44*D44*10^12/2^96/2^96)*10^12,1.0001)/60,1)*60)&gt;(CEILING(LOG(1/(D44*D44*10^12/2^96/2^96)*10^12,1.0001)/60,1)*60)-(LOG(1/(D44*D44*10^12/2^96/2^96)*10^12,1.0001)),CEILING(LOG(1/(D44*D44*10^12/2^96/2^96)*10^12,1.0001)/60,1)*60,FLOOR(LOG(1/(D44*D44*10^12/2^96/2^96)*10^12,1.0001)/60,1)*60)</f>
        <v>193920</v>
      </c>
      <c r="E42" s="31">
        <f>E44*$B$3*10^-18</f>
        <v>0.43344190044723707</v>
      </c>
      <c r="F42" s="31">
        <f>F44*$B$3*10^-6</f>
        <v>1324.5617463999999</v>
      </c>
      <c r="G42" s="32">
        <f>((G44/E44)-(E42/E44))*10^18</f>
        <v>1.194306868487868E-3</v>
      </c>
      <c r="H42" s="32">
        <f>((H44/F44)-(F42/F44))*10^6</f>
        <v>6.9885267298092904E-4</v>
      </c>
      <c r="I42" s="31">
        <f>E44*$C$3*10^-18</f>
        <v>3.9009771040251335</v>
      </c>
      <c r="J42" s="31">
        <f>F44*$C$3*10^-6</f>
        <v>11921.0557176</v>
      </c>
      <c r="K42" s="31">
        <f>4.33706030687594</f>
        <v>4.3370603068759399</v>
      </c>
      <c r="L42" s="31">
        <f>13245.617464</f>
        <v>13245.617464000001</v>
      </c>
      <c r="M42" s="31">
        <v>0</v>
      </c>
      <c r="N42" s="31">
        <f>L42-F44/1000000</f>
        <v>0</v>
      </c>
      <c r="O42" s="31">
        <v>3060.3561909999999</v>
      </c>
      <c r="P42" s="31">
        <f>IF(S45&lt;0,ABS(S45)/O42,0)</f>
        <v>4.4641367889511185E-3</v>
      </c>
      <c r="Q42" s="31">
        <f>IF(S45&gt;0,S45,0)</f>
        <v>0</v>
      </c>
      <c r="R42" s="31">
        <f>P45</f>
        <v>4.3370603068759399</v>
      </c>
      <c r="S42" s="31">
        <f>P46</f>
        <v>13245.617464000001</v>
      </c>
      <c r="T42" s="31">
        <f>R42*$B$3</f>
        <v>0.433706030687594</v>
      </c>
      <c r="U42" s="31">
        <f>S42*$B$3</f>
        <v>1324.5617464000002</v>
      </c>
      <c r="V42" s="31">
        <v>3060.3561909999999</v>
      </c>
      <c r="W42" s="31">
        <f>IF((LOG(1/(C46*C46*10^12/2^96/2^96)*10^12,1.0001)-FLOOR(LOG(1/(C46*C46*10^12/2^96/2^96)*10^12,1.0001)/60,1)*60)&gt;(CEILING(LOG(1/(C46*C46*10^12/2^96/2^96)*10^12,1.0001)/60,1)*60)-(LOG(1/(C46*C46*10^12/2^96/2^96)*10^12,1.0001)),CEILING(LOG(1/(C46*C46*10^12/2^96/2^96)*10^12,1.0001)/60,1)*60,FLOOR(LOG(1/(C46*C46*10^12/2^96/2^96)*10^12,1.0001)/60,1)*60)</f>
        <v>198180</v>
      </c>
      <c r="X42" s="31">
        <f>IF((LOG(1/(D46*D46*10^12/2^96/2^96)*10^12,1.0001)-FLOOR(LOG(1/(D46*D46*10^12/2^96/2^96)*10^12,1.0001)/60,1)*60)&gt;(CEILING(LOG(1/(D46*D46*10^12/2^96/2^96)*10^12,1.0001)/60,1)*60)-(LOG(1/(D46*D46*10^12/2^96/2^96)*10^12,1.0001)),CEILING(LOG(1/(D46*D46*10^12/2^96/2^96)*10^12,1.0001)/60,1)*60,FLOOR(LOG(1/(D46*D46*10^12/2^96/2^96)*10^12,1.0001)/60,1)*60)</f>
        <v>193920</v>
      </c>
      <c r="Y42" s="32">
        <f>(G46/T42)-1</f>
        <v>1.1326787428612706E-2</v>
      </c>
      <c r="Z42" s="33">
        <f>(H46/U42)-1</f>
        <v>6.9885269778666714E-3</v>
      </c>
    </row>
    <row r="43" spans="1:26" ht="21.75" customHeight="1">
      <c r="A43" s="96" t="s">
        <v>28</v>
      </c>
      <c r="B43" s="34" t="s">
        <v>29</v>
      </c>
      <c r="C43" s="35" t="s">
        <v>30</v>
      </c>
      <c r="D43" s="35" t="s">
        <v>31</v>
      </c>
      <c r="E43" s="36" t="s">
        <v>32</v>
      </c>
      <c r="F43" s="36" t="s">
        <v>33</v>
      </c>
      <c r="G43" s="37" t="s">
        <v>34</v>
      </c>
      <c r="H43" s="37" t="s">
        <v>35</v>
      </c>
      <c r="I43" s="35" t="s">
        <v>36</v>
      </c>
      <c r="J43" s="35" t="s">
        <v>37</v>
      </c>
      <c r="K43" s="35" t="s">
        <v>38</v>
      </c>
      <c r="L43" s="35" t="s">
        <v>39</v>
      </c>
      <c r="M43" s="35" t="s">
        <v>40</v>
      </c>
      <c r="N43" s="38" t="s">
        <v>41</v>
      </c>
      <c r="O43" s="129" t="s">
        <v>42</v>
      </c>
      <c r="P43" s="130"/>
      <c r="Q43" s="130"/>
      <c r="R43" s="131"/>
      <c r="S43" s="108"/>
      <c r="T43" s="105"/>
      <c r="U43" s="106"/>
      <c r="V43" s="106"/>
      <c r="W43" s="106"/>
      <c r="X43" s="107"/>
      <c r="Y43" s="108"/>
      <c r="Z43" s="109"/>
    </row>
    <row r="44" spans="1:26" ht="21.75" customHeight="1">
      <c r="A44" s="96"/>
      <c r="B44" s="39">
        <f>SQRT(B42*10^6/10^18)*2^96</f>
        <v>4.3829404691790772E+24</v>
      </c>
      <c r="C44" s="40">
        <f>B44-$B$3*F44*POWER(2,96)/L44</f>
        <v>3.9446464222611696E+24</v>
      </c>
      <c r="D44" s="40">
        <f>M44*B44/N44</f>
        <v>4.8707203151979695E+24</v>
      </c>
      <c r="E44" s="41">
        <f>4334419004472370000</f>
        <v>4.3344190044723702E+18</v>
      </c>
      <c r="F44" s="41">
        <f>13245617464</f>
        <v>13245617464</v>
      </c>
      <c r="G44" s="42">
        <f>(M44-(M44*B44)/(SQRT(1/(1.0001^D42)*2^96*2^96/10^6)*10^3))/B44/10^18</f>
        <v>0.43861852683518276</v>
      </c>
      <c r="H44" s="42">
        <f>(B44-(SQRT(1/(1.0001^C42)*2^96*2^96)))*L44/POWER(2,96)/10^6</f>
        <v>1333.8184815699992</v>
      </c>
      <c r="I44" s="40">
        <v>9.9999999999999997E+98</v>
      </c>
      <c r="J44" s="40">
        <f>(E44)*(B44*I44)/POWER(2,96)/(I44-B44)</f>
        <v>239782166621124.22</v>
      </c>
      <c r="K44" s="40">
        <f>(F44)*POWER(2,96)/(B44-0)</f>
        <v>239434220112993.44</v>
      </c>
      <c r="L44" s="40">
        <f>MIN(J44,K44)</f>
        <v>239434220112993.44</v>
      </c>
      <c r="M44" s="40">
        <f>L44*POWER(2,96)</f>
        <v>1.8969933302588383E+43</v>
      </c>
      <c r="N44" s="43">
        <f>M44-(0.1*E44)*B44</f>
        <v>1.7070183256080298E+43</v>
      </c>
      <c r="O44" s="128" t="s">
        <v>43</v>
      </c>
      <c r="P44" s="108"/>
      <c r="Q44" s="128" t="s">
        <v>44</v>
      </c>
      <c r="R44" s="108"/>
      <c r="S44" s="44" t="s">
        <v>66</v>
      </c>
      <c r="T44" s="110"/>
      <c r="U44" s="111"/>
      <c r="V44" s="111"/>
      <c r="W44" s="111"/>
      <c r="X44" s="112"/>
      <c r="Y44" s="108"/>
      <c r="Z44" s="109"/>
    </row>
    <row r="45" spans="1:26" ht="20.85" customHeight="1">
      <c r="A45" s="96" t="s">
        <v>46</v>
      </c>
      <c r="B45" s="34" t="s">
        <v>47</v>
      </c>
      <c r="C45" s="35" t="s">
        <v>30</v>
      </c>
      <c r="D45" s="35" t="s">
        <v>31</v>
      </c>
      <c r="E45" s="35" t="s">
        <v>32</v>
      </c>
      <c r="F45" s="35" t="s">
        <v>33</v>
      </c>
      <c r="G45" s="37" t="s">
        <v>34</v>
      </c>
      <c r="H45" s="37" t="s">
        <v>35</v>
      </c>
      <c r="I45" s="35" t="s">
        <v>36</v>
      </c>
      <c r="J45" s="35" t="s">
        <v>37</v>
      </c>
      <c r="K45" s="35" t="s">
        <v>38</v>
      </c>
      <c r="L45" s="35" t="s">
        <v>39</v>
      </c>
      <c r="M45" s="35" t="s">
        <v>40</v>
      </c>
      <c r="N45" s="38" t="s">
        <v>41</v>
      </c>
      <c r="O45" s="34" t="s">
        <v>48</v>
      </c>
      <c r="P45" s="45">
        <f>K42</f>
        <v>4.3370603068759399</v>
      </c>
      <c r="Q45" s="46">
        <f>P45*O42</f>
        <v>13272.949360888142</v>
      </c>
      <c r="R45" s="47">
        <f>P45+(S45/O42)</f>
        <v>4.3325961700869886</v>
      </c>
      <c r="S45" s="47">
        <f>(P46-Q45)/2*(1-0.0003)</f>
        <v>-13.661848659537416</v>
      </c>
      <c r="T45" s="110"/>
      <c r="U45" s="111"/>
      <c r="V45" s="111"/>
      <c r="W45" s="111"/>
      <c r="X45" s="112"/>
      <c r="Y45" s="108"/>
      <c r="Z45" s="109"/>
    </row>
    <row r="46" spans="1:26" ht="21.3" customHeight="1">
      <c r="A46" s="97"/>
      <c r="B46" s="48">
        <f>SQRT(V42*10^6/10^18)*2^96</f>
        <v>4.3829404692999735E+24</v>
      </c>
      <c r="C46" s="49">
        <f>B46-$B$3*F46*POWER(2,96)/L46</f>
        <v>3.9446464223699762E+24</v>
      </c>
      <c r="D46" s="49">
        <f>M46*B46/N46</f>
        <v>4.8710506606844451E+24</v>
      </c>
      <c r="E46" s="49">
        <f>R42*10^18</f>
        <v>4.3370603068759398E+18</v>
      </c>
      <c r="F46" s="49">
        <f>S42*10^6</f>
        <v>13245617464</v>
      </c>
      <c r="G46" s="50">
        <f>(M46-(M46*B46)/(SQRT(1/(1.0001^X42)*2^96*2^96/10^6)*10^3))/B46/10^18</f>
        <v>0.43861852670369977</v>
      </c>
      <c r="H46" s="50">
        <f>(B46-(SQRT(1/(1.0001^W42)*2^96*2^96)))*L46/POWER(2,96)/10^6</f>
        <v>1333.8184818985669</v>
      </c>
      <c r="I46" s="49">
        <v>9.9999999999999997E+98</v>
      </c>
      <c r="J46" s="49">
        <f>(E46)*(B46*I46)/POWER(2,96)/(I46-B46)</f>
        <v>239928284760847.5</v>
      </c>
      <c r="K46" s="49">
        <f>(F46)*POWER(2,96)/(B46-0)</f>
        <v>239434220106389.03</v>
      </c>
      <c r="L46" s="49">
        <f>MIN(J46,K46)</f>
        <v>239434220106389.03</v>
      </c>
      <c r="M46" s="49">
        <f>L46*POWER(2,96)</f>
        <v>1.8969933302065128E+43</v>
      </c>
      <c r="N46" s="51">
        <f>M46-(0.1*E46)*B46</f>
        <v>1.7069025588385016E+43</v>
      </c>
      <c r="O46" s="52" t="s">
        <v>49</v>
      </c>
      <c r="P46" s="53">
        <f>L42</f>
        <v>13245.617464000001</v>
      </c>
      <c r="Q46" s="54">
        <f>P46/O42</f>
        <v>4.3281293540121784</v>
      </c>
      <c r="R46" s="55">
        <f>P46-S45</f>
        <v>13259.279312659539</v>
      </c>
      <c r="S46" s="56"/>
      <c r="T46" s="113"/>
      <c r="U46" s="114"/>
      <c r="V46" s="114"/>
      <c r="W46" s="114"/>
      <c r="X46" s="115"/>
      <c r="Y46" s="116"/>
      <c r="Z46" s="117"/>
    </row>
    <row r="47" spans="1:26" ht="21.3" customHeight="1">
      <c r="A47" s="57"/>
      <c r="B47" s="60"/>
      <c r="C47" s="60"/>
      <c r="D47" s="60"/>
      <c r="E47" s="60"/>
      <c r="F47" s="60"/>
      <c r="G47" s="61"/>
      <c r="H47" s="61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57"/>
      <c r="Y47" s="58"/>
      <c r="Z47" s="58"/>
    </row>
    <row r="48" spans="1:26" ht="21.3" customHeight="1">
      <c r="A48" s="15"/>
      <c r="B48" s="62"/>
      <c r="C48" s="62"/>
      <c r="D48" s="62"/>
      <c r="E48" s="62"/>
      <c r="F48" s="62"/>
      <c r="G48" s="63"/>
      <c r="H48" s="63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15"/>
      <c r="Y48" s="59"/>
      <c r="Z48" s="59"/>
    </row>
    <row r="49" spans="1:26" ht="9.4499999999999993" customHeight="1">
      <c r="A49" s="98"/>
      <c r="B49" s="124" t="s">
        <v>65</v>
      </c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5"/>
      <c r="Z49" s="126"/>
    </row>
    <row r="50" spans="1:26" ht="21.9" customHeight="1">
      <c r="A50" s="99"/>
      <c r="B50" s="103"/>
      <c r="C50" s="103"/>
      <c r="D50" s="103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03"/>
      <c r="W50" s="103"/>
      <c r="X50" s="103"/>
      <c r="Y50" s="120"/>
      <c r="Z50" s="127"/>
    </row>
    <row r="51" spans="1:26" ht="21.75" customHeight="1">
      <c r="A51" s="100"/>
      <c r="B51" s="22" t="s">
        <v>4</v>
      </c>
      <c r="C51" s="23">
        <f>0.81*B53</f>
        <v>2478.8885145732479</v>
      </c>
      <c r="D51" s="24">
        <f>B53/0.81</f>
        <v>3778.2175195446539</v>
      </c>
      <c r="E51" s="102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4"/>
      <c r="V51" s="22" t="s">
        <v>4</v>
      </c>
      <c r="W51" s="23">
        <f>0.81*V53</f>
        <v>3593.4549453</v>
      </c>
      <c r="X51" s="24">
        <f>V53/0.81</f>
        <v>5476.9927530864197</v>
      </c>
      <c r="Y51" s="118"/>
      <c r="Z51" s="119"/>
    </row>
    <row r="52" spans="1:26" ht="23.85" customHeight="1">
      <c r="A52" s="100"/>
      <c r="B52" s="25" t="s">
        <v>5</v>
      </c>
      <c r="C52" s="26" t="s">
        <v>6</v>
      </c>
      <c r="D52" s="26" t="s">
        <v>7</v>
      </c>
      <c r="E52" s="26" t="s">
        <v>8</v>
      </c>
      <c r="F52" s="26" t="s">
        <v>9</v>
      </c>
      <c r="G52" s="27" t="s">
        <v>10</v>
      </c>
      <c r="H52" s="27" t="s">
        <v>11</v>
      </c>
      <c r="I52" s="26" t="s">
        <v>12</v>
      </c>
      <c r="J52" s="26" t="s">
        <v>13</v>
      </c>
      <c r="K52" s="26" t="s">
        <v>14</v>
      </c>
      <c r="L52" s="26" t="s">
        <v>15</v>
      </c>
      <c r="M52" s="26" t="s">
        <v>16</v>
      </c>
      <c r="N52" s="26" t="s">
        <v>17</v>
      </c>
      <c r="O52" s="28" t="s">
        <v>18</v>
      </c>
      <c r="P52" s="26" t="s">
        <v>19</v>
      </c>
      <c r="Q52" s="26" t="s">
        <v>20</v>
      </c>
      <c r="R52" s="26" t="s">
        <v>21</v>
      </c>
      <c r="S52" s="26" t="s">
        <v>22</v>
      </c>
      <c r="T52" s="26" t="s">
        <v>23</v>
      </c>
      <c r="U52" s="26" t="s">
        <v>24</v>
      </c>
      <c r="V52" s="28" t="s">
        <v>25</v>
      </c>
      <c r="W52" s="26" t="s">
        <v>26</v>
      </c>
      <c r="X52" s="26" t="s">
        <v>27</v>
      </c>
      <c r="Y52" s="27" t="s">
        <v>10</v>
      </c>
      <c r="Z52" s="29" t="s">
        <v>11</v>
      </c>
    </row>
    <row r="53" spans="1:26" ht="40.65" customHeight="1" thickBot="1">
      <c r="A53" s="101"/>
      <c r="B53" s="30">
        <f t="shared" si="1"/>
        <v>3060.3561908311699</v>
      </c>
      <c r="C53" s="31">
        <f>IF((LOG(1/(C55*C55*10^12/2^96/2^96)*10^12,1.0001)-FLOOR(LOG(1/(C55*C55*10^12/2^96/2^96)*10^12,1.0001)/60,1)*60)&gt;(CEILING(LOG(1/(C55*C55*10^12/2^96/2^96)*10^12,1.0001)/60,1)*60)-(LOG(1/(C55*C55*10^12/2^96/2^96)*10^12,1.0001)),CEILING(LOG(1/(C55*C55*10^12/2^96/2^96)*10^12,1.0001)/60,1)*60,FLOOR(LOG(1/(C55*C55*10^12/2^96/2^96)*10^12,1.0001)/60,1)*60)</f>
        <v>198180</v>
      </c>
      <c r="D53" s="31">
        <f>IF((LOG(1/(D55*D55*10^12/2^96/2^96)*10^12,1.0001)-FLOOR(LOG(1/(D55*D55*10^12/2^96/2^96)*10^12,1.0001)/60,1)*60)&gt;(CEILING(LOG(1/(D55*D55*10^12/2^96/2^96)*10^12,1.0001)/60,1)*60)-(LOG(1/(D55*D55*10^12/2^96/2^96)*10^12,1.0001)),CEILING(LOG(1/(D55*D55*10^12/2^96/2^96)*10^12,1.0001)/60,1)*60,FLOOR(LOG(1/(D55*D55*10^12/2^96/2^96)*10^12,1.0001)/60,1)*60)</f>
        <v>193920</v>
      </c>
      <c r="E53" s="31">
        <f>E55*$B$3*10^-18</f>
        <v>0.32678720746753703</v>
      </c>
      <c r="F53" s="31">
        <f>F55*$B$3*10^-6</f>
        <v>1000</v>
      </c>
      <c r="G53" s="32">
        <f>((G55/E55)-(E53/E55))*10^18</f>
        <v>1.3327237657696459E-3</v>
      </c>
      <c r="H53" s="32">
        <f>((H55/F55)-(F53/F55))*10^6</f>
        <v>6.9885267298091581E-4</v>
      </c>
      <c r="I53" s="31">
        <f>E55*$C$3*10^-18</f>
        <v>2.9410848672078331</v>
      </c>
      <c r="J53" s="31">
        <f>F55*$C$3*10^-6</f>
        <v>9000</v>
      </c>
      <c r="K53" s="31">
        <f>2.93672969643952</f>
        <v>2.93672969643952</v>
      </c>
      <c r="L53" s="31">
        <f>11127.69398</f>
        <v>11127.69398</v>
      </c>
      <c r="M53" s="31">
        <f xml:space="preserve"> - I53 - E53 + K53</f>
        <v>-0.33114237823585002</v>
      </c>
      <c r="N53" s="31">
        <f>L53-F53 -J53</f>
        <v>1127.69398</v>
      </c>
      <c r="O53" s="31">
        <v>4436.3641299999999</v>
      </c>
      <c r="P53" s="31">
        <f>IF(S56&lt;0,ABS(S56)/O53,0)</f>
        <v>0.21415488411437469</v>
      </c>
      <c r="Q53" s="31">
        <f>IF(S56&gt;0,S56,0)</f>
        <v>0</v>
      </c>
      <c r="R53" s="31">
        <f>R56</f>
        <v>2.7225748123251452</v>
      </c>
      <c r="S53" s="31">
        <f>R57</f>
        <v>12077.763026149318</v>
      </c>
      <c r="T53" s="31">
        <f>R53*$B$3</f>
        <v>0.27225748123251453</v>
      </c>
      <c r="U53" s="31">
        <f>S53*$B$3</f>
        <v>1207.7763026149319</v>
      </c>
      <c r="V53" s="31">
        <v>4436.3641299999999</v>
      </c>
      <c r="W53" s="31">
        <f>IF((LOG(1/(C57*C57*10^12/2^96/2^96)*10^12,1.0001)-FLOOR(LOG(1/(C57*C57*10^12/2^96/2^96)*10^12,1.0001)/60,1)*60)&gt;(CEILING(LOG(1/(C57*C57*10^12/2^96/2^96)*10^12,1.0001)/60,1)*60)-(LOG(1/(C57*C57*10^12/2^96/2^96)*10^12,1.0001)),CEILING(LOG(1/(C57*C57*10^12/2^96/2^96)*10^12,1.0001)/60,1)*60,FLOOR(LOG(1/(C57*C57*10^12/2^96/2^96)*10^12,1.0001)/60,1)*60)</f>
        <v>194460</v>
      </c>
      <c r="X53" s="31">
        <f>IF((LOG(1/(D57*D57*10^12/2^96/2^96)*10^12,1.0001)-FLOOR(LOG(1/(D57*D57*10^12/2^96/2^96)*10^12,1.0001)/60,1)*60)&gt;(CEILING(LOG(1/(D57*D57*10^12/2^96/2^96)*10^12,1.0001)/60,1)*60)-(LOG(1/(D57*D57*10^12/2^96/2^96)*10^12,1.0001)),CEILING(LOG(1/(D57*D57*10^12/2^96/2^96)*10^12,1.0001)/60,1)*60,FLOOR(LOG(1/(D57*D57*10^12/2^96/2^96)*10^12,1.0001)/60,1)*60)</f>
        <v>190260</v>
      </c>
      <c r="Y53" s="32">
        <f>(G57/T53)-1</f>
        <v>-1.0578861070834944E-2</v>
      </c>
      <c r="Z53" s="33">
        <f>(H57/U53)-1</f>
        <v>3.9413521850302224E-3</v>
      </c>
    </row>
    <row r="54" spans="1:26" ht="21.75" customHeight="1" thickBot="1">
      <c r="A54" s="96" t="s">
        <v>28</v>
      </c>
      <c r="B54" s="34" t="s">
        <v>29</v>
      </c>
      <c r="C54" s="35" t="s">
        <v>30</v>
      </c>
      <c r="D54" s="35" t="s">
        <v>31</v>
      </c>
      <c r="E54" s="36" t="s">
        <v>32</v>
      </c>
      <c r="F54" s="36" t="s">
        <v>33</v>
      </c>
      <c r="G54" s="37" t="s">
        <v>34</v>
      </c>
      <c r="H54" s="37" t="s">
        <v>35</v>
      </c>
      <c r="I54" s="35" t="s">
        <v>36</v>
      </c>
      <c r="J54" s="35" t="s">
        <v>37</v>
      </c>
      <c r="K54" s="35" t="s">
        <v>38</v>
      </c>
      <c r="L54" s="35" t="s">
        <v>39</v>
      </c>
      <c r="M54" s="35" t="s">
        <v>40</v>
      </c>
      <c r="N54" s="38" t="s">
        <v>41</v>
      </c>
      <c r="O54" s="129" t="s">
        <v>42</v>
      </c>
      <c r="P54" s="130"/>
      <c r="Q54" s="130"/>
      <c r="R54" s="131"/>
      <c r="S54" s="108"/>
      <c r="T54" s="105"/>
      <c r="U54" s="106"/>
      <c r="V54" s="106"/>
      <c r="W54" s="106"/>
      <c r="X54" s="107"/>
      <c r="Y54" s="108"/>
      <c r="Z54" s="109"/>
    </row>
    <row r="55" spans="1:26" ht="21.75" customHeight="1">
      <c r="A55" s="96"/>
      <c r="B55" s="39">
        <f>SQRT(B53*10^6/10^18)*2^96</f>
        <v>4.3829404691790772E+24</v>
      </c>
      <c r="C55" s="40">
        <f>B55-$B$3*F55*POWER(2,96)/L55</f>
        <v>3.9446464222611696E+24</v>
      </c>
      <c r="D55" s="40">
        <f>M55*B55/N55</f>
        <v>4.8699799860470599E+24</v>
      </c>
      <c r="E55" s="41">
        <f t="shared" si="0"/>
        <v>3.26787207467537E+18</v>
      </c>
      <c r="F55" s="41">
        <f t="shared" si="2"/>
        <v>10000000000</v>
      </c>
      <c r="G55" s="42">
        <f>(M55-(M55*B55)/(SQRT(1/(1.0001^D53)*2^96*2^96/10^6)*10^3))/B55/10^18</f>
        <v>0.33114237824495185</v>
      </c>
      <c r="H55" s="42">
        <f>(B55-(SQRT(1/(1.0001^C53)*2^96*2^96)))*L55/POWER(2,96)/10^6</f>
        <v>1006.9885267298091</v>
      </c>
      <c r="I55" s="40">
        <v>9.9999999999999997E+98</v>
      </c>
      <c r="J55" s="40">
        <f>(E55)*(B55*I55)/POWER(2,96)/(I55-B55)</f>
        <v>180780271934442</v>
      </c>
      <c r="K55" s="40">
        <f>(F55)*POWER(2,96)/(B55-0)</f>
        <v>180764861105000.91</v>
      </c>
      <c r="L55" s="40">
        <f>MIN(J55,K55)</f>
        <v>180764861105000.91</v>
      </c>
      <c r="M55" s="40">
        <f>L55*POWER(2,96)</f>
        <v>1.4321667792495432E+43</v>
      </c>
      <c r="N55" s="43">
        <f>M55-(0.1*E55)*B55</f>
        <v>1.2889378916075946E+43</v>
      </c>
      <c r="O55" s="128" t="s">
        <v>43</v>
      </c>
      <c r="P55" s="108"/>
      <c r="Q55" s="128" t="s">
        <v>44</v>
      </c>
      <c r="R55" s="108"/>
      <c r="S55" s="44" t="s">
        <v>45</v>
      </c>
      <c r="T55" s="110"/>
      <c r="U55" s="111"/>
      <c r="V55" s="111"/>
      <c r="W55" s="111"/>
      <c r="X55" s="112"/>
      <c r="Y55" s="108"/>
      <c r="Z55" s="109"/>
    </row>
    <row r="56" spans="1:26" ht="32.85" customHeight="1">
      <c r="A56" s="96" t="s">
        <v>46</v>
      </c>
      <c r="B56" s="34" t="s">
        <v>47</v>
      </c>
      <c r="C56" s="35" t="s">
        <v>30</v>
      </c>
      <c r="D56" s="35" t="s">
        <v>31</v>
      </c>
      <c r="E56" s="35" t="s">
        <v>53</v>
      </c>
      <c r="F56" s="35" t="s">
        <v>33</v>
      </c>
      <c r="G56" s="37" t="s">
        <v>34</v>
      </c>
      <c r="H56" s="37" t="s">
        <v>35</v>
      </c>
      <c r="I56" s="35" t="s">
        <v>36</v>
      </c>
      <c r="J56" s="35" t="s">
        <v>37</v>
      </c>
      <c r="K56" s="35" t="s">
        <v>38</v>
      </c>
      <c r="L56" s="35" t="s">
        <v>39</v>
      </c>
      <c r="M56" s="35" t="s">
        <v>40</v>
      </c>
      <c r="N56" s="38" t="s">
        <v>41</v>
      </c>
      <c r="O56" s="34" t="s">
        <v>48</v>
      </c>
      <c r="P56" s="45">
        <f>K53</f>
        <v>2.93672969643952</v>
      </c>
      <c r="Q56" s="46">
        <f>P56*O53</f>
        <v>13028.402284790074</v>
      </c>
      <c r="R56" s="47">
        <f>P56+(S56/O53)</f>
        <v>2.7225748123251452</v>
      </c>
      <c r="S56" s="47">
        <f>(P57-Q56)/2*(1-0.0003)</f>
        <v>-950.06904614931864</v>
      </c>
      <c r="T56" s="110"/>
      <c r="U56" s="111"/>
      <c r="V56" s="111"/>
      <c r="W56" s="111"/>
      <c r="X56" s="112"/>
      <c r="Y56" s="108"/>
      <c r="Z56" s="109"/>
    </row>
    <row r="57" spans="1:26" ht="21.3" customHeight="1">
      <c r="A57" s="97"/>
      <c r="B57" s="48">
        <f>SQRT(V53*10^6/10^18)*2^96</f>
        <v>5.2770739031427465E+24</v>
      </c>
      <c r="C57" s="49">
        <f>B57-$B$3*F57*POWER(2,96)/L57</f>
        <v>4.7493665128284719E+24</v>
      </c>
      <c r="D57" s="49">
        <f>M57*B57/N57</f>
        <v>5.8634462061181069E+24</v>
      </c>
      <c r="E57" s="49">
        <f>R53*10^18</f>
        <v>2.7225748123251451E+18</v>
      </c>
      <c r="F57" s="49">
        <f>S53*10^6</f>
        <v>12077763026.149317</v>
      </c>
      <c r="G57" s="50">
        <f>(M57-(M57*B57)/(SQRT(1/(1.0001^X53)*2^96*2^96/10^6)*10^3))/B57/10^18</f>
        <v>0.2693773071630603</v>
      </c>
      <c r="H57" s="50">
        <f>(B57-(SQRT(1/(1.0001^W53)*2^96*2^96)))*L57/POWER(2,96)/10^6</f>
        <v>1212.536574384271</v>
      </c>
      <c r="I57" s="49">
        <v>9.9999999999999997E+98</v>
      </c>
      <c r="J57" s="49">
        <f>(E57)*(B57*I57)/POWER(2,96)/(I57-B57)</f>
        <v>181339917972830.53</v>
      </c>
      <c r="K57" s="49">
        <f>(F57)*POWER(2,96)/(B57-0)</f>
        <v>181331356999691.19</v>
      </c>
      <c r="L57" s="49">
        <f>MIN(J57,K57)</f>
        <v>181331356999691.19</v>
      </c>
      <c r="M57" s="49">
        <f>L57*POWER(2,96)</f>
        <v>1.4366550221303618E+43</v>
      </c>
      <c r="N57" s="51">
        <f>M57-(0.1*E57)*B57</f>
        <v>1.2929827372156139E+43</v>
      </c>
      <c r="O57" s="52" t="s">
        <v>49</v>
      </c>
      <c r="P57" s="53">
        <f>L53</f>
        <v>11127.69398</v>
      </c>
      <c r="Q57" s="54">
        <f>P57/O53</f>
        <v>2.5082913967208547</v>
      </c>
      <c r="R57" s="55">
        <f>P57-S56</f>
        <v>12077.763026149318</v>
      </c>
      <c r="S57" s="56"/>
      <c r="T57" s="113"/>
      <c r="U57" s="114"/>
      <c r="V57" s="114"/>
      <c r="W57" s="114"/>
      <c r="X57" s="115"/>
      <c r="Y57" s="116"/>
      <c r="Z57" s="117"/>
    </row>
    <row r="58" spans="1:26" ht="21.3" customHeight="1">
      <c r="A58" s="57"/>
      <c r="B58" s="60"/>
      <c r="C58" s="60"/>
      <c r="D58" s="60"/>
      <c r="E58" s="60"/>
      <c r="F58" s="60"/>
      <c r="G58" s="61"/>
      <c r="H58" s="61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57"/>
      <c r="Y58" s="58"/>
      <c r="Z58" s="58"/>
    </row>
    <row r="59" spans="1:26" ht="21.3" customHeight="1">
      <c r="A59" s="15"/>
      <c r="B59" s="64"/>
      <c r="C59" s="64"/>
      <c r="D59" s="64"/>
      <c r="E59" s="64"/>
      <c r="F59" s="64"/>
      <c r="G59" s="65"/>
      <c r="H59" s="65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6"/>
      <c r="Y59" s="67"/>
      <c r="Z59" s="67"/>
    </row>
    <row r="60" spans="1:26" ht="20.100000000000001" customHeight="1">
      <c r="A60" s="98"/>
      <c r="B60" s="132" t="s">
        <v>54</v>
      </c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30"/>
      <c r="Z60" s="133"/>
    </row>
    <row r="61" spans="1:26" ht="20.100000000000001" customHeight="1">
      <c r="A61" s="99"/>
      <c r="B61" s="103"/>
      <c r="C61" s="103"/>
      <c r="D61" s="103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03"/>
      <c r="W61" s="103"/>
      <c r="X61" s="103"/>
      <c r="Y61" s="106"/>
      <c r="Z61" s="134"/>
    </row>
    <row r="62" spans="1:26" ht="20.100000000000001" customHeight="1">
      <c r="A62" s="100"/>
      <c r="B62" s="22" t="s">
        <v>4</v>
      </c>
      <c r="C62" s="23">
        <f>0.81*B64</f>
        <v>2478.8154599991904</v>
      </c>
      <c r="D62" s="24">
        <f>B64/0.81</f>
        <v>3778.1061728382715</v>
      </c>
      <c r="E62" s="102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4"/>
      <c r="V62" s="22" t="s">
        <v>4</v>
      </c>
      <c r="W62" s="23">
        <f>0.81*V64</f>
        <v>2478.88851471</v>
      </c>
      <c r="X62" s="24">
        <f>V64/0.81</f>
        <v>3778.217519753086</v>
      </c>
      <c r="Y62" s="118"/>
      <c r="Z62" s="119"/>
    </row>
    <row r="63" spans="1:26" ht="20.100000000000001" customHeight="1">
      <c r="A63" s="100"/>
      <c r="B63" s="68" t="s">
        <v>5</v>
      </c>
      <c r="C63" s="26" t="s">
        <v>6</v>
      </c>
      <c r="D63" s="26" t="s">
        <v>7</v>
      </c>
      <c r="E63" s="26" t="s">
        <v>8</v>
      </c>
      <c r="F63" s="26" t="s">
        <v>9</v>
      </c>
      <c r="G63" s="27" t="s">
        <v>10</v>
      </c>
      <c r="H63" s="27" t="s">
        <v>11</v>
      </c>
      <c r="I63" s="26" t="s">
        <v>12</v>
      </c>
      <c r="J63" s="26" t="s">
        <v>13</v>
      </c>
      <c r="K63" s="26" t="s">
        <v>14</v>
      </c>
      <c r="L63" s="26" t="s">
        <v>15</v>
      </c>
      <c r="M63" s="26" t="s">
        <v>16</v>
      </c>
      <c r="N63" s="26" t="s">
        <v>17</v>
      </c>
      <c r="O63" s="28" t="s">
        <v>18</v>
      </c>
      <c r="P63" s="26" t="s">
        <v>19</v>
      </c>
      <c r="Q63" s="26" t="s">
        <v>20</v>
      </c>
      <c r="R63" s="26" t="s">
        <v>21</v>
      </c>
      <c r="S63" s="26" t="s">
        <v>22</v>
      </c>
      <c r="T63" s="26" t="s">
        <v>23</v>
      </c>
      <c r="U63" s="26" t="s">
        <v>24</v>
      </c>
      <c r="V63" s="28" t="s">
        <v>25</v>
      </c>
      <c r="W63" s="26" t="s">
        <v>26</v>
      </c>
      <c r="X63" s="26" t="s">
        <v>27</v>
      </c>
      <c r="Y63" s="27" t="s">
        <v>10</v>
      </c>
      <c r="Z63" s="29" t="s">
        <v>11</v>
      </c>
    </row>
    <row r="64" spans="1:26" ht="36" customHeight="1">
      <c r="A64" s="101"/>
      <c r="B64" s="69">
        <f t="shared" ref="B64:D70" si="3">3060.265999999</f>
        <v>3060.2659999990001</v>
      </c>
      <c r="C64" s="31">
        <f>IF((LOG(1/(C66*C66*10^12/2^96/2^96)*10^12,1.0001)-FLOOR(LOG(1/(C66*C66*10^12/2^96/2^96)*10^12,1.0001)/60,1)*60)&gt;(CEILING(LOG(1/(C66*C66*10^12/2^96/2^96)*10^12,1.0001)/60,1)*60)-(LOG(1/(C66*C66*10^12/2^96/2^96)*10^12,1.0001)),CEILING(LOG(1/(C66*C66*10^12/2^96/2^96)*10^12,1.0001)/60,1)*60,FLOOR(LOG(1/(C66*C66*10^12/2^96/2^96)*10^12,1.0001)/60,1)*60)</f>
        <v>198180</v>
      </c>
      <c r="D64" s="31">
        <f>IF((LOG(1/(D66*D66*10^12/2^96/2^96)*10^12,1.0001)-FLOOR(LOG(1/(D66*D66*10^12/2^96/2^96)*10^12,1.0001)/60,1)*60)&gt;(CEILING(LOG(1/(D66*D66*10^12/2^96/2^96)*10^12,1.0001)/60,1)*60)-(LOG(1/(D66*D66*10^12/2^96/2^96)*10^12,1.0001)),CEILING(LOG(1/(D66*D66*10^12/2^96/2^96)*10^12,1.0001)/60,1)*60,FLOOR(LOG(1/(D66*D66*10^12/2^96/2^96)*10^12,1.0001)/60,1)*60)</f>
        <v>193980</v>
      </c>
      <c r="E64" s="31">
        <f>E66*$B$3*10^-18</f>
        <v>0.32678720746753703</v>
      </c>
      <c r="F64" s="31">
        <f>F66*$B$3*10^-6</f>
        <v>1000</v>
      </c>
      <c r="G64" s="32">
        <f>((G66/E66)-(E64/E66))*10^18</f>
        <v>-1.3507467466323424E-3</v>
      </c>
      <c r="H64" s="32">
        <f>((H66/F66)-(F64/F66))*10^6</f>
        <v>6.8560086394584127E-4</v>
      </c>
      <c r="I64" s="31">
        <f>E66*$C$3*10^-18</f>
        <v>2.9410848672078331</v>
      </c>
      <c r="J64" s="31">
        <f>F66*$C$3*10^-6</f>
        <v>9000</v>
      </c>
      <c r="K64" s="31">
        <f>E64+I64+M64</f>
        <v>3.26787207467537</v>
      </c>
      <c r="L64" s="31">
        <f>F64+J64+N64</f>
        <v>10000</v>
      </c>
      <c r="M64" s="31">
        <v>0</v>
      </c>
      <c r="N64" s="31">
        <v>0</v>
      </c>
      <c r="O64" s="31">
        <v>3060.3561909999999</v>
      </c>
      <c r="P64" s="31">
        <f>IF(S67&lt;0,ABS(S67)/O64,0)</f>
        <v>1.3924512622916202E-4</v>
      </c>
      <c r="Q64" s="31">
        <f>IF(S67&gt;0,S67,0)</f>
        <v>0</v>
      </c>
      <c r="R64" s="31">
        <f>R67</f>
        <v>3.267732829549141</v>
      </c>
      <c r="S64" s="31">
        <f>R68</f>
        <v>10000.426139684121</v>
      </c>
      <c r="T64" s="70">
        <f>R64*$B$3</f>
        <v>0.32677328295491415</v>
      </c>
      <c r="U64" s="70">
        <f>S64*$B$3</f>
        <v>1000.0426139684122</v>
      </c>
      <c r="V64" s="70">
        <v>3060.3561909999999</v>
      </c>
      <c r="W64" s="31">
        <f>IF((LOG(1/(C68*C68*10^12/2^96/2^96)*10^12,1.0001)-FLOOR(LOG(1/(C68*C68*10^12/2^96/2^96)*10^12,1.0001)/60,1)*60)&gt;(CEILING(LOG(1/(C68*C68*10^12/2^96/2^96)*10^12,1.0001)/60,1)*60)-(LOG(1/(C68*C68*10^12/2^96/2^96)*10^12,1.0001)),CEILING(LOG(1/(C68*C68*10^12/2^96/2^96)*10^12,1.0001)/60,1)*60,FLOOR(LOG(1/(C68*C68*10^12/2^96/2^96)*10^12,1.0001)/60,1)*60)</f>
        <v>198180</v>
      </c>
      <c r="X64" s="31">
        <f>IF((LOG(1/(D68*D68*10^12/2^96/2^96)*10^12,1.0001)-FLOOR(LOG(1/(D68*D68*10^12/2^96/2^96)*10^12,1.0001)/60,1)*60)&gt;(CEILING(LOG(1/(D68*D68*10^12/2^96/2^96)*10^12,1.0001)/60,1)*60)-(LOG(1/(D68*D68*10^12/2^96/2^96)*10^12,1.0001)),CEILING(LOG(1/(D68*D68*10^12/2^96/2^96)*10^12,1.0001)/60,1)*60,FLOOR(LOG(1/(D68*D68*10^12/2^96/2^96)*10^12,1.0001)/60,1)*60)</f>
        <v>193920</v>
      </c>
      <c r="Y64" s="71">
        <f>(G68/T64)-1</f>
        <v>1.3413601142597598E-2</v>
      </c>
      <c r="Z64" s="72">
        <f>(H68/U64)-1</f>
        <v>6.9885269778668935E-3</v>
      </c>
    </row>
    <row r="65" spans="1:26" ht="20.100000000000001" customHeight="1">
      <c r="A65" s="96" t="s">
        <v>28</v>
      </c>
      <c r="B65" s="34" t="s">
        <v>29</v>
      </c>
      <c r="C65" s="35" t="s">
        <v>30</v>
      </c>
      <c r="D65" s="35" t="s">
        <v>31</v>
      </c>
      <c r="E65" s="36" t="s">
        <v>32</v>
      </c>
      <c r="F65" s="36" t="s">
        <v>33</v>
      </c>
      <c r="G65" s="37" t="s">
        <v>34</v>
      </c>
      <c r="H65" s="37" t="s">
        <v>35</v>
      </c>
      <c r="I65" s="35" t="s">
        <v>36</v>
      </c>
      <c r="J65" s="35" t="s">
        <v>37</v>
      </c>
      <c r="K65" s="35" t="s">
        <v>38</v>
      </c>
      <c r="L65" s="35" t="s">
        <v>39</v>
      </c>
      <c r="M65" s="35" t="s">
        <v>40</v>
      </c>
      <c r="N65" s="38" t="s">
        <v>41</v>
      </c>
      <c r="O65" s="129" t="s">
        <v>42</v>
      </c>
      <c r="P65" s="130"/>
      <c r="Q65" s="130"/>
      <c r="R65" s="131"/>
      <c r="S65" s="109"/>
      <c r="T65" s="98"/>
      <c r="U65" s="120"/>
      <c r="V65" s="120"/>
      <c r="W65" s="106"/>
      <c r="X65" s="107"/>
      <c r="Y65" s="121"/>
      <c r="Z65" s="122"/>
    </row>
    <row r="66" spans="1:26" ht="20.100000000000001" customHeight="1">
      <c r="A66" s="96"/>
      <c r="B66" s="39">
        <f>SQRT(B64*10^6/10^18)*2^96</f>
        <v>4.382875884546422E+24</v>
      </c>
      <c r="C66" s="40">
        <f>B66-$B$3*F66*POWER(2,96)/L66</f>
        <v>3.94458829609178E+24</v>
      </c>
      <c r="D66" s="40">
        <f>M66*B66/N66</f>
        <v>4.8698922765845359E+24</v>
      </c>
      <c r="E66" s="41">
        <f t="shared" si="0"/>
        <v>3.26787207467537E+18</v>
      </c>
      <c r="F66" s="41">
        <f t="shared" si="2"/>
        <v>10000000000</v>
      </c>
      <c r="G66" s="42">
        <f>(M66-(M66*B66)/(SQRT(1/(1.0001^D64)*2^96*2^96/10^6)*10^3))/B66/10^18</f>
        <v>0.32237313989425859</v>
      </c>
      <c r="H66" s="42">
        <f>(B66-(SQRT(1/(1.0001^C64)*2^96*2^96)))*L66/POWER(2,96)/10^6</f>
        <v>1006.8560086394583</v>
      </c>
      <c r="I66" s="40">
        <v>9.9999999999999997E+98</v>
      </c>
      <c r="J66" s="40">
        <f>(E66)*(B66*I66)/POWER(2,96)/(I66-B66)</f>
        <v>180777608054442.66</v>
      </c>
      <c r="K66" s="40">
        <f>(F66)*POWER(2,96)/(B66-0)</f>
        <v>180767524797165.34</v>
      </c>
      <c r="L66" s="40">
        <f>MIN(J66,K66)</f>
        <v>180767524797165.34</v>
      </c>
      <c r="M66" s="40">
        <f>L66*POWER(2,96)</f>
        <v>1.4321878831931124E+43</v>
      </c>
      <c r="N66" s="43">
        <f>M66-($B$3*E66)*B66</f>
        <v>1.2889611060943387E+43</v>
      </c>
      <c r="O66" s="128" t="s">
        <v>43</v>
      </c>
      <c r="P66" s="108"/>
      <c r="Q66" s="128" t="s">
        <v>44</v>
      </c>
      <c r="R66" s="108"/>
      <c r="S66" s="73" t="s">
        <v>45</v>
      </c>
      <c r="T66" s="99"/>
      <c r="U66" s="111"/>
      <c r="V66" s="111"/>
      <c r="W66" s="111"/>
      <c r="X66" s="112"/>
      <c r="Y66" s="108"/>
      <c r="Z66" s="109"/>
    </row>
    <row r="67" spans="1:26" ht="20.100000000000001" customHeight="1">
      <c r="A67" s="96" t="s">
        <v>46</v>
      </c>
      <c r="B67" s="34" t="s">
        <v>47</v>
      </c>
      <c r="C67" s="35" t="s">
        <v>30</v>
      </c>
      <c r="D67" s="35" t="s">
        <v>31</v>
      </c>
      <c r="E67" s="35" t="s">
        <v>32</v>
      </c>
      <c r="F67" s="35" t="s">
        <v>33</v>
      </c>
      <c r="G67" s="37" t="s">
        <v>34</v>
      </c>
      <c r="H67" s="37" t="s">
        <v>35</v>
      </c>
      <c r="I67" s="35" t="s">
        <v>36</v>
      </c>
      <c r="J67" s="35" t="s">
        <v>37</v>
      </c>
      <c r="K67" s="35" t="s">
        <v>38</v>
      </c>
      <c r="L67" s="35" t="s">
        <v>39</v>
      </c>
      <c r="M67" s="35" t="s">
        <v>40</v>
      </c>
      <c r="N67" s="38" t="s">
        <v>41</v>
      </c>
      <c r="O67" s="34" t="s">
        <v>48</v>
      </c>
      <c r="P67" s="45">
        <f>K64</f>
        <v>3.26787207467537</v>
      </c>
      <c r="Q67" s="46">
        <f>P67*O64</f>
        <v>10000.852535128783</v>
      </c>
      <c r="R67" s="47">
        <f>P67+(S67/O64)</f>
        <v>3.267732829549141</v>
      </c>
      <c r="S67" s="74">
        <f>(P68-Q67)/2*(1-0.0003)</f>
        <v>-0.42613968412199249</v>
      </c>
      <c r="T67" s="99"/>
      <c r="U67" s="111"/>
      <c r="V67" s="111"/>
      <c r="W67" s="111"/>
      <c r="X67" s="112"/>
      <c r="Y67" s="108"/>
      <c r="Z67" s="109"/>
    </row>
    <row r="68" spans="1:26" ht="20.100000000000001" customHeight="1">
      <c r="A68" s="97"/>
      <c r="B68" s="48">
        <f>SQRT(V64*10^6/10^18)*2^96</f>
        <v>4.3829404692999735E+24</v>
      </c>
      <c r="C68" s="49">
        <f>B68-$B$3*F68*POWER(2,96)/L68</f>
        <v>3.9446464223699762E+24</v>
      </c>
      <c r="D68" s="49">
        <f>M68*B68/N68</f>
        <v>4.8699338686164578E+24</v>
      </c>
      <c r="E68" s="49">
        <f>R64*10^18</f>
        <v>3.267732829549141E+18</v>
      </c>
      <c r="F68" s="49">
        <f>S64*10^6</f>
        <v>10000426139.684122</v>
      </c>
      <c r="G68" s="50">
        <f>(M68-(M68*B68)/(SQRT(1/(1.0001^X64)*2^96*2^96/10^6)*10^3))/B68/10^18</f>
        <v>0.33115648943652853</v>
      </c>
      <c r="H68" s="50">
        <f>(B68-(SQRT(1/(1.0001^W64)*2^96*2^96)))*L68/POWER(2,96)/10^6</f>
        <v>1007.031438755147</v>
      </c>
      <c r="I68" s="49">
        <v>9.9999999999999997E+98</v>
      </c>
      <c r="J68" s="49">
        <f>(E68)*(B68*I68)/POWER(2,96)/(I68-B68)</f>
        <v>180772568831347.59</v>
      </c>
      <c r="K68" s="49">
        <f>(F68)*POWER(2,96)/(B68-0)</f>
        <v>180772564208095.75</v>
      </c>
      <c r="L68" s="49">
        <f>MIN(J68,K68)</f>
        <v>180772564208095.75</v>
      </c>
      <c r="M68" s="49">
        <f>L68*POWER(2,96)</f>
        <v>1.4322278095199295E+43</v>
      </c>
      <c r="N68" s="51">
        <f>M68-(0.1*E68)*B68</f>
        <v>1.2890050249050191E+43</v>
      </c>
      <c r="O68" s="52" t="s">
        <v>49</v>
      </c>
      <c r="P68" s="53">
        <f>L64</f>
        <v>10000</v>
      </c>
      <c r="Q68" s="54">
        <f>P68/O64</f>
        <v>3.2675935008507642</v>
      </c>
      <c r="R68" s="55">
        <f>P68-S67</f>
        <v>10000.426139684121</v>
      </c>
      <c r="S68" s="75"/>
      <c r="T68" s="123"/>
      <c r="U68" s="114"/>
      <c r="V68" s="114"/>
      <c r="W68" s="114"/>
      <c r="X68" s="115"/>
      <c r="Y68" s="116"/>
      <c r="Z68" s="117"/>
    </row>
    <row r="69" spans="1:26" ht="20.100000000000001" customHeight="1">
      <c r="A69" s="76"/>
      <c r="B69" s="77"/>
      <c r="C69" s="78"/>
      <c r="D69" s="79"/>
      <c r="E69" s="77"/>
      <c r="F69" s="77"/>
      <c r="G69" s="80"/>
      <c r="H69" s="80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6"/>
      <c r="Y69" s="81"/>
      <c r="Z69" s="81"/>
    </row>
    <row r="70" spans="1:26" ht="20.100000000000001" customHeight="1">
      <c r="A70" s="82"/>
      <c r="B70" s="83" t="s">
        <v>55</v>
      </c>
      <c r="C70" s="84">
        <f>3064.79</f>
        <v>3064.79</v>
      </c>
      <c r="D70" s="84">
        <f t="shared" si="3"/>
        <v>3060.2659999990001</v>
      </c>
      <c r="E70" s="84"/>
      <c r="F70" s="84"/>
      <c r="G70" s="85"/>
      <c r="H70" s="85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2"/>
      <c r="Y70" s="86"/>
      <c r="Z70" s="86"/>
    </row>
    <row r="71" spans="1:26" ht="20.100000000000001" customHeight="1">
      <c r="A71" s="87"/>
      <c r="B71" s="88"/>
      <c r="C71" s="89" t="s">
        <v>56</v>
      </c>
      <c r="D71" s="89" t="s">
        <v>57</v>
      </c>
      <c r="E71" s="90"/>
      <c r="F71" s="90"/>
      <c r="G71" s="91"/>
      <c r="H71" s="91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87"/>
      <c r="Y71" s="92"/>
      <c r="Z71" s="92"/>
    </row>
    <row r="72" spans="1:26" ht="20.100000000000001" customHeight="1">
      <c r="A72" s="87"/>
      <c r="B72" s="93" t="s">
        <v>58</v>
      </c>
      <c r="C72" s="93">
        <f>LOG(1/(C66*C66*10^12/2^96/2^96)*10^12,1.0001)</f>
        <v>198164.75785713058</v>
      </c>
      <c r="D72" s="93">
        <f>LOG(1/(D66*D66*10^12/2^96/2^96)*10^12,1.0001)</f>
        <v>193950.00255061011</v>
      </c>
      <c r="E72" s="90"/>
      <c r="F72" s="90"/>
      <c r="G72" s="91"/>
      <c r="H72" s="91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87"/>
      <c r="Y72" s="92"/>
      <c r="Z72" s="92"/>
    </row>
    <row r="73" spans="1:26" ht="20.100000000000001" customHeight="1">
      <c r="A73" s="87"/>
      <c r="B73" s="93" t="s">
        <v>59</v>
      </c>
      <c r="C73" s="90">
        <f>1/(1.0001^C72/10^12)</f>
        <v>2478.8154599991904</v>
      </c>
      <c r="D73" s="90">
        <f>1/(1.0001^D72/10^12)</f>
        <v>3778.1530052064386</v>
      </c>
      <c r="E73" s="90"/>
      <c r="F73" s="90"/>
      <c r="G73" s="91"/>
      <c r="H73" s="91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87"/>
      <c r="Y73" s="92"/>
      <c r="Z73" s="92"/>
    </row>
    <row r="74" spans="1:26" ht="20.100000000000001" customHeight="1">
      <c r="A74" s="87"/>
      <c r="B74" s="93" t="s">
        <v>60</v>
      </c>
      <c r="C74" s="90">
        <f>1/(1.0001^198180/10^12)</f>
        <v>2475.0402806484635</v>
      </c>
      <c r="D74" s="90">
        <f>1/(1.0001^193980/10^12)</f>
        <v>3766.8370566185158</v>
      </c>
      <c r="E74" s="90"/>
      <c r="F74" s="90"/>
      <c r="G74" s="91"/>
      <c r="H74" s="91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87"/>
      <c r="Y74" s="92"/>
      <c r="Z74" s="92"/>
    </row>
    <row r="75" spans="1:26" ht="20.100000000000001" customHeight="1">
      <c r="A75" s="87"/>
      <c r="B75" s="93" t="s">
        <v>61</v>
      </c>
      <c r="C75" s="90">
        <f>1/(1.0001^198120/10^12)</f>
        <v>2489.9344153620227</v>
      </c>
      <c r="D75" s="90">
        <f>1/(1.0001^193920/10^12)</f>
        <v>3789.5048810591757</v>
      </c>
      <c r="E75" s="90"/>
      <c r="F75" s="90"/>
      <c r="G75" s="91"/>
      <c r="H75" s="91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87"/>
      <c r="Y75" s="92"/>
      <c r="Z75" s="92"/>
    </row>
    <row r="76" spans="1:26" ht="20.100000000000001" customHeight="1">
      <c r="A76" s="87"/>
      <c r="B76" s="93" t="s">
        <v>62</v>
      </c>
      <c r="C76" s="90">
        <f>((C75-C74)/2)+C74</f>
        <v>2482.4873480052429</v>
      </c>
      <c r="D76" s="90">
        <f>((D75-D74)/2)+D74</f>
        <v>3778.1709688388455</v>
      </c>
      <c r="E76" s="90"/>
      <c r="F76" s="90"/>
      <c r="G76" s="91"/>
      <c r="H76" s="91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87"/>
      <c r="Y76" s="92"/>
      <c r="Z76" s="92"/>
    </row>
    <row r="77" spans="1:26" ht="20.100000000000001" customHeight="1">
      <c r="A77" s="87"/>
      <c r="B77" s="93" t="s">
        <v>63</v>
      </c>
      <c r="C77" s="93">
        <f>LOG(1/C76*10^12,1.0001)</f>
        <v>198149.95500227585</v>
      </c>
      <c r="D77" s="93">
        <f>LOG(1/D76*10^12,1.0001)</f>
        <v>193949.95500227675</v>
      </c>
      <c r="E77" s="90"/>
      <c r="F77" s="90"/>
      <c r="G77" s="91"/>
      <c r="H77" s="91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87"/>
      <c r="Y77" s="92"/>
      <c r="Z77" s="92"/>
    </row>
    <row r="78" spans="1:26" ht="14.7" customHeight="1">
      <c r="A78" s="87"/>
      <c r="B78" s="94" t="s">
        <v>64</v>
      </c>
      <c r="C78" s="90">
        <f>SQRT(C76*10^6/10^18)*2^96</f>
        <v>3.9475087891275415E+24</v>
      </c>
      <c r="D78" s="90">
        <f>SQRT(D76*10^6/10^18)*2^96</f>
        <v>4.8699038537825261E+24</v>
      </c>
      <c r="E78" s="90"/>
      <c r="F78" s="90"/>
      <c r="G78" s="91"/>
      <c r="H78" s="91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87"/>
      <c r="Y78" s="92"/>
      <c r="Z78" s="92"/>
    </row>
  </sheetData>
  <mergeCells count="61">
    <mergeCell ref="A1:X1"/>
    <mergeCell ref="O11:P11"/>
    <mergeCell ref="Q11:R11"/>
    <mergeCell ref="O10:S10"/>
    <mergeCell ref="A10:A11"/>
    <mergeCell ref="E7:U7"/>
    <mergeCell ref="B5:Z6"/>
    <mergeCell ref="Y7:Z7"/>
    <mergeCell ref="A43:A44"/>
    <mergeCell ref="A45:A46"/>
    <mergeCell ref="A54:A55"/>
    <mergeCell ref="A56:A57"/>
    <mergeCell ref="A5:A9"/>
    <mergeCell ref="A16:A20"/>
    <mergeCell ref="A27:A31"/>
    <mergeCell ref="A38:A42"/>
    <mergeCell ref="A49:A53"/>
    <mergeCell ref="A12:A13"/>
    <mergeCell ref="A21:A22"/>
    <mergeCell ref="A23:A24"/>
    <mergeCell ref="A32:A33"/>
    <mergeCell ref="A34:A35"/>
    <mergeCell ref="E18:U18"/>
    <mergeCell ref="E29:U29"/>
    <mergeCell ref="E40:U40"/>
    <mergeCell ref="E51:U51"/>
    <mergeCell ref="O22:P22"/>
    <mergeCell ref="Q22:R22"/>
    <mergeCell ref="O21:S21"/>
    <mergeCell ref="O33:P33"/>
    <mergeCell ref="Q33:R33"/>
    <mergeCell ref="O32:S32"/>
    <mergeCell ref="O44:P44"/>
    <mergeCell ref="Q44:R44"/>
    <mergeCell ref="O43:S43"/>
    <mergeCell ref="B27:Z28"/>
    <mergeCell ref="B38:Z39"/>
    <mergeCell ref="B49:Z50"/>
    <mergeCell ref="O55:P55"/>
    <mergeCell ref="Q55:R55"/>
    <mergeCell ref="O54:S54"/>
    <mergeCell ref="O66:P66"/>
    <mergeCell ref="Q66:R66"/>
    <mergeCell ref="O65:S65"/>
    <mergeCell ref="B60:Z61"/>
    <mergeCell ref="A65:A66"/>
    <mergeCell ref="A67:A68"/>
    <mergeCell ref="A60:A64"/>
    <mergeCell ref="E62:U62"/>
    <mergeCell ref="T10:Z13"/>
    <mergeCell ref="Y18:Z18"/>
    <mergeCell ref="Y29:Z29"/>
    <mergeCell ref="Y40:Z40"/>
    <mergeCell ref="Y51:Z51"/>
    <mergeCell ref="Y62:Z62"/>
    <mergeCell ref="T21:Z24"/>
    <mergeCell ref="T32:Z35"/>
    <mergeCell ref="T43:Z46"/>
    <mergeCell ref="T54:Z57"/>
    <mergeCell ref="T65:Z68"/>
    <mergeCell ref="B16:Z17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C21"/>
  <sheetViews>
    <sheetView workbookViewId="0">
      <selection activeCell="C27" sqref="C27"/>
    </sheetView>
  </sheetViews>
  <sheetFormatPr defaultRowHeight="13.2"/>
  <cols>
    <col min="3" max="3" width="51.5546875" style="2" customWidth="1"/>
  </cols>
  <sheetData>
    <row r="10" spans="3:3">
      <c r="C10" s="2">
        <v>14089940148</v>
      </c>
    </row>
    <row r="11" spans="3:3">
      <c r="C11" s="2">
        <v>1574381331</v>
      </c>
    </row>
    <row r="12" spans="3:3">
      <c r="C12" s="2">
        <v>1251555880</v>
      </c>
    </row>
    <row r="13" spans="3:3">
      <c r="C13" s="2">
        <f xml:space="preserve"> C10-C11-C12</f>
        <v>11264002937</v>
      </c>
    </row>
    <row r="14" spans="3:3">
      <c r="C14" s="2">
        <f>C10-C12</f>
        <v>12838384268</v>
      </c>
    </row>
    <row r="19" spans="3:3">
      <c r="C19" s="2">
        <v>2.94555183530033E+18</v>
      </c>
    </row>
    <row r="20" spans="3:3">
      <c r="C20" s="2">
        <v>7.3966335052503194E+17</v>
      </c>
    </row>
    <row r="21" spans="3:3">
      <c r="C21" s="2">
        <f>C19+C20</f>
        <v>3.6852151858253619E+18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2021-10-16T16:15:45Z</dcterms:modified>
</cp:coreProperties>
</file>