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2773/Desktop/5022 Assessments/Project - Building the Business Case/"/>
    </mc:Choice>
  </mc:AlternateContent>
  <xr:revisionPtr revIDLastSave="0" documentId="8_{D45CFEA3-F708-B446-840B-B6D3C2D98A1E}" xr6:coauthVersionLast="47" xr6:coauthVersionMax="47" xr10:uidLastSave="{00000000-0000-0000-0000-000000000000}"/>
  <bookViews>
    <workbookView xWindow="1120" yWindow="500" windowWidth="26740" windowHeight="13780" activeTab="5" xr2:uid="{9333ECE6-1504-6649-B470-EC7FB4BE88AE}"/>
  </bookViews>
  <sheets>
    <sheet name="1.  Pro Forma Income Statement" sheetId="2" r:id="rId1"/>
    <sheet name="2.  Depreciation" sheetId="3" r:id="rId2"/>
    <sheet name="3.  CF-Operations" sheetId="5" r:id="rId3"/>
    <sheet name="4. CF-NWC" sheetId="4" r:id="rId4"/>
    <sheet name="5. CF-Capital Spending" sheetId="7" r:id="rId5"/>
    <sheet name="6.  Final Analysis-NPV_IRR_PBP" sheetId="6" r:id="rId6"/>
  </sheets>
  <externalReferences>
    <externalReference r:id="rId7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5" l="1"/>
  <c r="E8" i="5"/>
  <c r="F8" i="5"/>
  <c r="G8" i="5"/>
  <c r="H8" i="5"/>
  <c r="I8" i="5"/>
  <c r="J8" i="5"/>
  <c r="K8" i="5"/>
  <c r="L8" i="5"/>
  <c r="L7" i="7"/>
  <c r="B18" i="6"/>
  <c r="D7" i="6"/>
  <c r="D8" i="6"/>
  <c r="D9" i="6"/>
  <c r="D10" i="6"/>
  <c r="C7" i="6"/>
  <c r="C8" i="6"/>
  <c r="C9" i="6"/>
  <c r="C10" i="6"/>
  <c r="B7" i="6"/>
  <c r="B8" i="6"/>
  <c r="B9" i="6"/>
  <c r="B10" i="6"/>
  <c r="B11" i="6"/>
  <c r="C11" i="6"/>
  <c r="D11" i="6"/>
  <c r="E7" i="6"/>
  <c r="E8" i="6"/>
  <c r="E9" i="6"/>
  <c r="E10" i="6"/>
  <c r="E11" i="6"/>
  <c r="F7" i="6"/>
  <c r="F8" i="6"/>
  <c r="F9" i="6"/>
  <c r="F10" i="6"/>
  <c r="F11" i="6"/>
  <c r="G7" i="6"/>
  <c r="G8" i="6"/>
  <c r="G9" i="6"/>
  <c r="G10" i="6"/>
  <c r="G11" i="6"/>
  <c r="H7" i="6"/>
  <c r="H8" i="6"/>
  <c r="H9" i="6"/>
  <c r="H10" i="6"/>
  <c r="H11" i="6"/>
  <c r="I7" i="6"/>
  <c r="I8" i="6"/>
  <c r="I9" i="6"/>
  <c r="I10" i="6"/>
  <c r="I11" i="6"/>
  <c r="J7" i="6"/>
  <c r="J8" i="6"/>
  <c r="J9" i="6"/>
  <c r="J10" i="6"/>
  <c r="J11" i="6"/>
  <c r="K7" i="6"/>
  <c r="K8" i="6"/>
  <c r="K9" i="6"/>
  <c r="K10" i="6"/>
  <c r="K11" i="6"/>
  <c r="L8" i="7"/>
  <c r="L9" i="6"/>
  <c r="L7" i="6"/>
  <c r="L8" i="6"/>
  <c r="L10" i="6"/>
  <c r="L11" i="6"/>
  <c r="B17" i="6"/>
  <c r="B14" i="6"/>
  <c r="B15" i="6"/>
  <c r="B16" i="6"/>
  <c r="C8" i="7"/>
  <c r="D8" i="7"/>
  <c r="E8" i="7"/>
  <c r="F8" i="7"/>
  <c r="G8" i="7"/>
  <c r="H8" i="7"/>
  <c r="I8" i="7"/>
  <c r="J8" i="7"/>
  <c r="K8" i="7"/>
  <c r="B8" i="7"/>
  <c r="L10" i="4"/>
  <c r="K10" i="4"/>
  <c r="C10" i="4"/>
  <c r="D10" i="4"/>
  <c r="E10" i="4"/>
  <c r="F10" i="4"/>
  <c r="G10" i="4"/>
  <c r="H10" i="4"/>
  <c r="I10" i="4"/>
  <c r="J10" i="4"/>
  <c r="B10" i="4"/>
  <c r="L9" i="4"/>
  <c r="D8" i="4"/>
  <c r="E8" i="4"/>
  <c r="F8" i="4"/>
  <c r="G8" i="4"/>
  <c r="H8" i="4"/>
  <c r="I8" i="4"/>
  <c r="J8" i="4"/>
  <c r="K8" i="4"/>
  <c r="L8" i="4"/>
  <c r="C8" i="4"/>
  <c r="B8" i="4"/>
  <c r="D7" i="4"/>
  <c r="E7" i="4"/>
  <c r="F7" i="4"/>
  <c r="G7" i="4"/>
  <c r="H7" i="4"/>
  <c r="I7" i="4"/>
  <c r="J7" i="4"/>
  <c r="K7" i="4"/>
  <c r="L7" i="4"/>
  <c r="C7" i="4"/>
  <c r="L5" i="5"/>
  <c r="L6" i="5"/>
  <c r="L7" i="5"/>
  <c r="K5" i="5"/>
  <c r="K6" i="5"/>
  <c r="K7" i="5"/>
  <c r="J5" i="5"/>
  <c r="J6" i="5"/>
  <c r="J7" i="5"/>
  <c r="I5" i="5"/>
  <c r="I6" i="5"/>
  <c r="I7" i="5"/>
  <c r="H5" i="5"/>
  <c r="H6" i="5"/>
  <c r="H7" i="5"/>
  <c r="G5" i="5"/>
  <c r="G6" i="5"/>
  <c r="G7" i="5"/>
  <c r="F5" i="5"/>
  <c r="F6" i="5"/>
  <c r="F7" i="5"/>
  <c r="E5" i="5"/>
  <c r="E6" i="5"/>
  <c r="E7" i="5"/>
  <c r="D5" i="5"/>
  <c r="D6" i="5"/>
  <c r="D7" i="5"/>
  <c r="C5" i="5"/>
  <c r="C6" i="5"/>
  <c r="C7" i="5"/>
  <c r="C8" i="5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29" i="2"/>
  <c r="D29" i="2"/>
  <c r="E29" i="2"/>
  <c r="F29" i="2"/>
  <c r="G29" i="2"/>
  <c r="H29" i="2"/>
  <c r="I29" i="2"/>
  <c r="J29" i="2"/>
  <c r="K29" i="2"/>
  <c r="B29" i="2"/>
  <c r="C27" i="2"/>
  <c r="D27" i="2"/>
  <c r="E27" i="2"/>
  <c r="F27" i="2"/>
  <c r="G27" i="2"/>
  <c r="H27" i="2"/>
  <c r="I27" i="2"/>
  <c r="J27" i="2"/>
  <c r="K27" i="2"/>
  <c r="B27" i="2"/>
  <c r="C25" i="2"/>
  <c r="D25" i="2"/>
  <c r="E25" i="2"/>
  <c r="F25" i="2"/>
  <c r="G25" i="2"/>
  <c r="H25" i="2"/>
  <c r="I25" i="2"/>
  <c r="J25" i="2"/>
  <c r="K25" i="2"/>
  <c r="B25" i="2"/>
  <c r="K23" i="2"/>
  <c r="J23" i="2"/>
  <c r="I23" i="2"/>
  <c r="H23" i="2"/>
  <c r="G23" i="2"/>
  <c r="F23" i="2"/>
  <c r="E23" i="2"/>
  <c r="D23" i="2"/>
  <c r="C23" i="2"/>
  <c r="B23" i="2"/>
  <c r="C16" i="2"/>
  <c r="D16" i="2"/>
  <c r="E16" i="2"/>
  <c r="F16" i="2"/>
  <c r="G16" i="2"/>
  <c r="H16" i="2"/>
  <c r="I16" i="2"/>
  <c r="J16" i="2"/>
  <c r="K16" i="2"/>
  <c r="B16" i="2"/>
  <c r="C13" i="2"/>
  <c r="D13" i="2"/>
  <c r="E13" i="2"/>
  <c r="F13" i="2"/>
  <c r="G13" i="2"/>
  <c r="H13" i="2"/>
  <c r="I13" i="2"/>
  <c r="J13" i="2"/>
  <c r="K13" i="2"/>
  <c r="K14" i="2"/>
  <c r="J14" i="2"/>
  <c r="I14" i="2"/>
  <c r="H14" i="2"/>
  <c r="G14" i="2"/>
  <c r="F14" i="2"/>
  <c r="E14" i="2"/>
  <c r="D14" i="2"/>
  <c r="C14" i="2"/>
  <c r="B14" i="2"/>
  <c r="K10" i="2"/>
  <c r="J10" i="2"/>
  <c r="I10" i="2"/>
  <c r="H10" i="2"/>
  <c r="G10" i="2"/>
  <c r="F10" i="2"/>
  <c r="E10" i="2"/>
  <c r="D10" i="2"/>
  <c r="C10" i="2"/>
  <c r="B10" i="2"/>
  <c r="C9" i="2"/>
  <c r="D9" i="2"/>
  <c r="E9" i="2"/>
  <c r="F9" i="2"/>
  <c r="G9" i="2"/>
  <c r="H9" i="2"/>
  <c r="I9" i="2"/>
  <c r="J9" i="2"/>
  <c r="K9" i="2"/>
</calcChain>
</file>

<file path=xl/sharedStrings.xml><?xml version="1.0" encoding="utf-8"?>
<sst xmlns="http://schemas.openxmlformats.org/spreadsheetml/2006/main" count="58" uniqueCount="49">
  <si>
    <t>Year</t>
  </si>
  <si>
    <t>CAPEX</t>
  </si>
  <si>
    <t>NPV:</t>
  </si>
  <si>
    <t>IRR:</t>
  </si>
  <si>
    <t>Discount Rate:</t>
  </si>
  <si>
    <t>Unit Sales:</t>
  </si>
  <si>
    <t>COGS:</t>
  </si>
  <si>
    <t>CAPEX:</t>
  </si>
  <si>
    <t>Tax Rate:</t>
  </si>
  <si>
    <t>Unit Price:</t>
  </si>
  <si>
    <t>Revenues:</t>
  </si>
  <si>
    <t>Gross Profit:</t>
  </si>
  <si>
    <t>Operating Expenses:</t>
  </si>
  <si>
    <t>Depreciation Expense:</t>
  </si>
  <si>
    <t>Engineering</t>
  </si>
  <si>
    <t>Depreciation Expense Calculations</t>
  </si>
  <si>
    <t>MACRS %</t>
  </si>
  <si>
    <t>Depreciation</t>
  </si>
  <si>
    <t>Book Value</t>
  </si>
  <si>
    <t>Operating Income (EBIT):</t>
  </si>
  <si>
    <t>Total Operating Expenses:</t>
  </si>
  <si>
    <t>Taxes (@21%)</t>
  </si>
  <si>
    <t>Net Income:</t>
  </si>
  <si>
    <t>EBIT</t>
  </si>
  <si>
    <t>+ Depreciation</t>
  </si>
  <si>
    <t>- Taxes</t>
  </si>
  <si>
    <t>Total Project Cash Flow:</t>
  </si>
  <si>
    <t>Initial Investment (Cash Flow):</t>
  </si>
  <si>
    <t>Cash Flows from Operations:</t>
  </si>
  <si>
    <r>
      <t xml:space="preserve">Cash Flow from </t>
    </r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>NWC</t>
    </r>
  </si>
  <si>
    <t>Cash Flows from Capital Spending:</t>
  </si>
  <si>
    <t>Unit Cost</t>
  </si>
  <si>
    <t>Legal (IP)</t>
  </si>
  <si>
    <t>Marketing &amp; Sales</t>
  </si>
  <si>
    <t>Cash Flow from Operations</t>
  </si>
  <si>
    <t>Cash Flow due to Change in Net Working Capital Calculations</t>
  </si>
  <si>
    <t xml:space="preserve">Cash Flow due to Capital Spending </t>
  </si>
  <si>
    <t>Project Pro Forma Cash Flows</t>
  </si>
  <si>
    <r>
      <rPr>
        <b/>
        <sz val="12"/>
        <color theme="1"/>
        <rFont val="Calibri (Body)"/>
      </rPr>
      <t xml:space="preserve">Cash Flows from </t>
    </r>
    <r>
      <rPr>
        <b/>
        <sz val="12"/>
        <color theme="1"/>
        <rFont val="Symbol"/>
        <charset val="2"/>
      </rPr>
      <t>D</t>
    </r>
    <r>
      <rPr>
        <b/>
        <sz val="12"/>
        <color theme="1"/>
        <rFont val="Calibri"/>
        <family val="2"/>
        <scheme val="minor"/>
      </rPr>
      <t>NWC</t>
    </r>
  </si>
  <si>
    <t>PV (Year 1-10):</t>
  </si>
  <si>
    <t>Simple Payback Period (years):</t>
  </si>
  <si>
    <t>NWC (Inventory, end of year)</t>
  </si>
  <si>
    <t>Advanced Knee Replacement Implant Technology Pro Forma</t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</si>
  <si>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>NWC</t>
    </r>
  </si>
  <si>
    <t>After-Tax Salvage Value</t>
  </si>
  <si>
    <t>NWC Recovery</t>
  </si>
  <si>
    <t>Cumulative Project Cash Flows:</t>
  </si>
  <si>
    <t>Cash Flows from Capital Spending</t>
  </si>
  <si>
    <t>Cash Flows from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</si>
</sst>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"/>
    <numFmt numFmtId="167" formatCode="0.0%"/>
    <numFmt numFmtId="168" formatCode="_(&quot;$&quot;* #,##0_);_(&quot;$&quot;* \(#,##0\);_(&quot;$&quot;* &quot;-&quot;??_);_(@_)"/>
    <numFmt numFmtId="169" formatCode="&quot;$&quot;#,##0.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Symbol"/>
      <charset val="2"/>
    </font>
    <font>
      <b/>
      <sz val="12"/>
      <color theme="1"/>
      <name val="Symbol"/>
      <charset val="2"/>
    </font>
    <font>
      <b/>
      <sz val="12"/>
      <color theme="1"/>
      <name val="Calibri"/>
      <family val="2"/>
      <charset val="2"/>
      <scheme val="minor"/>
    </font>
    <font>
      <b/>
      <sz val="12"/>
      <color theme="1"/>
      <name val="Calibri (Body)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charset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165" fontId="0" fillId="0" borderId="0" xfId="2" applyNumberFormat="1" applyFont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9" fontId="4" fillId="0" borderId="0" xfId="1" applyFont="1" applyAlignment="1">
      <alignment horizontal="center"/>
    </xf>
    <xf numFmtId="0" fontId="3" fillId="0" borderId="0" xfId="0" applyFont="1"/>
    <xf numFmtId="0" fontId="2" fillId="3" borderId="0" xfId="0" applyFont="1" applyFill="1"/>
    <xf numFmtId="164" fontId="0" fillId="0" borderId="0" xfId="0" applyNumberFormat="1"/>
    <xf numFmtId="164" fontId="4" fillId="0" borderId="0" xfId="0" applyNumberFormat="1" applyFont="1"/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left" indent="1"/>
    </xf>
    <xf numFmtId="164" fontId="2" fillId="2" borderId="0" xfId="0" applyNumberFormat="1" applyFont="1" applyFill="1"/>
    <xf numFmtId="0" fontId="2" fillId="2" borderId="0" xfId="0" applyFont="1" applyFill="1"/>
    <xf numFmtId="6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quotePrefix="1" applyAlignment="1">
      <alignment horizontal="left" indent="1"/>
    </xf>
    <xf numFmtId="164" fontId="0" fillId="0" borderId="0" xfId="2" applyNumberFormat="1" applyFont="1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164" fontId="0" fillId="2" borderId="1" xfId="0" applyNumberForma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/>
    </xf>
    <xf numFmtId="166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2" borderId="0" xfId="0" applyFont="1" applyFill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9" fontId="9" fillId="0" borderId="0" xfId="1" applyFont="1" applyAlignment="1">
      <alignment vertical="center"/>
    </xf>
    <xf numFmtId="0" fontId="10" fillId="0" borderId="0" xfId="0" applyFont="1"/>
    <xf numFmtId="0" fontId="0" fillId="0" borderId="2" xfId="0" applyBorder="1"/>
    <xf numFmtId="164" fontId="0" fillId="0" borderId="2" xfId="2" applyNumberFormat="1" applyFont="1" applyBorder="1"/>
    <xf numFmtId="164" fontId="0" fillId="0" borderId="0" xfId="0" applyNumberFormat="1" applyFont="1" applyFill="1"/>
    <xf numFmtId="168" fontId="0" fillId="0" borderId="0" xfId="3" applyNumberFormat="1" applyFont="1"/>
    <xf numFmtId="0" fontId="2" fillId="2" borderId="4" xfId="0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vertical="center"/>
    </xf>
    <xf numFmtId="0" fontId="0" fillId="2" borderId="3" xfId="0" applyFill="1" applyBorder="1" applyAlignment="1">
      <alignment horizontal="right" vertical="center"/>
    </xf>
    <xf numFmtId="164" fontId="0" fillId="2" borderId="3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169" fontId="0" fillId="0" borderId="0" xfId="0" applyNumberFormat="1"/>
    <xf numFmtId="6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4%20-%20Building%20a%20Pro%20Forma-Solution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 Pro Forma Income Statement"/>
      <sheetName val="2.  Depreciation"/>
      <sheetName val="3.  CF-Operations"/>
      <sheetName val="4. CF-NWC"/>
      <sheetName val="5. CF-Capital Spending"/>
      <sheetName val="6.  Final Analysis-NPV_IRR_PBP"/>
    </sheetNames>
    <sheetDataSet>
      <sheetData sheetId="0">
        <row r="22">
          <cell r="B22">
            <v>2858000</v>
          </cell>
          <cell r="C22">
            <v>4898000</v>
          </cell>
          <cell r="D22">
            <v>3498000</v>
          </cell>
          <cell r="E22">
            <v>2498000</v>
          </cell>
          <cell r="F22">
            <v>1786000</v>
          </cell>
          <cell r="G22">
            <v>1784000</v>
          </cell>
          <cell r="H22">
            <v>1786000</v>
          </cell>
          <cell r="I22">
            <v>892000</v>
          </cell>
          <cell r="J22">
            <v>0</v>
          </cell>
          <cell r="K22">
            <v>0</v>
          </cell>
        </row>
        <row r="25">
          <cell r="B25">
            <v>4392000</v>
          </cell>
          <cell r="C25">
            <v>3682000</v>
          </cell>
          <cell r="D25">
            <v>6720740.0000000037</v>
          </cell>
          <cell r="E25">
            <v>9886101.7200000063</v>
          </cell>
          <cell r="F25">
            <v>12459911.654160012</v>
          </cell>
          <cell r="G25">
            <v>14542147.763184499</v>
          </cell>
          <cell r="H25">
            <v>17363167.788712893</v>
          </cell>
          <cell r="I25">
            <v>20849961.426232494</v>
          </cell>
          <cell r="J25">
            <v>24634428.822478633</v>
          </cell>
          <cell r="K25">
            <v>27859688.116131976</v>
          </cell>
        </row>
        <row r="27">
          <cell r="B27">
            <v>922320</v>
          </cell>
          <cell r="C27">
            <v>773220</v>
          </cell>
          <cell r="D27">
            <v>1411355.4000000008</v>
          </cell>
          <cell r="E27">
            <v>2076081.3612000013</v>
          </cell>
          <cell r="F27">
            <v>2616581.4473736025</v>
          </cell>
          <cell r="G27">
            <v>3053851.0302687446</v>
          </cell>
          <cell r="H27">
            <v>3646265.2356297071</v>
          </cell>
          <cell r="I27">
            <v>4378491.8995088236</v>
          </cell>
          <cell r="J27">
            <v>5173230.0527205132</v>
          </cell>
          <cell r="K27">
            <v>5850534.5043877149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6B4B-23BA-754D-8FC2-1B6FBB6E161E}">
  <dimension ref="A1:M29"/>
  <sheetViews>
    <sheetView workbookViewId="0">
      <selection activeCell="K10" sqref="K10"/>
    </sheetView>
  </sheetViews>
  <sheetFormatPr baseColWidth="10" defaultRowHeight="16" x14ac:dyDescent="0.2"/>
  <cols>
    <col min="1" max="1" width="24.5" customWidth="1"/>
    <col min="2" max="11" width="16.83203125" customWidth="1"/>
  </cols>
  <sheetData>
    <row r="1" spans="1:13" ht="19" x14ac:dyDescent="0.25">
      <c r="A1" s="9" t="s">
        <v>42</v>
      </c>
    </row>
    <row r="2" spans="1:13" x14ac:dyDescent="0.2">
      <c r="A2" s="5"/>
      <c r="B2" s="3"/>
      <c r="C2" s="3"/>
    </row>
    <row r="3" spans="1:13" x14ac:dyDescent="0.2">
      <c r="A3" s="7" t="s">
        <v>8</v>
      </c>
      <c r="B3" s="8">
        <v>0.21</v>
      </c>
      <c r="C3" s="3"/>
    </row>
    <row r="4" spans="1:13" x14ac:dyDescent="0.2">
      <c r="A4" s="7" t="s">
        <v>4</v>
      </c>
      <c r="B4" s="8">
        <v>0.18</v>
      </c>
    </row>
    <row r="5" spans="1:13" x14ac:dyDescent="0.2">
      <c r="A5" s="7"/>
      <c r="B5" s="8"/>
    </row>
    <row r="6" spans="1:13" x14ac:dyDescent="0.2">
      <c r="B6" s="49" t="s">
        <v>0</v>
      </c>
      <c r="C6" s="49"/>
      <c r="D6" s="49"/>
      <c r="E6" s="49"/>
      <c r="F6" s="49"/>
      <c r="G6" s="49"/>
      <c r="H6" s="49"/>
      <c r="I6" s="49"/>
      <c r="J6" s="49"/>
      <c r="K6" s="49"/>
      <c r="M6" s="13"/>
    </row>
    <row r="7" spans="1:13" x14ac:dyDescent="0.2">
      <c r="A7" s="6" t="s">
        <v>10</v>
      </c>
      <c r="B7" s="10">
        <v>1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0">
        <v>8</v>
      </c>
      <c r="J7" s="10">
        <v>9</v>
      </c>
      <c r="K7" s="10">
        <v>10</v>
      </c>
      <c r="M7" s="13"/>
    </row>
    <row r="8" spans="1:13" x14ac:dyDescent="0.2">
      <c r="A8" s="5" t="s">
        <v>9</v>
      </c>
      <c r="B8" s="11">
        <v>5000</v>
      </c>
      <c r="C8" s="11">
        <v>5000</v>
      </c>
      <c r="D8" s="11">
        <v>5000</v>
      </c>
      <c r="E8" s="11">
        <v>5000</v>
      </c>
      <c r="F8" s="11">
        <v>5000</v>
      </c>
      <c r="G8" s="11">
        <v>5000</v>
      </c>
      <c r="H8" s="11">
        <v>5000</v>
      </c>
      <c r="I8" s="11">
        <v>5000</v>
      </c>
      <c r="J8" s="11">
        <v>5000</v>
      </c>
      <c r="K8" s="11">
        <v>5000</v>
      </c>
      <c r="M8" s="13"/>
    </row>
    <row r="9" spans="1:13" x14ac:dyDescent="0.2">
      <c r="A9" s="5" t="s">
        <v>5</v>
      </c>
      <c r="B9" s="2">
        <v>5000</v>
      </c>
      <c r="C9" s="2">
        <f>+B9*1.1</f>
        <v>5500</v>
      </c>
      <c r="D9" s="2">
        <f t="shared" ref="D9:K9" si="0">+C9*1.1</f>
        <v>6050.0000000000009</v>
      </c>
      <c r="E9" s="2">
        <f t="shared" si="0"/>
        <v>6655.0000000000018</v>
      </c>
      <c r="F9" s="2">
        <f t="shared" si="0"/>
        <v>7320.5000000000027</v>
      </c>
      <c r="G9" s="2">
        <f t="shared" si="0"/>
        <v>8052.5500000000038</v>
      </c>
      <c r="H9" s="2">
        <f t="shared" si="0"/>
        <v>8857.8050000000057</v>
      </c>
      <c r="I9" s="2">
        <f t="shared" si="0"/>
        <v>9743.5855000000065</v>
      </c>
      <c r="J9" s="2">
        <f t="shared" si="0"/>
        <v>10717.944050000007</v>
      </c>
      <c r="K9" s="2">
        <f t="shared" si="0"/>
        <v>11789.73845500001</v>
      </c>
      <c r="M9" s="13"/>
    </row>
    <row r="10" spans="1:13" x14ac:dyDescent="0.2">
      <c r="A10" s="16" t="s">
        <v>10</v>
      </c>
      <c r="B10" s="15">
        <f>+B8*B9</f>
        <v>25000000</v>
      </c>
      <c r="C10" s="15">
        <f t="shared" ref="C10:K10" si="1">+C8*C9</f>
        <v>27500000</v>
      </c>
      <c r="D10" s="15">
        <f t="shared" si="1"/>
        <v>30250000.000000004</v>
      </c>
      <c r="E10" s="15">
        <f t="shared" si="1"/>
        <v>33275000.000000007</v>
      </c>
      <c r="F10" s="15">
        <f t="shared" si="1"/>
        <v>36602500.000000015</v>
      </c>
      <c r="G10" s="15">
        <f t="shared" si="1"/>
        <v>40262750.000000022</v>
      </c>
      <c r="H10" s="15">
        <f t="shared" si="1"/>
        <v>44289025.00000003</v>
      </c>
      <c r="I10" s="15">
        <f t="shared" si="1"/>
        <v>48717927.50000003</v>
      </c>
      <c r="J10" s="15">
        <f t="shared" si="1"/>
        <v>53589720.250000037</v>
      </c>
      <c r="K10" s="15">
        <f t="shared" si="1"/>
        <v>58948692.275000051</v>
      </c>
      <c r="M10" s="13"/>
    </row>
    <row r="11" spans="1:13" x14ac:dyDescent="0.2">
      <c r="M11" s="13"/>
    </row>
    <row r="12" spans="1:13" x14ac:dyDescent="0.2">
      <c r="A12" s="6" t="s">
        <v>6</v>
      </c>
      <c r="M12" s="13"/>
    </row>
    <row r="13" spans="1:13" x14ac:dyDescent="0.2">
      <c r="A13" s="5" t="s">
        <v>31</v>
      </c>
      <c r="B13" s="11">
        <v>3000</v>
      </c>
      <c r="C13" s="11">
        <f>+B13*0.98</f>
        <v>2940</v>
      </c>
      <c r="D13" s="11">
        <f t="shared" ref="D13:K13" si="2">+C13*0.98</f>
        <v>2881.2</v>
      </c>
      <c r="E13" s="11">
        <f t="shared" si="2"/>
        <v>2823.5759999999996</v>
      </c>
      <c r="F13" s="11">
        <f t="shared" si="2"/>
        <v>2767.1044799999995</v>
      </c>
      <c r="G13" s="11">
        <f t="shared" si="2"/>
        <v>2711.7623903999993</v>
      </c>
      <c r="H13" s="11">
        <f t="shared" si="2"/>
        <v>2657.5271425919991</v>
      </c>
      <c r="I13" s="11">
        <f t="shared" si="2"/>
        <v>2604.3765997401592</v>
      </c>
      <c r="J13" s="11">
        <f t="shared" si="2"/>
        <v>2552.2890677453561</v>
      </c>
      <c r="K13" s="11">
        <f t="shared" si="2"/>
        <v>2501.2432863904487</v>
      </c>
      <c r="M13" s="13"/>
    </row>
    <row r="14" spans="1:13" x14ac:dyDescent="0.2">
      <c r="A14" s="16" t="s">
        <v>6</v>
      </c>
      <c r="B14" s="17">
        <f>+B9*B13</f>
        <v>15000000</v>
      </c>
      <c r="C14" s="17">
        <f t="shared" ref="C14:K14" si="3">+C9*C13</f>
        <v>16170000</v>
      </c>
      <c r="D14" s="17">
        <f t="shared" si="3"/>
        <v>17431260</v>
      </c>
      <c r="E14" s="17">
        <f t="shared" si="3"/>
        <v>18790898.280000001</v>
      </c>
      <c r="F14" s="17">
        <f t="shared" si="3"/>
        <v>20256588.345840003</v>
      </c>
      <c r="G14" s="17">
        <f t="shared" si="3"/>
        <v>21836602.236815523</v>
      </c>
      <c r="H14" s="17">
        <f t="shared" si="3"/>
        <v>23539857.211287137</v>
      </c>
      <c r="I14" s="17">
        <f t="shared" si="3"/>
        <v>25375966.073767535</v>
      </c>
      <c r="J14" s="17">
        <f t="shared" si="3"/>
        <v>27355291.427521404</v>
      </c>
      <c r="K14" s="17">
        <f t="shared" si="3"/>
        <v>29489004.158868074</v>
      </c>
    </row>
    <row r="16" spans="1:13" x14ac:dyDescent="0.2">
      <c r="A16" s="16" t="s">
        <v>11</v>
      </c>
      <c r="B16" s="17">
        <f>+B10-B14</f>
        <v>10000000</v>
      </c>
      <c r="C16" s="17">
        <f t="shared" ref="C16:K16" si="4">+C10-C14</f>
        <v>11330000</v>
      </c>
      <c r="D16" s="17">
        <f t="shared" si="4"/>
        <v>12818740.000000004</v>
      </c>
      <c r="E16" s="17">
        <f t="shared" si="4"/>
        <v>14484101.720000006</v>
      </c>
      <c r="F16" s="17">
        <f t="shared" si="4"/>
        <v>16345911.654160012</v>
      </c>
      <c r="G16" s="17">
        <f t="shared" si="4"/>
        <v>18426147.763184499</v>
      </c>
      <c r="H16" s="17">
        <f t="shared" si="4"/>
        <v>20749167.788712893</v>
      </c>
      <c r="I16" s="17">
        <f t="shared" si="4"/>
        <v>23341961.426232494</v>
      </c>
      <c r="J16" s="17">
        <f t="shared" si="4"/>
        <v>26234428.822478633</v>
      </c>
      <c r="K16" s="17">
        <f t="shared" si="4"/>
        <v>29459688.116131976</v>
      </c>
    </row>
    <row r="18" spans="1:11" x14ac:dyDescent="0.2">
      <c r="A18" s="6" t="s">
        <v>12</v>
      </c>
    </row>
    <row r="19" spans="1:11" x14ac:dyDescent="0.2">
      <c r="A19" s="5" t="s">
        <v>14</v>
      </c>
      <c r="B19" s="11">
        <v>1500000</v>
      </c>
      <c r="C19" s="11">
        <v>1500000</v>
      </c>
      <c r="D19" s="11">
        <v>1500000</v>
      </c>
      <c r="E19" s="11">
        <v>1000000</v>
      </c>
      <c r="F19" s="11">
        <v>1000000</v>
      </c>
      <c r="G19" s="11">
        <v>1000000</v>
      </c>
      <c r="H19" s="11">
        <v>500000</v>
      </c>
      <c r="I19" s="11">
        <v>500000</v>
      </c>
      <c r="J19" s="11">
        <v>500000</v>
      </c>
      <c r="K19" s="11">
        <v>500000</v>
      </c>
    </row>
    <row r="20" spans="1:11" x14ac:dyDescent="0.2">
      <c r="A20" s="5" t="s">
        <v>33</v>
      </c>
      <c r="B20" s="11">
        <v>1000000</v>
      </c>
      <c r="C20" s="11">
        <v>1000000</v>
      </c>
      <c r="D20" s="11">
        <v>1000000</v>
      </c>
      <c r="E20" s="11">
        <v>1000000</v>
      </c>
      <c r="F20" s="11">
        <v>1000000</v>
      </c>
      <c r="G20" s="11">
        <v>1000000</v>
      </c>
      <c r="H20" s="11">
        <v>1000000</v>
      </c>
      <c r="I20" s="11">
        <v>1000000</v>
      </c>
      <c r="J20" s="11">
        <v>1000000</v>
      </c>
      <c r="K20" s="11">
        <v>1000000</v>
      </c>
    </row>
    <row r="21" spans="1:11" x14ac:dyDescent="0.2">
      <c r="A21" s="5" t="s">
        <v>32</v>
      </c>
      <c r="B21" s="11">
        <v>250000</v>
      </c>
      <c r="C21" s="11">
        <v>250000</v>
      </c>
      <c r="D21" s="11">
        <v>100000</v>
      </c>
      <c r="E21" s="11">
        <v>100000</v>
      </c>
      <c r="F21" s="11">
        <v>100000</v>
      </c>
      <c r="G21" s="11">
        <v>100000</v>
      </c>
      <c r="H21" s="11">
        <v>100000</v>
      </c>
      <c r="I21" s="11">
        <v>100000</v>
      </c>
      <c r="J21" s="11">
        <v>100000</v>
      </c>
      <c r="K21" s="11">
        <v>100000</v>
      </c>
    </row>
    <row r="22" spans="1:11" x14ac:dyDescent="0.2">
      <c r="A22" s="5" t="s">
        <v>13</v>
      </c>
      <c r="B22" s="13">
        <v>2858000</v>
      </c>
      <c r="C22" s="13">
        <v>4898000</v>
      </c>
      <c r="D22" s="13">
        <v>3498000</v>
      </c>
      <c r="E22" s="13">
        <v>2498000</v>
      </c>
      <c r="F22" s="13">
        <v>1786000</v>
      </c>
      <c r="G22" s="13">
        <v>1784000</v>
      </c>
      <c r="H22" s="13">
        <v>1786000</v>
      </c>
      <c r="I22" s="13">
        <v>892000</v>
      </c>
      <c r="J22" s="13">
        <v>0</v>
      </c>
      <c r="K22" s="13">
        <v>0</v>
      </c>
    </row>
    <row r="23" spans="1:11" x14ac:dyDescent="0.2">
      <c r="A23" s="14" t="s">
        <v>20</v>
      </c>
      <c r="B23" s="15">
        <f>SUM(B19:B22)</f>
        <v>5608000</v>
      </c>
      <c r="C23" s="15">
        <f t="shared" ref="C23:K23" si="5">SUM(C19:C22)</f>
        <v>7648000</v>
      </c>
      <c r="D23" s="15">
        <f t="shared" si="5"/>
        <v>6098000</v>
      </c>
      <c r="E23" s="15">
        <f t="shared" si="5"/>
        <v>4598000</v>
      </c>
      <c r="F23" s="15">
        <f t="shared" si="5"/>
        <v>3886000</v>
      </c>
      <c r="G23" s="15">
        <f t="shared" si="5"/>
        <v>3884000</v>
      </c>
      <c r="H23" s="15">
        <f t="shared" si="5"/>
        <v>3386000</v>
      </c>
      <c r="I23" s="15">
        <f t="shared" si="5"/>
        <v>2492000</v>
      </c>
      <c r="J23" s="15">
        <f t="shared" si="5"/>
        <v>1600000</v>
      </c>
      <c r="K23" s="15">
        <f t="shared" si="5"/>
        <v>1600000</v>
      </c>
    </row>
    <row r="25" spans="1:11" x14ac:dyDescent="0.2">
      <c r="A25" s="18" t="s">
        <v>19</v>
      </c>
      <c r="B25" s="15">
        <f>+B16-B23</f>
        <v>4392000</v>
      </c>
      <c r="C25" s="15">
        <f t="shared" ref="C25:K25" si="6">+C16-C23</f>
        <v>3682000</v>
      </c>
      <c r="D25" s="15">
        <f t="shared" si="6"/>
        <v>6720740.0000000037</v>
      </c>
      <c r="E25" s="15">
        <f t="shared" si="6"/>
        <v>9886101.7200000063</v>
      </c>
      <c r="F25" s="15">
        <f t="shared" si="6"/>
        <v>12459911.654160012</v>
      </c>
      <c r="G25" s="15">
        <f t="shared" si="6"/>
        <v>14542147.763184499</v>
      </c>
      <c r="H25" s="15">
        <f t="shared" si="6"/>
        <v>17363167.788712893</v>
      </c>
      <c r="I25" s="15">
        <f t="shared" si="6"/>
        <v>20849961.426232494</v>
      </c>
      <c r="J25" s="15">
        <f t="shared" si="6"/>
        <v>24634428.822478633</v>
      </c>
      <c r="K25" s="15">
        <f t="shared" si="6"/>
        <v>27859688.116131976</v>
      </c>
    </row>
    <row r="27" spans="1:11" x14ac:dyDescent="0.2">
      <c r="A27" s="16" t="s">
        <v>21</v>
      </c>
      <c r="B27" s="15">
        <f>+B25*0.21</f>
        <v>922320</v>
      </c>
      <c r="C27" s="15">
        <f t="shared" ref="C27:K27" si="7">+C25*0.21</f>
        <v>773220</v>
      </c>
      <c r="D27" s="15">
        <f t="shared" si="7"/>
        <v>1411355.4000000008</v>
      </c>
      <c r="E27" s="15">
        <f t="shared" si="7"/>
        <v>2076081.3612000013</v>
      </c>
      <c r="F27" s="15">
        <f t="shared" si="7"/>
        <v>2616581.4473736025</v>
      </c>
      <c r="G27" s="15">
        <f t="shared" si="7"/>
        <v>3053851.0302687446</v>
      </c>
      <c r="H27" s="15">
        <f t="shared" si="7"/>
        <v>3646265.2356297071</v>
      </c>
      <c r="I27" s="15">
        <f t="shared" si="7"/>
        <v>4378491.8995088236</v>
      </c>
      <c r="J27" s="15">
        <f t="shared" si="7"/>
        <v>5173230.0527205132</v>
      </c>
      <c r="K27" s="15">
        <f t="shared" si="7"/>
        <v>5850534.5043877149</v>
      </c>
    </row>
    <row r="29" spans="1:11" x14ac:dyDescent="0.2">
      <c r="A29" s="16" t="s">
        <v>22</v>
      </c>
      <c r="B29" s="15">
        <f>+B25-B27</f>
        <v>3469680</v>
      </c>
      <c r="C29" s="15">
        <f t="shared" ref="C29:K29" si="8">+C25-C27</f>
        <v>2908780</v>
      </c>
      <c r="D29" s="15">
        <f t="shared" si="8"/>
        <v>5309384.6000000034</v>
      </c>
      <c r="E29" s="15">
        <f t="shared" si="8"/>
        <v>7810020.3588000052</v>
      </c>
      <c r="F29" s="15">
        <f t="shared" si="8"/>
        <v>9843330.206786409</v>
      </c>
      <c r="G29" s="15">
        <f t="shared" si="8"/>
        <v>11488296.732915755</v>
      </c>
      <c r="H29" s="15">
        <f t="shared" si="8"/>
        <v>13716902.553083185</v>
      </c>
      <c r="I29" s="15">
        <f t="shared" si="8"/>
        <v>16471469.526723672</v>
      </c>
      <c r="J29" s="15">
        <f t="shared" si="8"/>
        <v>19461198.76975812</v>
      </c>
      <c r="K29" s="15">
        <f t="shared" si="8"/>
        <v>22009153.611744262</v>
      </c>
    </row>
  </sheetData>
  <mergeCells count="1">
    <mergeCell ref="B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F42F-D471-B44D-A0BD-0CBFA5763F9F}">
  <dimension ref="A1:K13"/>
  <sheetViews>
    <sheetView workbookViewId="0">
      <selection activeCell="C6" sqref="C6"/>
    </sheetView>
  </sheetViews>
  <sheetFormatPr baseColWidth="10" defaultRowHeight="16" x14ac:dyDescent="0.2"/>
  <cols>
    <col min="2" max="4" width="14.83203125" customWidth="1"/>
  </cols>
  <sheetData>
    <row r="1" spans="1:11" x14ac:dyDescent="0.2">
      <c r="A1" s="6" t="s">
        <v>15</v>
      </c>
    </row>
    <row r="2" spans="1:11" x14ac:dyDescent="0.2">
      <c r="A2" s="6"/>
    </row>
    <row r="3" spans="1:11" x14ac:dyDescent="0.2">
      <c r="A3" s="6" t="s">
        <v>7</v>
      </c>
      <c r="B3" s="12">
        <v>20000000</v>
      </c>
    </row>
    <row r="5" spans="1:11" x14ac:dyDescent="0.2">
      <c r="A5" s="19" t="s">
        <v>0</v>
      </c>
      <c r="B5" s="19" t="s">
        <v>16</v>
      </c>
      <c r="C5" s="20" t="s">
        <v>17</v>
      </c>
      <c r="D5" s="20" t="s">
        <v>18</v>
      </c>
    </row>
    <row r="6" spans="1:11" x14ac:dyDescent="0.2">
      <c r="A6" s="4">
        <v>1</v>
      </c>
      <c r="B6" s="4">
        <v>0.1429</v>
      </c>
      <c r="C6" s="13">
        <f>+B6*$B$3</f>
        <v>2858000</v>
      </c>
      <c r="D6" s="13">
        <f>+B3-C6</f>
        <v>17142000</v>
      </c>
      <c r="K6" s="13"/>
    </row>
    <row r="7" spans="1:11" x14ac:dyDescent="0.2">
      <c r="A7" s="4">
        <v>2</v>
      </c>
      <c r="B7" s="4">
        <v>0.24490000000000001</v>
      </c>
      <c r="C7" s="13">
        <f t="shared" ref="C7:C13" si="0">+B7*$B$3</f>
        <v>4898000</v>
      </c>
      <c r="D7" s="13">
        <f t="shared" ref="D7:D13" si="1">+D6-C7</f>
        <v>12244000</v>
      </c>
      <c r="K7" s="13"/>
    </row>
    <row r="8" spans="1:11" x14ac:dyDescent="0.2">
      <c r="A8" s="4">
        <v>3</v>
      </c>
      <c r="B8" s="4">
        <v>0.1749</v>
      </c>
      <c r="C8" s="13">
        <f t="shared" si="0"/>
        <v>3498000</v>
      </c>
      <c r="D8" s="13">
        <f t="shared" si="1"/>
        <v>8746000</v>
      </c>
      <c r="K8" s="13"/>
    </row>
    <row r="9" spans="1:11" x14ac:dyDescent="0.2">
      <c r="A9" s="4">
        <v>4</v>
      </c>
      <c r="B9" s="4">
        <v>0.1249</v>
      </c>
      <c r="C9" s="13">
        <f t="shared" si="0"/>
        <v>2498000</v>
      </c>
      <c r="D9" s="13">
        <f t="shared" si="1"/>
        <v>6248000</v>
      </c>
      <c r="K9" s="13"/>
    </row>
    <row r="10" spans="1:11" x14ac:dyDescent="0.2">
      <c r="A10" s="4">
        <v>5</v>
      </c>
      <c r="B10" s="4">
        <v>8.9300000000000004E-2</v>
      </c>
      <c r="C10" s="13">
        <f t="shared" si="0"/>
        <v>1786000</v>
      </c>
      <c r="D10" s="13">
        <f t="shared" si="1"/>
        <v>4462000</v>
      </c>
      <c r="K10" s="13"/>
    </row>
    <row r="11" spans="1:11" x14ac:dyDescent="0.2">
      <c r="A11" s="4">
        <v>6</v>
      </c>
      <c r="B11" s="4">
        <v>8.9200000000000002E-2</v>
      </c>
      <c r="C11" s="13">
        <f t="shared" si="0"/>
        <v>1784000</v>
      </c>
      <c r="D11" s="13">
        <f t="shared" si="1"/>
        <v>2678000</v>
      </c>
      <c r="K11" s="13"/>
    </row>
    <row r="12" spans="1:11" x14ac:dyDescent="0.2">
      <c r="A12" s="4">
        <v>7</v>
      </c>
      <c r="B12" s="4">
        <v>8.9300000000000004E-2</v>
      </c>
      <c r="C12" s="13">
        <f t="shared" si="0"/>
        <v>1786000</v>
      </c>
      <c r="D12" s="13">
        <f t="shared" si="1"/>
        <v>892000</v>
      </c>
      <c r="K12" s="13"/>
    </row>
    <row r="13" spans="1:11" x14ac:dyDescent="0.2">
      <c r="A13" s="4">
        <v>8</v>
      </c>
      <c r="B13" s="4">
        <v>4.4600000000000001E-2</v>
      </c>
      <c r="C13" s="13">
        <f t="shared" si="0"/>
        <v>892000</v>
      </c>
      <c r="D13" s="13">
        <f t="shared" si="1"/>
        <v>0</v>
      </c>
      <c r="K1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FFCA-0EE1-2D44-B006-1EDFEB3091A4}">
  <dimension ref="A1:L8"/>
  <sheetViews>
    <sheetView workbookViewId="0">
      <selection activeCell="C12" sqref="C12"/>
    </sheetView>
  </sheetViews>
  <sheetFormatPr baseColWidth="10" defaultRowHeight="16" x14ac:dyDescent="0.2"/>
  <cols>
    <col min="1" max="1" width="24.83203125" customWidth="1"/>
    <col min="2" max="12" width="15.83203125" customWidth="1"/>
  </cols>
  <sheetData>
    <row r="1" spans="1:12" x14ac:dyDescent="0.2">
      <c r="A1" s="6" t="s">
        <v>34</v>
      </c>
    </row>
    <row r="3" spans="1:12" x14ac:dyDescent="0.2">
      <c r="B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 x14ac:dyDescent="0.2">
      <c r="B4" s="10">
        <v>0</v>
      </c>
      <c r="C4" s="10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</row>
    <row r="5" spans="1:12" x14ac:dyDescent="0.2">
      <c r="A5" t="s">
        <v>23</v>
      </c>
      <c r="C5" s="11">
        <f>+'[1]1.  Pro Forma Income Statement'!B25</f>
        <v>4392000</v>
      </c>
      <c r="D5" s="11">
        <f>+'[1]1.  Pro Forma Income Statement'!C25</f>
        <v>3682000</v>
      </c>
      <c r="E5" s="11">
        <f>+'[1]1.  Pro Forma Income Statement'!D25</f>
        <v>6720740.0000000037</v>
      </c>
      <c r="F5" s="11">
        <f>+'[1]1.  Pro Forma Income Statement'!E25</f>
        <v>9886101.7200000063</v>
      </c>
      <c r="G5" s="11">
        <f>+'[1]1.  Pro Forma Income Statement'!F25</f>
        <v>12459911.654160012</v>
      </c>
      <c r="H5" s="11">
        <f>+'[1]1.  Pro Forma Income Statement'!G25</f>
        <v>14542147.763184499</v>
      </c>
      <c r="I5" s="11">
        <f>+'[1]1.  Pro Forma Income Statement'!H25</f>
        <v>17363167.788712893</v>
      </c>
      <c r="J5" s="11">
        <f>+'[1]1.  Pro Forma Income Statement'!I25</f>
        <v>20849961.426232494</v>
      </c>
      <c r="K5" s="11">
        <f>+'[1]1.  Pro Forma Income Statement'!J25</f>
        <v>24634428.822478633</v>
      </c>
      <c r="L5" s="11">
        <f>+'[1]1.  Pro Forma Income Statement'!K25</f>
        <v>27859688.116131976</v>
      </c>
    </row>
    <row r="6" spans="1:12" x14ac:dyDescent="0.2">
      <c r="A6" s="21" t="s">
        <v>24</v>
      </c>
      <c r="C6" s="11">
        <f>+'[1]1.  Pro Forma Income Statement'!B22</f>
        <v>2858000</v>
      </c>
      <c r="D6" s="11">
        <f>+'[1]1.  Pro Forma Income Statement'!C22</f>
        <v>4898000</v>
      </c>
      <c r="E6" s="11">
        <f>+'[1]1.  Pro Forma Income Statement'!D22</f>
        <v>3498000</v>
      </c>
      <c r="F6" s="11">
        <f>+'[1]1.  Pro Forma Income Statement'!E22</f>
        <v>2498000</v>
      </c>
      <c r="G6" s="11">
        <f>+'[1]1.  Pro Forma Income Statement'!F22</f>
        <v>1786000</v>
      </c>
      <c r="H6" s="11">
        <f>+'[1]1.  Pro Forma Income Statement'!G22</f>
        <v>1784000</v>
      </c>
      <c r="I6" s="11">
        <f>+'[1]1.  Pro Forma Income Statement'!H22</f>
        <v>1786000</v>
      </c>
      <c r="J6" s="11">
        <f>+'[1]1.  Pro Forma Income Statement'!I22</f>
        <v>892000</v>
      </c>
      <c r="K6" s="11">
        <f>+'[1]1.  Pro Forma Income Statement'!J22</f>
        <v>0</v>
      </c>
      <c r="L6" s="11">
        <f>+'[1]1.  Pro Forma Income Statement'!K22</f>
        <v>0</v>
      </c>
    </row>
    <row r="7" spans="1:12" x14ac:dyDescent="0.2">
      <c r="A7" s="21" t="s">
        <v>25</v>
      </c>
      <c r="C7" s="11">
        <f>+'[1]1.  Pro Forma Income Statement'!B27*(-1)</f>
        <v>-922320</v>
      </c>
      <c r="D7" s="11">
        <f>+'[1]1.  Pro Forma Income Statement'!C27*(-1)</f>
        <v>-773220</v>
      </c>
      <c r="E7" s="11">
        <f>+'[1]1.  Pro Forma Income Statement'!D27*(-1)</f>
        <v>-1411355.4000000008</v>
      </c>
      <c r="F7" s="11">
        <f>+'[1]1.  Pro Forma Income Statement'!E27*(-1)</f>
        <v>-2076081.3612000013</v>
      </c>
      <c r="G7" s="11">
        <f>+'[1]1.  Pro Forma Income Statement'!F27*(-1)</f>
        <v>-2616581.4473736025</v>
      </c>
      <c r="H7" s="11">
        <f>+'[1]1.  Pro Forma Income Statement'!G27*(-1)</f>
        <v>-3053851.0302687446</v>
      </c>
      <c r="I7" s="11">
        <f>+'[1]1.  Pro Forma Income Statement'!H27*(-1)</f>
        <v>-3646265.2356297071</v>
      </c>
      <c r="J7" s="11">
        <f>+'[1]1.  Pro Forma Income Statement'!I27*(-1)</f>
        <v>-4378491.8995088236</v>
      </c>
      <c r="K7" s="11">
        <f>+'[1]1.  Pro Forma Income Statement'!J27*(-1)</f>
        <v>-5173230.0527205132</v>
      </c>
      <c r="L7" s="11">
        <f>+'[1]1.  Pro Forma Income Statement'!K27*(-1)</f>
        <v>-5850534.5043877149</v>
      </c>
    </row>
    <row r="8" spans="1:12" x14ac:dyDescent="0.2">
      <c r="A8" s="16" t="s">
        <v>48</v>
      </c>
      <c r="B8" s="16"/>
      <c r="C8" s="15">
        <f>SUM(C5:C7)</f>
        <v>6327680</v>
      </c>
      <c r="D8" s="15">
        <f t="shared" ref="D8:L8" si="0">SUM(D5:D7)</f>
        <v>7806780</v>
      </c>
      <c r="E8" s="15">
        <f t="shared" si="0"/>
        <v>8807384.6000000034</v>
      </c>
      <c r="F8" s="15">
        <f t="shared" si="0"/>
        <v>10308020.358800005</v>
      </c>
      <c r="G8" s="15">
        <f t="shared" si="0"/>
        <v>11629330.206786409</v>
      </c>
      <c r="H8" s="15">
        <f t="shared" si="0"/>
        <v>13272296.732915755</v>
      </c>
      <c r="I8" s="15">
        <f t="shared" si="0"/>
        <v>15502902.553083185</v>
      </c>
      <c r="J8" s="15">
        <f t="shared" si="0"/>
        <v>17363469.526723672</v>
      </c>
      <c r="K8" s="15">
        <f t="shared" si="0"/>
        <v>19461198.76975812</v>
      </c>
      <c r="L8" s="15">
        <f t="shared" si="0"/>
        <v>22009153.611744262</v>
      </c>
    </row>
  </sheetData>
  <mergeCells count="1">
    <mergeCell ref="B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28B6-0E58-0C44-A5AA-74CE1FEB358D}">
  <dimension ref="A1:N10"/>
  <sheetViews>
    <sheetView workbookViewId="0">
      <selection activeCell="L8" sqref="L8"/>
    </sheetView>
  </sheetViews>
  <sheetFormatPr baseColWidth="10" defaultRowHeight="16" x14ac:dyDescent="0.2"/>
  <cols>
    <col min="1" max="1" width="30.6640625" customWidth="1"/>
    <col min="2" max="12" width="16.83203125" customWidth="1"/>
  </cols>
  <sheetData>
    <row r="1" spans="1:14" x14ac:dyDescent="0.2">
      <c r="A1" s="6" t="s">
        <v>35</v>
      </c>
    </row>
    <row r="2" spans="1:14" x14ac:dyDescent="0.2">
      <c r="A2" s="6"/>
    </row>
    <row r="4" spans="1:14" x14ac:dyDescent="0.2">
      <c r="B4" s="49" t="s">
        <v>0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13"/>
    </row>
    <row r="5" spans="1:14" x14ac:dyDescent="0.2">
      <c r="B5" s="10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N5" s="13"/>
    </row>
    <row r="6" spans="1:14" x14ac:dyDescent="0.2">
      <c r="A6" t="s">
        <v>10</v>
      </c>
      <c r="B6" s="11"/>
      <c r="C6" s="40">
        <v>25000000</v>
      </c>
      <c r="D6" s="40">
        <v>27500000</v>
      </c>
      <c r="E6" s="40">
        <v>30250000.000000004</v>
      </c>
      <c r="F6" s="40">
        <v>33275000.000000007</v>
      </c>
      <c r="G6" s="40">
        <v>36602500.000000015</v>
      </c>
      <c r="H6" s="40">
        <v>40262750.000000022</v>
      </c>
      <c r="I6" s="40">
        <v>44289025.00000003</v>
      </c>
      <c r="J6" s="40">
        <v>48717927.50000003</v>
      </c>
      <c r="K6" s="40">
        <v>53589720.250000037</v>
      </c>
      <c r="L6" s="40">
        <v>58948692.275000051</v>
      </c>
      <c r="M6" s="13"/>
    </row>
    <row r="7" spans="1:14" x14ac:dyDescent="0.2">
      <c r="A7" s="38" t="s">
        <v>41</v>
      </c>
      <c r="B7" s="39">
        <v>2500000</v>
      </c>
      <c r="C7" s="39">
        <f>+C6*0.15</f>
        <v>3750000</v>
      </c>
      <c r="D7" s="39">
        <f t="shared" ref="D7:L7" si="0">+D6*0.15</f>
        <v>4125000</v>
      </c>
      <c r="E7" s="39">
        <f t="shared" si="0"/>
        <v>4537500</v>
      </c>
      <c r="F7" s="39">
        <f t="shared" si="0"/>
        <v>4991250.0000000009</v>
      </c>
      <c r="G7" s="39">
        <f t="shared" si="0"/>
        <v>5490375.0000000019</v>
      </c>
      <c r="H7" s="39">
        <f t="shared" si="0"/>
        <v>6039412.5000000028</v>
      </c>
      <c r="I7" s="39">
        <f t="shared" si="0"/>
        <v>6643353.7500000047</v>
      </c>
      <c r="J7" s="39">
        <f t="shared" si="0"/>
        <v>7307689.1250000047</v>
      </c>
      <c r="K7" s="39">
        <f t="shared" si="0"/>
        <v>8038458.0375000052</v>
      </c>
      <c r="L7" s="39">
        <f t="shared" si="0"/>
        <v>8842303.841250008</v>
      </c>
      <c r="M7" s="13"/>
    </row>
    <row r="8" spans="1:14" x14ac:dyDescent="0.2">
      <c r="A8" s="37" t="s">
        <v>43</v>
      </c>
      <c r="B8" s="22">
        <f>+B7</f>
        <v>2500000</v>
      </c>
      <c r="C8" s="22">
        <f>+C7-B7</f>
        <v>1250000</v>
      </c>
      <c r="D8" s="22">
        <f t="shared" ref="D8:L8" si="1">+D7-C7</f>
        <v>375000</v>
      </c>
      <c r="E8" s="22">
        <f t="shared" si="1"/>
        <v>412500</v>
      </c>
      <c r="F8" s="22">
        <f t="shared" si="1"/>
        <v>453750.00000000093</v>
      </c>
      <c r="G8" s="22">
        <f t="shared" si="1"/>
        <v>499125.00000000093</v>
      </c>
      <c r="H8" s="22">
        <f t="shared" si="1"/>
        <v>549037.50000000093</v>
      </c>
      <c r="I8" s="22">
        <f t="shared" si="1"/>
        <v>603941.25000000186</v>
      </c>
      <c r="J8" s="22">
        <f t="shared" si="1"/>
        <v>664335.375</v>
      </c>
      <c r="K8" s="22">
        <f t="shared" si="1"/>
        <v>730768.91250000056</v>
      </c>
      <c r="L8" s="22">
        <f t="shared" si="1"/>
        <v>803845.80375000276</v>
      </c>
      <c r="M8" s="13"/>
    </row>
    <row r="9" spans="1:14" x14ac:dyDescent="0.2">
      <c r="A9" t="s">
        <v>45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>
        <f>+L7</f>
        <v>8842303.841250008</v>
      </c>
      <c r="M9" s="13"/>
    </row>
    <row r="10" spans="1:14" s="6" customFormat="1" x14ac:dyDescent="0.2">
      <c r="A10" s="33" t="s">
        <v>38</v>
      </c>
      <c r="B10" s="15">
        <f>-B8</f>
        <v>-2500000</v>
      </c>
      <c r="C10" s="15">
        <f t="shared" ref="C10:K10" si="2">-C8</f>
        <v>-1250000</v>
      </c>
      <c r="D10" s="15">
        <f t="shared" si="2"/>
        <v>-375000</v>
      </c>
      <c r="E10" s="15">
        <f t="shared" si="2"/>
        <v>-412500</v>
      </c>
      <c r="F10" s="15">
        <f t="shared" si="2"/>
        <v>-453750.00000000093</v>
      </c>
      <c r="G10" s="15">
        <f t="shared" si="2"/>
        <v>-499125.00000000093</v>
      </c>
      <c r="H10" s="15">
        <f t="shared" si="2"/>
        <v>-549037.50000000093</v>
      </c>
      <c r="I10" s="15">
        <f t="shared" si="2"/>
        <v>-603941.25000000186</v>
      </c>
      <c r="J10" s="15">
        <f t="shared" si="2"/>
        <v>-664335.375</v>
      </c>
      <c r="K10" s="15">
        <f t="shared" si="2"/>
        <v>-730768.91250000056</v>
      </c>
      <c r="L10" s="15">
        <f>-L8+L9</f>
        <v>8038458.0375000052</v>
      </c>
    </row>
  </sheetData>
  <mergeCells count="1">
    <mergeCell ref="B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2443-453E-F947-A832-F621B13708AC}">
  <dimension ref="A1:N8"/>
  <sheetViews>
    <sheetView workbookViewId="0">
      <selection activeCell="B14" sqref="B14"/>
    </sheetView>
  </sheetViews>
  <sheetFormatPr baseColWidth="10" defaultRowHeight="16" x14ac:dyDescent="0.2"/>
  <cols>
    <col min="1" max="1" width="29.1640625" customWidth="1"/>
    <col min="2" max="4" width="14.83203125" customWidth="1"/>
    <col min="5" max="7" width="11.1640625" bestFit="1" customWidth="1"/>
    <col min="8" max="10" width="11" bestFit="1" customWidth="1"/>
    <col min="12" max="12" width="14" bestFit="1" customWidth="1"/>
  </cols>
  <sheetData>
    <row r="1" spans="1:14" x14ac:dyDescent="0.2">
      <c r="A1" s="6" t="s">
        <v>36</v>
      </c>
    </row>
    <row r="2" spans="1:14" x14ac:dyDescent="0.2">
      <c r="A2" s="6"/>
    </row>
    <row r="4" spans="1:14" x14ac:dyDescent="0.2">
      <c r="B4" s="49" t="s">
        <v>0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13"/>
    </row>
    <row r="5" spans="1:14" x14ac:dyDescent="0.2">
      <c r="B5" s="10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N5" s="13"/>
    </row>
    <row r="6" spans="1:14" x14ac:dyDescent="0.2">
      <c r="A6" t="s">
        <v>1</v>
      </c>
      <c r="B6" s="11">
        <v>-20000000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3"/>
    </row>
    <row r="7" spans="1:14" x14ac:dyDescent="0.2">
      <c r="A7" t="s">
        <v>44</v>
      </c>
      <c r="L7" s="41">
        <f>2000000*(1-0.21)</f>
        <v>1580000</v>
      </c>
    </row>
    <row r="8" spans="1:14" x14ac:dyDescent="0.2">
      <c r="A8" s="16" t="s">
        <v>47</v>
      </c>
      <c r="B8" s="15">
        <f>B6+B7</f>
        <v>-20000000</v>
      </c>
      <c r="C8" s="15">
        <f t="shared" ref="C8:L8" si="0">C6+C7</f>
        <v>0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5">
        <f t="shared" si="0"/>
        <v>0</v>
      </c>
      <c r="L8" s="15">
        <f t="shared" si="0"/>
        <v>1580000</v>
      </c>
    </row>
  </sheetData>
  <mergeCells count="1">
    <mergeCell ref="B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7D8D-2EFF-C54C-9E36-96F048BDF4BB}">
  <dimension ref="A1:L18"/>
  <sheetViews>
    <sheetView tabSelected="1" workbookViewId="0">
      <selection activeCell="E15" sqref="E15"/>
    </sheetView>
  </sheetViews>
  <sheetFormatPr baseColWidth="10" defaultRowHeight="20" customHeight="1" x14ac:dyDescent="0.2"/>
  <cols>
    <col min="1" max="1" width="32.33203125" style="23" customWidth="1"/>
    <col min="2" max="12" width="14.83203125" style="23" customWidth="1"/>
    <col min="13" max="16384" width="10.83203125" style="23"/>
  </cols>
  <sheetData>
    <row r="1" spans="1:12" ht="20" customHeight="1" x14ac:dyDescent="0.2">
      <c r="A1" s="32" t="s">
        <v>37</v>
      </c>
    </row>
    <row r="2" spans="1:12" ht="20" customHeight="1" x14ac:dyDescent="0.2">
      <c r="A2" s="32"/>
    </row>
    <row r="3" spans="1:12" ht="20" customHeight="1" x14ac:dyDescent="0.2">
      <c r="A3" s="32" t="s">
        <v>4</v>
      </c>
      <c r="B3" s="36">
        <v>0.18</v>
      </c>
    </row>
    <row r="5" spans="1:12" ht="20" customHeight="1" x14ac:dyDescent="0.2">
      <c r="B5" s="51" t="s">
        <v>0</v>
      </c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2" ht="20" customHeight="1" x14ac:dyDescent="0.2">
      <c r="B6" s="24">
        <v>0</v>
      </c>
      <c r="C6" s="24">
        <v>1</v>
      </c>
      <c r="D6" s="24">
        <v>2</v>
      </c>
      <c r="E6" s="24">
        <v>3</v>
      </c>
      <c r="F6" s="24">
        <v>4</v>
      </c>
      <c r="G6" s="24">
        <v>5</v>
      </c>
      <c r="H6" s="24">
        <v>6</v>
      </c>
      <c r="I6" s="24">
        <v>7</v>
      </c>
      <c r="J6" s="24">
        <v>8</v>
      </c>
      <c r="K6" s="24">
        <v>9</v>
      </c>
      <c r="L6" s="24">
        <v>10</v>
      </c>
    </row>
    <row r="7" spans="1:12" ht="20" customHeight="1" x14ac:dyDescent="0.2">
      <c r="A7" s="25" t="s">
        <v>28</v>
      </c>
      <c r="B7" s="26">
        <f>+'3.  CF-Operations'!B8</f>
        <v>0</v>
      </c>
      <c r="C7" s="26">
        <f>+'3.  CF-Operations'!C8</f>
        <v>6327680</v>
      </c>
      <c r="D7" s="26">
        <f>+'3.  CF-Operations'!D8</f>
        <v>7806780</v>
      </c>
      <c r="E7" s="26">
        <f>+'3.  CF-Operations'!E8</f>
        <v>8807384.6000000034</v>
      </c>
      <c r="F7" s="26">
        <f>+'3.  CF-Operations'!F8</f>
        <v>10308020.358800005</v>
      </c>
      <c r="G7" s="26">
        <f>+'3.  CF-Operations'!G8</f>
        <v>11629330.206786409</v>
      </c>
      <c r="H7" s="26">
        <f>+'3.  CF-Operations'!H8</f>
        <v>13272296.732915755</v>
      </c>
      <c r="I7" s="26">
        <f>+'3.  CF-Operations'!I8</f>
        <v>15502902.553083185</v>
      </c>
      <c r="J7" s="26">
        <f>+'3.  CF-Operations'!J8</f>
        <v>17363469.526723672</v>
      </c>
      <c r="K7" s="26">
        <f>+'3.  CF-Operations'!K8</f>
        <v>19461198.76975812</v>
      </c>
      <c r="L7" s="26">
        <f>+'3.  CF-Operations'!L8</f>
        <v>22009153.611744262</v>
      </c>
    </row>
    <row r="8" spans="1:12" ht="20" customHeight="1" x14ac:dyDescent="0.2">
      <c r="A8" s="25" t="s">
        <v>29</v>
      </c>
      <c r="B8" s="26">
        <f>+'4. CF-NWC'!B10</f>
        <v>-2500000</v>
      </c>
      <c r="C8" s="26">
        <f>+'4. CF-NWC'!C10</f>
        <v>-1250000</v>
      </c>
      <c r="D8" s="26">
        <f>+'4. CF-NWC'!D10</f>
        <v>-375000</v>
      </c>
      <c r="E8" s="26">
        <f>+'4. CF-NWC'!E10</f>
        <v>-412500</v>
      </c>
      <c r="F8" s="26">
        <f>+'4. CF-NWC'!F10</f>
        <v>-453750.00000000093</v>
      </c>
      <c r="G8" s="26">
        <f>+'4. CF-NWC'!G10</f>
        <v>-499125.00000000093</v>
      </c>
      <c r="H8" s="26">
        <f>+'4. CF-NWC'!H10</f>
        <v>-549037.50000000093</v>
      </c>
      <c r="I8" s="26">
        <f>+'4. CF-NWC'!I10</f>
        <v>-603941.25000000186</v>
      </c>
      <c r="J8" s="26">
        <f>+'4. CF-NWC'!J10</f>
        <v>-664335.375</v>
      </c>
      <c r="K8" s="26">
        <f>+'4. CF-NWC'!K10</f>
        <v>-730768.91250000056</v>
      </c>
      <c r="L8" s="26">
        <f>+'4. CF-NWC'!L10</f>
        <v>8038458.0375000052</v>
      </c>
    </row>
    <row r="9" spans="1:12" ht="20" customHeight="1" x14ac:dyDescent="0.2">
      <c r="A9" s="25" t="s">
        <v>30</v>
      </c>
      <c r="B9" s="26">
        <f>+'5. CF-Capital Spending'!B8</f>
        <v>-20000000</v>
      </c>
      <c r="C9" s="26">
        <f>+'5. CF-Capital Spending'!C8</f>
        <v>0</v>
      </c>
      <c r="D9" s="26">
        <f>+'5. CF-Capital Spending'!D8</f>
        <v>0</v>
      </c>
      <c r="E9" s="26">
        <f>+'5. CF-Capital Spending'!E8</f>
        <v>0</v>
      </c>
      <c r="F9" s="26">
        <f>+'5. CF-Capital Spending'!F8</f>
        <v>0</v>
      </c>
      <c r="G9" s="26">
        <f>+'5. CF-Capital Spending'!G8</f>
        <v>0</v>
      </c>
      <c r="H9" s="26">
        <f>+'5. CF-Capital Spending'!H8</f>
        <v>0</v>
      </c>
      <c r="I9" s="26">
        <f>+'5. CF-Capital Spending'!I8</f>
        <v>0</v>
      </c>
      <c r="J9" s="26">
        <f>+'5. CF-Capital Spending'!J8</f>
        <v>0</v>
      </c>
      <c r="K9" s="26">
        <f>+'5. CF-Capital Spending'!K8</f>
        <v>0</v>
      </c>
      <c r="L9" s="26">
        <f>+'5. CF-Capital Spending'!L8</f>
        <v>1580000</v>
      </c>
    </row>
    <row r="10" spans="1:12" ht="20" customHeight="1" x14ac:dyDescent="0.2">
      <c r="A10" s="24" t="s">
        <v>26</v>
      </c>
      <c r="B10" s="27">
        <f>+B7+B8+B9</f>
        <v>-22500000</v>
      </c>
      <c r="C10" s="27">
        <f t="shared" ref="C10:L10" si="0">+C7+C8+C9</f>
        <v>5077680</v>
      </c>
      <c r="D10" s="27">
        <f t="shared" si="0"/>
        <v>7431780</v>
      </c>
      <c r="E10" s="27">
        <f t="shared" si="0"/>
        <v>8394884.6000000034</v>
      </c>
      <c r="F10" s="27">
        <f t="shared" si="0"/>
        <v>9854270.3588000052</v>
      </c>
      <c r="G10" s="27">
        <f t="shared" si="0"/>
        <v>11130205.206786409</v>
      </c>
      <c r="H10" s="27">
        <f t="shared" si="0"/>
        <v>12723259.232915755</v>
      </c>
      <c r="I10" s="27">
        <f t="shared" si="0"/>
        <v>14898961.303083183</v>
      </c>
      <c r="J10" s="27">
        <f t="shared" si="0"/>
        <v>16699134.151723672</v>
      </c>
      <c r="K10" s="27">
        <f t="shared" si="0"/>
        <v>18730429.857258119</v>
      </c>
      <c r="L10" s="27">
        <f t="shared" si="0"/>
        <v>31627611.649244267</v>
      </c>
    </row>
    <row r="11" spans="1:12" ht="20" customHeight="1" x14ac:dyDescent="0.2">
      <c r="A11" s="46" t="s">
        <v>46</v>
      </c>
      <c r="B11" s="47">
        <f>+B10</f>
        <v>-22500000</v>
      </c>
      <c r="C11" s="47">
        <f>+C10+B11</f>
        <v>-17422320</v>
      </c>
      <c r="D11" s="47">
        <f t="shared" ref="D11:L11" si="1">+D10+C11</f>
        <v>-9990540</v>
      </c>
      <c r="E11" s="47">
        <f t="shared" si="1"/>
        <v>-1595655.3999999966</v>
      </c>
      <c r="F11" s="47">
        <f t="shared" si="1"/>
        <v>8258614.9588000085</v>
      </c>
      <c r="G11" s="47">
        <f t="shared" si="1"/>
        <v>19388820.165586419</v>
      </c>
      <c r="H11" s="47">
        <f t="shared" si="1"/>
        <v>32112079.398502175</v>
      </c>
      <c r="I11" s="47">
        <f t="shared" si="1"/>
        <v>47011040.70158536</v>
      </c>
      <c r="J11" s="47">
        <f t="shared" si="1"/>
        <v>63710174.853309035</v>
      </c>
      <c r="K11" s="47">
        <f t="shared" si="1"/>
        <v>82440604.710567147</v>
      </c>
      <c r="L11" s="47">
        <f t="shared" si="1"/>
        <v>114068216.35981141</v>
      </c>
    </row>
    <row r="12" spans="1:12" ht="20" customHeight="1" x14ac:dyDescent="0.2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20" customHeight="1" x14ac:dyDescent="0.2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20" customHeight="1" x14ac:dyDescent="0.2">
      <c r="A14" s="28" t="s">
        <v>39</v>
      </c>
      <c r="B14" s="29">
        <f>+NPV(B3,C10:L10)</f>
        <v>48796393.8547123</v>
      </c>
      <c r="C14"/>
    </row>
    <row r="15" spans="1:12" ht="20" customHeight="1" thickBot="1" x14ac:dyDescent="0.25">
      <c r="A15" s="44" t="s">
        <v>27</v>
      </c>
      <c r="B15" s="45">
        <f>-B10</f>
        <v>22500000</v>
      </c>
      <c r="C15"/>
    </row>
    <row r="16" spans="1:12" ht="20" customHeight="1" x14ac:dyDescent="0.2">
      <c r="A16" s="42" t="s">
        <v>2</v>
      </c>
      <c r="B16" s="43">
        <f>+B14-B15</f>
        <v>26296393.8547123</v>
      </c>
      <c r="C16"/>
    </row>
    <row r="17" spans="1:3" ht="20" customHeight="1" x14ac:dyDescent="0.2">
      <c r="A17" s="1" t="s">
        <v>3</v>
      </c>
      <c r="B17" s="30">
        <f>+IRR(B10:L10)</f>
        <v>0.38266942049176467</v>
      </c>
      <c r="C17"/>
    </row>
    <row r="18" spans="1:3" ht="20" customHeight="1" x14ac:dyDescent="0.2">
      <c r="A18" s="1" t="s">
        <v>40</v>
      </c>
      <c r="B18" s="31">
        <f>3+(1595655/9854270)</f>
        <v>3.1619252364710935</v>
      </c>
      <c r="C18" s="48"/>
    </row>
  </sheetData>
  <mergeCells count="1">
    <mergeCell ref="B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 Pro Forma Income Statement</vt:lpstr>
      <vt:lpstr>2.  Depreciation</vt:lpstr>
      <vt:lpstr>3.  CF-Operations</vt:lpstr>
      <vt:lpstr>4. CF-NWC</vt:lpstr>
      <vt:lpstr>5. CF-Capital Spending</vt:lpstr>
      <vt:lpstr>6.  Final Analysis-NPV_IRR_PBP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Readey</dc:creator>
  <cp:lastModifiedBy>Michael Readey</cp:lastModifiedBy>
  <dcterms:created xsi:type="dcterms:W3CDTF">2020-04-04T13:39:40Z</dcterms:created>
  <dcterms:modified xsi:type="dcterms:W3CDTF">2022-07-11T17:58:22Z</dcterms:modified>
</cp:coreProperties>
</file>