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ubai\Documents\Decred work\Articles\Protocol as deterrent\"/>
    </mc:Choice>
  </mc:AlternateContent>
  <xr:revisionPtr revIDLastSave="0" documentId="8_{97199551-B5ED-4E26-81A6-0A3C3C774A48}" xr6:coauthVersionLast="37" xr6:coauthVersionMax="37" xr10:uidLastSave="{00000000-0000-0000-0000-000000000000}"/>
  <bookViews>
    <workbookView xWindow="0" yWindow="0" windowWidth="17910" windowHeight="9420" xr2:uid="{AD608F9C-FF6F-4504-B9CE-DD93350DE0CB}"/>
  </bookViews>
  <sheets>
    <sheet name="Calculations" sheetId="5" r:id="rId1"/>
    <sheet name="Hashrates from API" sheetId="7" r:id="rId2"/>
    <sheet name="BTC Hashrate" sheetId="12" r:id="rId3"/>
    <sheet name="Decred Data" sheetId="11" r:id="rId4"/>
  </sheets>
  <definedNames>
    <definedName name="ExternalData_1" localSheetId="1" hidden="1">'Hashrates from API'!$A$1:$A$2</definedName>
    <definedName name="ExternalData_2" localSheetId="2" hidden="1">'BTC Hashrate'!$A$1:$A$2</definedName>
    <definedName name="ExternalData_2" localSheetId="3" hidden="1">'Decred Data'!$A$1:$B$15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7" l="1"/>
  <c r="E18" i="5"/>
  <c r="D18" i="5"/>
  <c r="H19" i="5"/>
  <c r="E21" i="5"/>
  <c r="F20" i="5"/>
  <c r="C12" i="5"/>
  <c r="C18" i="5" s="1"/>
  <c r="M19" i="5" l="1"/>
  <c r="M17" i="5"/>
  <c r="D28" i="5" s="1"/>
  <c r="A2" i="7"/>
  <c r="D18" i="7" l="1"/>
  <c r="D7" i="7"/>
  <c r="C4" i="5"/>
  <c r="C5" i="5" s="1"/>
  <c r="B4" i="5"/>
  <c r="P8" i="5"/>
  <c r="P7" i="5" s="1"/>
  <c r="P6" i="5" s="1"/>
  <c r="P5" i="5" s="1"/>
  <c r="P4" i="5" s="1"/>
  <c r="O6" i="5"/>
  <c r="O8" i="5"/>
  <c r="O7" i="5"/>
  <c r="N8" i="5"/>
  <c r="N7" i="5"/>
  <c r="N6" i="5"/>
  <c r="N5" i="5" s="1"/>
  <c r="M8" i="5"/>
  <c r="M7" i="5"/>
  <c r="M6" i="5"/>
  <c r="M5" i="5"/>
  <c r="M4" i="5" s="1"/>
  <c r="F6" i="5"/>
  <c r="E6" i="5"/>
  <c r="G6" i="5" s="1"/>
  <c r="M16" i="5"/>
  <c r="M15" i="5"/>
  <c r="D6" i="5" s="1"/>
  <c r="D5" i="5"/>
  <c r="E5" i="5"/>
  <c r="O17" i="5" s="1"/>
  <c r="F5" i="5"/>
  <c r="G5" i="5"/>
  <c r="D1" i="5"/>
  <c r="C6" i="5" l="1"/>
  <c r="C7" i="5" s="1"/>
  <c r="C14" i="5" s="1"/>
  <c r="D29" i="5"/>
  <c r="B5" i="5"/>
  <c r="B7" i="5" s="1"/>
  <c r="B18" i="5"/>
  <c r="B14" i="5"/>
  <c r="O16" i="5"/>
  <c r="O5" i="5"/>
  <c r="O4" i="5" s="1"/>
  <c r="G7" i="5"/>
  <c r="D7" i="5"/>
  <c r="B6" i="5"/>
  <c r="F7" i="5"/>
  <c r="E7" i="5"/>
  <c r="C29" i="5" l="1"/>
  <c r="C20" i="5"/>
  <c r="F15" i="5"/>
  <c r="F16" i="5" s="1"/>
  <c r="H30" i="5"/>
  <c r="F14" i="5"/>
  <c r="C30" i="5" s="1"/>
  <c r="D14" i="5"/>
  <c r="C31" i="5" s="1"/>
  <c r="D15" i="5"/>
  <c r="D16" i="5" s="1"/>
  <c r="G15" i="5"/>
  <c r="G16" i="5" s="1"/>
  <c r="C32" i="5"/>
  <c r="G14" i="5"/>
  <c r="E15" i="5"/>
  <c r="E16" i="5" s="1"/>
  <c r="E14" i="5"/>
  <c r="C28" i="5" s="1"/>
  <c r="C27" i="5"/>
  <c r="B15" i="5"/>
  <c r="B16" i="5" s="1"/>
  <c r="O15" i="5"/>
  <c r="N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52031-CC02-409B-99F8-58ED8F89818F}" keepAlive="1" name="Query - hashrate(1)" description="Connection to the 'hashrate' query in the workbook." type="5" refreshedVersion="6" background="1" saveData="1">
    <dbPr connection="Provider=Microsoft.Mashup.OleDb.1;Data Source=$Workbook$;Location=hashrate;Extended Properties=&quot;&quot;" command="SELECT * FROM [hashrate]"/>
  </connection>
  <connection id="2" xr16:uid="{2093DE47-51B1-4CE4-AFBB-6A184CC81271}" keepAlive="1" name="Query - Table 0" description="Connection to the 'Table 0' query in the workbook." type="5" refreshedVersion="0" background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<sst xmlns="http://schemas.openxmlformats.org/spreadsheetml/2006/main" count="111" uniqueCount="91">
  <si>
    <t>Apples to Apples</t>
  </si>
  <si>
    <t>Decred</t>
  </si>
  <si>
    <t>Bcash</t>
  </si>
  <si>
    <t>Etheruem</t>
  </si>
  <si>
    <t>Litecoin</t>
  </si>
  <si>
    <t>Etheruem Classic</t>
  </si>
  <si>
    <t>Token value</t>
  </si>
  <si>
    <t>Stake Participation</t>
  </si>
  <si>
    <t>Hashpower (TH/s)</t>
  </si>
  <si>
    <t>total coins</t>
  </si>
  <si>
    <t>Current circulating supply</t>
  </si>
  <si>
    <t>N/A</t>
  </si>
  <si>
    <t>ant miner (s9i 14 th/s</t>
  </si>
  <si>
    <t>D9 Miner (2.4 th/s)</t>
  </si>
  <si>
    <t>Cost per TH/s</t>
  </si>
  <si>
    <t>Per Th/s</t>
  </si>
  <si>
    <t>Watts</t>
  </si>
  <si>
    <t>Mining Algorithm</t>
  </si>
  <si>
    <t>Sha-256</t>
  </si>
  <si>
    <t>Ethhash</t>
  </si>
  <si>
    <t>SCRYPT</t>
  </si>
  <si>
    <t>L3++ 580 MH/s</t>
  </si>
  <si>
    <t>51% TH/s</t>
  </si>
  <si>
    <t>Cost for 51% TH/s</t>
  </si>
  <si>
    <t>Ticket Price</t>
  </si>
  <si>
    <t>Hash conversion</t>
  </si>
  <si>
    <t>BLAKE 256-r14</t>
  </si>
  <si>
    <t>number of units</t>
  </si>
  <si>
    <t>Ethhash miner(180mh/s)</t>
  </si>
  <si>
    <t>Majority Attack Requirements</t>
  </si>
  <si>
    <t>&gt;50% hashrate</t>
  </si>
  <si>
    <t>% Hashrate + Fraction of tickets in vote</t>
  </si>
  <si>
    <t>Calim</t>
  </si>
  <si>
    <t>Proof</t>
  </si>
  <si>
    <t>Claim 1 - An attacker with a fraction of the tickets, f_s, needs to have more than X times the hashpower of honest miners in order to gain an advantage over the network.</t>
  </si>
  <si>
    <r>
      <t>Proof  Let E_1 = {3 or more votes are under the attacker’s control} and E_2 = {3 or more votes are under honest stakeholder control}.  We condition the event on E_3 = {the 5 voters are online}, and note that Pr[E_1 | E_3] =</t>
    </r>
    <r>
      <rPr>
        <b/>
        <sz val="11"/>
        <color theme="1"/>
        <rFont val="Calibri"/>
        <family val="2"/>
        <scheme val="minor"/>
      </rPr>
      <t xml:space="preserve"> (5 C 5) * f_s ^ 5 + (5 C 4) * f_s ^ 4</t>
    </r>
    <r>
      <rPr>
        <sz val="11"/>
        <color theme="1"/>
        <rFont val="Calibri"/>
        <family val="2"/>
        <scheme val="minor"/>
      </rPr>
      <t xml:space="preserve"> * (1  f_s) + (5 C 3) * f_s ^ 3 * (1  f_s) ^ 2 = 6 f_s ^ 5  15 f_s ^ 4 + 10 f_s ^ 3 is the probability that an attacker has enough votes to mine a block, and Pr[E_2 | E_3] = 6 (1  f_s) ^ 5  15 (1  f_s) ^ 4 + 10 f_s ^ 3 is the probability that the honest nodes have enough votes to mine a block.  This means that on average the attacker will generate a block after 1 / Pr[E_1 | E_3] nonce attempts that meet the current difficulty target and have enough votes, while the honest network needs 1 / Pr[E_2 | E_3] such attempts, on average.  Therefore, if the attacker is fast enough so that she could compute Pr[E_2 | E_3] / Pr[E_1 | E_3] nonce attempts per one nonce attempt of the honest network, she can generate the blocks at the same average speed as the rest of the network.</t>
    </r>
  </si>
  <si>
    <t>Updated</t>
  </si>
  <si>
    <t xml:space="preserve">Bitcoin </t>
  </si>
  <si>
    <t>Cost Per TH/s</t>
  </si>
  <si>
    <t>Input</t>
  </si>
  <si>
    <t>H</t>
  </si>
  <si>
    <t>KH</t>
  </si>
  <si>
    <t>MH</t>
  </si>
  <si>
    <t>GH</t>
  </si>
  <si>
    <t>TH</t>
  </si>
  <si>
    <t>Hash Conversion calculator</t>
  </si>
  <si>
    <t>POW Cryptos</t>
  </si>
  <si>
    <t>Times</t>
  </si>
  <si>
    <t>Column1</t>
  </si>
  <si>
    <t>TOTAL SUPPLY</t>
  </si>
  <si>
    <t>TICKETS IN MEMPOOL</t>
  </si>
  <si>
    <t>VOTES IN MEMPOOL</t>
  </si>
  <si>
    <t>TICKET WINDOW PROGRESS</t>
  </si>
  <si>
    <t>TICKET PRICE</t>
  </si>
  <si>
    <t>TICKET ROI</t>
  </si>
  <si>
    <t>TICKET POOL SIZE</t>
  </si>
  <si>
    <t>TICKET POOL VALUE</t>
  </si>
  <si>
    <t>BLOCK REWARD ADJUSTMENT PROGRESS</t>
  </si>
  <si>
    <t>BLOCK REWARD</t>
  </si>
  <si>
    <t>20.95277469 DCR</t>
  </si>
  <si>
    <t>POW REWARD</t>
  </si>
  <si>
    <t>12.57166482 DCR</t>
  </si>
  <si>
    <t>POS REWARD</t>
  </si>
  <si>
    <t>1.25716648 DCR / ticket</t>
  </si>
  <si>
    <t>DEV REWARD</t>
  </si>
  <si>
    <t>2.09527747 DCR</t>
  </si>
  <si>
    <t>PROOF OF WORK DIFFICULTY</t>
  </si>
  <si>
    <t>DEVELOPMENT FUND</t>
  </si>
  <si>
    <t>DCR Hashrate</t>
  </si>
  <si>
    <t>7,991,460.95915917DCR</t>
  </si>
  <si>
    <t>11</t>
  </si>
  <si>
    <t>5</t>
  </si>
  <si>
    <t>block 85 of 144 (4h 55m remaining)</t>
  </si>
  <si>
    <t>95.58906594DCR</t>
  </si>
  <si>
    <t>+1.32% per ~30.22 days</t>
  </si>
  <si>
    <t>40,950 (99.98% of target 40,960)</t>
  </si>
  <si>
    <t>3,797,222.53584803 DCR_x000D_
(47.52% of total supply)</t>
  </si>
  <si>
    <t>block 5316 of 6144 (2d 21h remaining)</t>
  </si>
  <si>
    <t>521,107.46064022DCR</t>
  </si>
  <si>
    <t>Cost to Attack</t>
  </si>
  <si>
    <t>Bitcoin</t>
  </si>
  <si>
    <t>Ethereum</t>
  </si>
  <si>
    <t>Ethereum Classic</t>
  </si>
  <si>
    <t>Cryptocurrency</t>
  </si>
  <si>
    <t>Cost to do a 51% attack</t>
  </si>
  <si>
    <t>Miner</t>
  </si>
  <si>
    <t>Antminer s9i</t>
  </si>
  <si>
    <t>Ethhash miner</t>
  </si>
  <si>
    <t>L3++</t>
  </si>
  <si>
    <t>40527745184</t>
  </si>
  <si>
    <t xml:space="preserve"> Cost per TH/s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</si>
</sst>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0.00000"/>
    <numFmt numFmtId="166" formatCode="&quot;$&quot;#,#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ourier New"/>
      <family val="3"/>
    </font>
    <font>
      <sz val="9"/>
      <color rgb="FF212529"/>
      <name val="Inconsolata-v15-latin-regula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43" fontId="0" fillId="3" borderId="8" xfId="1" applyFont="1" applyFill="1" applyBorder="1" applyAlignment="1">
      <alignment horizontal="center"/>
    </xf>
    <xf numFmtId="43" fontId="0" fillId="3" borderId="4" xfId="1" applyFont="1" applyFill="1" applyBorder="1" applyAlignment="1">
      <alignment horizontal="center"/>
    </xf>
    <xf numFmtId="43" fontId="0" fillId="3" borderId="17" xfId="1" applyFont="1" applyFill="1" applyBorder="1" applyAlignment="1">
      <alignment horizontal="center"/>
    </xf>
    <xf numFmtId="43" fontId="0" fillId="3" borderId="21" xfId="1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3" fillId="0" borderId="0" xfId="0" applyFont="1"/>
    <xf numFmtId="0" fontId="0" fillId="7" borderId="24" xfId="0" applyNumberFormat="1" applyFont="1" applyFill="1" applyBorder="1"/>
    <xf numFmtId="4" fontId="4" fillId="0" borderId="0" xfId="0" applyNumberFormat="1" applyFont="1"/>
    <xf numFmtId="164" fontId="0" fillId="0" borderId="0" xfId="0" applyNumberFormat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6" fontId="6" fillId="0" borderId="8" xfId="0" applyNumberFormat="1" applyFont="1" applyBorder="1" applyAlignment="1">
      <alignment horizontal="center"/>
    </xf>
    <xf numFmtId="166" fontId="6" fillId="0" borderId="10" xfId="0" applyNumberFormat="1" applyFont="1" applyBorder="1" applyAlignment="1">
      <alignment horizontal="center"/>
    </xf>
    <xf numFmtId="166" fontId="6" fillId="0" borderId="25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1" fontId="0" fillId="0" borderId="0" xfId="0" applyNumberFormat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5F3C145-5AB2-4158-AB56-F73590E08B1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8965-C1DA-436B-B502-A6823F38772E}" name="hashrate" displayName="hashrate" ref="A1:B2" totalsRowShown="0">
  <autoFilter ref="A1:B2" xr:uid="{F268191F-F1FC-49F9-BDE3-7F0A3A10A506}"/>
  <tableColumns count="2">
    <tableColumn id="1" xr3:uid="{8A7BAD78-10F0-4189-949F-1C1E71BAC21B}" name="Column1" dataDxfId="4">
      <calculatedColumnFormula>hashrate_2[Column1]</calculatedColumnFormula>
    </tableColumn>
    <tableColumn id="2" xr3:uid="{36CFC90D-267B-4E93-8C06-60AF2171A6E4}" name="DCR Hashrate" dataDxfId="3">
      <calculatedColumnFormula>2843741417*4294967296/300000000000000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87A10D-D105-41C7-BA7F-43E5DD693C30}" name="hashrate_2" displayName="hashrate_2" ref="A1:A2" tableType="queryTable" totalsRowShown="0">
  <autoFilter ref="A1:A2" xr:uid="{D8F1EA0C-7074-4EBD-809A-F7F0B4E524ED}"/>
  <tableColumns count="1">
    <tableColumn id="1" xr3:uid="{B65AB9AF-FC3F-45D8-A7EC-2909A2CBF846}" uniqueName="1" name="Column1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CFC9C-A159-4EC2-8522-1F8B4C70F56B}" name="Table_0" displayName="Table_0" ref="A1:B15" totalsRowShown="0">
  <autoFilter ref="A1:B15" xr:uid="{598B80B9-3E87-4EE9-8866-B22D4789BD43}"/>
  <tableColumns count="2">
    <tableColumn id="1" xr3:uid="{15C24A6E-0DF7-469E-B5B9-318BC4FF87A6}" name="TOTAL SUPPLY" dataDxfId="1"/>
    <tableColumn id="2" xr3:uid="{CFF8C750-B11E-4709-9D40-1381D4527642}" name="7,991,460.95915917DC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B056-CA66-4745-9BB3-0CC40C01D13B}">
  <sheetPr codeName="Sheet1"/>
  <dimension ref="A1:Q38"/>
  <sheetViews>
    <sheetView tabSelected="1" zoomScale="85" zoomScaleNormal="85" workbookViewId="0">
      <selection activeCell="D4" sqref="D4"/>
    </sheetView>
  </sheetViews>
  <sheetFormatPr defaultRowHeight="14.25"/>
  <cols>
    <col min="1" max="1" width="26.06640625" style="13" bestFit="1" customWidth="1"/>
    <col min="2" max="2" width="23.265625" style="13" customWidth="1"/>
    <col min="3" max="3" width="27.1328125" style="13" customWidth="1"/>
    <col min="4" max="4" width="31.6640625" style="13" bestFit="1" customWidth="1"/>
    <col min="5" max="5" width="21.265625" style="13" bestFit="1" customWidth="1"/>
    <col min="6" max="6" width="20.19921875" style="13" customWidth="1"/>
    <col min="7" max="7" width="19.19921875" style="13" bestFit="1" customWidth="1"/>
    <col min="8" max="8" width="19.3984375" style="13" bestFit="1" customWidth="1"/>
    <col min="9" max="9" width="19.3984375" style="13" customWidth="1"/>
    <col min="10" max="10" width="21.6640625" style="13" bestFit="1" customWidth="1"/>
    <col min="11" max="11" width="28.9296875" style="13" customWidth="1"/>
    <col min="12" max="12" width="27.46484375" style="13" bestFit="1" customWidth="1"/>
    <col min="13" max="13" width="16.9296875" style="13" bestFit="1" customWidth="1"/>
    <col min="14" max="14" width="27.46484375" style="13" bestFit="1" customWidth="1"/>
    <col min="15" max="16" width="23.9296875" style="13" bestFit="1" customWidth="1"/>
    <col min="17" max="17" width="11.73046875" style="13" bestFit="1" customWidth="1"/>
    <col min="18" max="18" width="17.86328125" style="13" bestFit="1" customWidth="1"/>
    <col min="19" max="19" width="10.73046875" style="13" bestFit="1" customWidth="1"/>
    <col min="20" max="20" width="16.265625" style="13" bestFit="1" customWidth="1"/>
    <col min="21" max="22" width="9.06640625" style="13"/>
    <col min="23" max="23" width="10.73046875" style="13" bestFit="1" customWidth="1"/>
    <col min="24" max="16384" width="9.06640625" style="13"/>
  </cols>
  <sheetData>
    <row r="1" spans="1:17" ht="14.65" thickBot="1">
      <c r="C1" s="14" t="s">
        <v>36</v>
      </c>
      <c r="D1" s="15" t="e">
        <f ca="1">LastModified()</f>
        <v>#NAME?</v>
      </c>
    </row>
    <row r="2" spans="1:17">
      <c r="A2" s="16"/>
      <c r="B2" s="17" t="s">
        <v>37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5</v>
      </c>
      <c r="K2" s="34" t="s">
        <v>45</v>
      </c>
      <c r="L2" s="35"/>
      <c r="M2" s="35"/>
      <c r="N2" s="35"/>
      <c r="O2" s="35"/>
      <c r="P2" s="41"/>
    </row>
    <row r="3" spans="1:17">
      <c r="A3" s="20" t="s">
        <v>17</v>
      </c>
      <c r="B3" s="2" t="s">
        <v>18</v>
      </c>
      <c r="C3" s="3" t="s">
        <v>26</v>
      </c>
      <c r="D3" s="3" t="s">
        <v>18</v>
      </c>
      <c r="E3" s="3" t="s">
        <v>19</v>
      </c>
      <c r="F3" s="3" t="s">
        <v>20</v>
      </c>
      <c r="G3" s="4" t="s">
        <v>19</v>
      </c>
      <c r="K3" s="28"/>
      <c r="L3" s="22" t="s">
        <v>25</v>
      </c>
      <c r="M3" s="32"/>
      <c r="N3" s="32"/>
      <c r="O3" s="32"/>
      <c r="P3" s="33"/>
    </row>
    <row r="4" spans="1:17">
      <c r="A4" s="20" t="s">
        <v>8</v>
      </c>
      <c r="B4" s="2">
        <f>hashrate[Column1]/1000</f>
        <v>40527745.184</v>
      </c>
      <c r="C4" s="3">
        <f>hashrate[DCR Hashrate]</f>
        <v>40712.587947652326</v>
      </c>
      <c r="D4" s="3">
        <v>4540000</v>
      </c>
      <c r="E4" s="3">
        <v>288</v>
      </c>
      <c r="F4" s="3">
        <v>329</v>
      </c>
      <c r="G4" s="4">
        <v>11.7</v>
      </c>
      <c r="K4" s="28"/>
      <c r="L4" s="39" t="s">
        <v>40</v>
      </c>
      <c r="M4" s="42">
        <f>1000*$M$5</f>
        <v>1000000</v>
      </c>
      <c r="N4" s="42">
        <f>1000*$N$5</f>
        <v>1000000</v>
      </c>
      <c r="O4" s="42">
        <f>1000*$O$5</f>
        <v>250000000000000</v>
      </c>
      <c r="P4" s="43">
        <f>1000*$P$5</f>
        <v>1000000000000</v>
      </c>
    </row>
    <row r="5" spans="1:17">
      <c r="A5" s="21" t="s">
        <v>22</v>
      </c>
      <c r="B5" s="2">
        <f>B4*0.51</f>
        <v>20669150.043840002</v>
      </c>
      <c r="C5" s="3">
        <f t="shared" ref="C5:G5" si="0">C4*0.51</f>
        <v>20763.419853302687</v>
      </c>
      <c r="D5" s="3">
        <f t="shared" si="0"/>
        <v>2315400</v>
      </c>
      <c r="E5" s="3">
        <f t="shared" si="0"/>
        <v>146.88</v>
      </c>
      <c r="F5" s="3">
        <f t="shared" si="0"/>
        <v>167.79</v>
      </c>
      <c r="G5" s="4">
        <f t="shared" si="0"/>
        <v>5.9669999999999996</v>
      </c>
      <c r="K5" s="28"/>
      <c r="L5" s="39" t="s">
        <v>41</v>
      </c>
      <c r="M5" s="42">
        <f>M10/1</f>
        <v>1000</v>
      </c>
      <c r="N5" s="42">
        <f>N6*1000</f>
        <v>1000</v>
      </c>
      <c r="O5" s="42">
        <f>O6*1000</f>
        <v>250000000000</v>
      </c>
      <c r="P5" s="43">
        <f>P6*1000</f>
        <v>1000000000</v>
      </c>
    </row>
    <row r="6" spans="1:17">
      <c r="A6" s="21" t="s">
        <v>14</v>
      </c>
      <c r="B6" s="5">
        <f>M15</f>
        <v>56.714285714285715</v>
      </c>
      <c r="C6" s="6">
        <f>M16</f>
        <v>1916.6666666666667</v>
      </c>
      <c r="D6" s="6">
        <f>M15</f>
        <v>56.714285714285715</v>
      </c>
      <c r="E6" s="7">
        <f>M17</f>
        <v>10422222.222222222</v>
      </c>
      <c r="F6" s="7">
        <f>M19</f>
        <v>958620.68965517241</v>
      </c>
      <c r="G6" s="8">
        <f>E6</f>
        <v>10422222.222222222</v>
      </c>
      <c r="K6" s="28"/>
      <c r="L6" s="39" t="s">
        <v>42</v>
      </c>
      <c r="M6" s="42">
        <f>M10/1000</f>
        <v>1</v>
      </c>
      <c r="N6" s="42">
        <f>N10</f>
        <v>1</v>
      </c>
      <c r="O6" s="42">
        <f>O10*1000</f>
        <v>250000000</v>
      </c>
      <c r="P6" s="43">
        <f>P7*1000</f>
        <v>1000000</v>
      </c>
    </row>
    <row r="7" spans="1:17">
      <c r="A7" s="21" t="s">
        <v>23</v>
      </c>
      <c r="B7" s="5">
        <f>B5*B6</f>
        <v>1172236081.0577829</v>
      </c>
      <c r="C7" s="6">
        <f t="shared" ref="C7:G7" si="1">C5*C6</f>
        <v>39796554.718830153</v>
      </c>
      <c r="D7" s="6">
        <f t="shared" si="1"/>
        <v>131316257.14285715</v>
      </c>
      <c r="E7" s="6">
        <f t="shared" si="1"/>
        <v>1530816000</v>
      </c>
      <c r="F7" s="6">
        <f t="shared" si="1"/>
        <v>160846965.51724136</v>
      </c>
      <c r="G7" s="9">
        <f t="shared" si="1"/>
        <v>62189399.999999993</v>
      </c>
      <c r="K7" s="28"/>
      <c r="L7" s="39" t="s">
        <v>43</v>
      </c>
      <c r="M7" s="42">
        <f>M10/1000000</f>
        <v>1E-3</v>
      </c>
      <c r="N7" s="42">
        <f>N10/1000</f>
        <v>1E-3</v>
      </c>
      <c r="O7" s="42">
        <f>O10</f>
        <v>250000</v>
      </c>
      <c r="P7" s="43">
        <f>P8*1000</f>
        <v>1000</v>
      </c>
    </row>
    <row r="8" spans="1:17" ht="14.65" thickBot="1">
      <c r="A8" s="20" t="s">
        <v>6</v>
      </c>
      <c r="B8" s="2">
        <v>6146</v>
      </c>
      <c r="C8" s="3">
        <v>70</v>
      </c>
      <c r="D8" s="3">
        <v>851.44</v>
      </c>
      <c r="E8" s="3">
        <v>501.75</v>
      </c>
      <c r="F8" s="3">
        <v>96.48</v>
      </c>
      <c r="G8" s="4">
        <v>14.34</v>
      </c>
      <c r="K8" s="28"/>
      <c r="L8" s="40" t="s">
        <v>44</v>
      </c>
      <c r="M8" s="44">
        <f>M10/1000000000</f>
        <v>9.9999999999999995E-7</v>
      </c>
      <c r="N8" s="44">
        <f>N10/1000000</f>
        <v>9.9999999999999995E-7</v>
      </c>
      <c r="O8" s="44">
        <f>O10/1000</f>
        <v>250</v>
      </c>
      <c r="P8" s="45">
        <f>P10</f>
        <v>1</v>
      </c>
    </row>
    <row r="9" spans="1:17" ht="14.65" hidden="1" thickBot="1">
      <c r="A9" s="20" t="s">
        <v>7</v>
      </c>
      <c r="B9" s="2" t="s">
        <v>11</v>
      </c>
      <c r="C9" s="3">
        <v>47.9</v>
      </c>
      <c r="D9" s="3" t="s">
        <v>11</v>
      </c>
      <c r="E9" s="3" t="s">
        <v>11</v>
      </c>
      <c r="F9" s="3" t="s">
        <v>11</v>
      </c>
      <c r="G9" s="4" t="s">
        <v>11</v>
      </c>
      <c r="K9" s="36"/>
      <c r="L9" s="46" t="s">
        <v>39</v>
      </c>
      <c r="M9" s="48" t="s">
        <v>41</v>
      </c>
      <c r="N9" s="49" t="s">
        <v>42</v>
      </c>
      <c r="O9" s="49" t="s">
        <v>43</v>
      </c>
      <c r="P9" s="50" t="s">
        <v>44</v>
      </c>
    </row>
    <row r="10" spans="1:17" ht="14.65" thickBot="1">
      <c r="A10" s="21" t="s">
        <v>24</v>
      </c>
      <c r="B10" s="2"/>
      <c r="C10" s="3"/>
      <c r="D10" s="3"/>
      <c r="E10" s="3"/>
      <c r="F10" s="3"/>
      <c r="G10" s="4"/>
      <c r="L10" s="32"/>
      <c r="M10" s="47">
        <v>1000</v>
      </c>
      <c r="N10" s="38">
        <v>1</v>
      </c>
      <c r="O10" s="54">
        <v>250000</v>
      </c>
      <c r="P10" s="12">
        <v>1</v>
      </c>
      <c r="Q10" s="13">
        <v>30.404503251206009</v>
      </c>
    </row>
    <row r="11" spans="1:17">
      <c r="A11" s="20" t="s">
        <v>9</v>
      </c>
      <c r="B11" s="2">
        <v>21000000</v>
      </c>
      <c r="C11" s="3">
        <v>21000000</v>
      </c>
      <c r="D11" s="3">
        <v>21000000</v>
      </c>
      <c r="E11" s="3"/>
      <c r="F11" s="3">
        <v>84000000</v>
      </c>
      <c r="G11" s="4"/>
    </row>
    <row r="12" spans="1:17" ht="14.65" thickBot="1">
      <c r="A12" s="20" t="s">
        <v>10</v>
      </c>
      <c r="B12" s="2">
        <v>17098725</v>
      </c>
      <c r="C12" s="3">
        <f>3805949*2</f>
        <v>7611898</v>
      </c>
      <c r="D12" s="3">
        <v>17188725</v>
      </c>
      <c r="E12" s="3">
        <v>100134938</v>
      </c>
      <c r="F12" s="3">
        <v>57021246</v>
      </c>
      <c r="G12" s="4">
        <v>102363604</v>
      </c>
    </row>
    <row r="13" spans="1:17" ht="14.65" thickBot="1">
      <c r="A13" s="23"/>
      <c r="B13" s="2"/>
      <c r="C13" s="3"/>
      <c r="D13" s="3"/>
      <c r="E13" s="3"/>
      <c r="F13" s="3"/>
      <c r="G13" s="4"/>
      <c r="K13" s="25" t="s">
        <v>38</v>
      </c>
      <c r="L13" s="26"/>
      <c r="M13" s="26"/>
      <c r="N13" s="26"/>
      <c r="O13" s="26"/>
      <c r="P13" s="27"/>
    </row>
    <row r="14" spans="1:17">
      <c r="A14" s="23" t="s">
        <v>79</v>
      </c>
      <c r="B14" s="5">
        <f>B7</f>
        <v>1172236081.0577829</v>
      </c>
      <c r="C14" s="6">
        <f>C7+((3805949)*0.5)*C8</f>
        <v>173004769.71883017</v>
      </c>
      <c r="D14" s="5">
        <f t="shared" ref="D14:G14" si="2">D7</f>
        <v>131316257.14285715</v>
      </c>
      <c r="E14" s="5">
        <f t="shared" si="2"/>
        <v>1530816000</v>
      </c>
      <c r="F14" s="5">
        <f t="shared" si="2"/>
        <v>160846965.51724136</v>
      </c>
      <c r="G14" s="5">
        <f t="shared" si="2"/>
        <v>62189399.999999993</v>
      </c>
      <c r="K14" s="28"/>
      <c r="L14" s="22"/>
      <c r="M14" s="26" t="s">
        <v>15</v>
      </c>
      <c r="N14" s="26" t="s">
        <v>16</v>
      </c>
      <c r="O14" s="26" t="s">
        <v>27</v>
      </c>
      <c r="P14" s="27"/>
    </row>
    <row r="15" spans="1:17">
      <c r="A15" s="23" t="s">
        <v>0</v>
      </c>
      <c r="B15" s="6">
        <f>B7+((0.5*B12)*0.479)*B8</f>
        <v>26340995023.132778</v>
      </c>
      <c r="C15" s="6"/>
      <c r="D15" s="6">
        <f>D7+((0.5*D12)*0.479)*D8</f>
        <v>3636438996.4958572</v>
      </c>
      <c r="E15" s="6">
        <f>E7+((0.5*E12)*0.479)*E8</f>
        <v>13563943881.38925</v>
      </c>
      <c r="F15" s="6">
        <f>F7+((0.5*F12)*0.479)*F8</f>
        <v>1478434615.9894013</v>
      </c>
      <c r="G15" s="6">
        <f>G7+((0.5*G12)*0.479)*G8</f>
        <v>413750032.48571998</v>
      </c>
      <c r="K15" s="28" t="s">
        <v>12</v>
      </c>
      <c r="L15" s="29">
        <v>794</v>
      </c>
      <c r="M15" s="29">
        <f>L15/14</f>
        <v>56.714285714285715</v>
      </c>
      <c r="N15" s="22">
        <v>1320</v>
      </c>
      <c r="O15" s="22">
        <f>B5/14</f>
        <v>1476367.8602742858</v>
      </c>
      <c r="P15" s="30"/>
    </row>
    <row r="16" spans="1:17" ht="14.65" thickBot="1">
      <c r="A16" s="24" t="s">
        <v>47</v>
      </c>
      <c r="B16" s="10">
        <f>B15/B7</f>
        <v>22.470725350275544</v>
      </c>
      <c r="C16" s="11">
        <v>1</v>
      </c>
      <c r="D16" s="11">
        <f t="shared" ref="D16:G16" si="3">D15/D7</f>
        <v>27.692222392082233</v>
      </c>
      <c r="E16" s="11">
        <f t="shared" si="3"/>
        <v>8.8605971464821707</v>
      </c>
      <c r="F16" s="11">
        <f t="shared" si="3"/>
        <v>9.1915605074372788</v>
      </c>
      <c r="G16" s="12">
        <f t="shared" si="3"/>
        <v>6.6530635845613562</v>
      </c>
      <c r="K16" s="28" t="s">
        <v>13</v>
      </c>
      <c r="L16" s="29">
        <v>4600</v>
      </c>
      <c r="M16" s="29">
        <f>L16/2.4</f>
        <v>1916.6666666666667</v>
      </c>
      <c r="N16" s="22">
        <v>1000</v>
      </c>
      <c r="O16" s="22">
        <f>C5/2.4</f>
        <v>8651.42493887612</v>
      </c>
      <c r="P16" s="30"/>
    </row>
    <row r="17" spans="1:16">
      <c r="K17" s="28" t="s">
        <v>28</v>
      </c>
      <c r="L17" s="29">
        <v>1876</v>
      </c>
      <c r="M17" s="31">
        <f>(L17/180)*1000000</f>
        <v>10422222.222222222</v>
      </c>
      <c r="N17" s="22">
        <v>707</v>
      </c>
      <c r="O17" s="22">
        <f>E5/0.00018</f>
        <v>815999.99999999988</v>
      </c>
      <c r="P17" s="30"/>
    </row>
    <row r="18" spans="1:16">
      <c r="B18" s="13">
        <f>B4/1000</f>
        <v>40527.745183999999</v>
      </c>
      <c r="C18" s="13">
        <f>C12/2</f>
        <v>3805949</v>
      </c>
      <c r="D18" s="13">
        <f>70*(0.5*380549)</f>
        <v>13319215</v>
      </c>
      <c r="E18" s="13">
        <f>134.2+40</f>
        <v>174.2</v>
      </c>
      <c r="K18" s="28"/>
      <c r="L18" s="29"/>
      <c r="M18" s="31"/>
      <c r="N18" s="22"/>
      <c r="O18" s="22"/>
      <c r="P18" s="30"/>
    </row>
    <row r="19" spans="1:16">
      <c r="H19" s="13">
        <f>27887842130/912575119</f>
        <v>30.55950304733215</v>
      </c>
      <c r="K19" s="28" t="s">
        <v>21</v>
      </c>
      <c r="L19" s="29">
        <v>556</v>
      </c>
      <c r="M19" s="31">
        <f>(L19/580)*1000000</f>
        <v>958620.68965517241</v>
      </c>
      <c r="N19" s="22">
        <v>876</v>
      </c>
      <c r="O19" s="22"/>
      <c r="P19" s="30"/>
    </row>
    <row r="20" spans="1:16">
      <c r="C20" s="56">
        <f>C14-C7</f>
        <v>133208215.00000001</v>
      </c>
      <c r="F20" s="13">
        <f>(19255.34*1916)+(71*(0.475*3805949))</f>
        <v>165248861.46499997</v>
      </c>
    </row>
    <row r="21" spans="1:16">
      <c r="A21" s="37"/>
      <c r="B21" s="37"/>
      <c r="C21" s="37"/>
      <c r="E21" s="13">
        <f>56*2259300</f>
        <v>126520800</v>
      </c>
    </row>
    <row r="22" spans="1:16">
      <c r="A22" s="22" t="s">
        <v>29</v>
      </c>
      <c r="B22" s="22"/>
      <c r="C22" s="22" t="s">
        <v>32</v>
      </c>
      <c r="D22" s="22" t="s">
        <v>33</v>
      </c>
    </row>
    <row r="23" spans="1:16">
      <c r="A23" s="22" t="s">
        <v>46</v>
      </c>
      <c r="B23" s="22" t="s">
        <v>30</v>
      </c>
      <c r="C23" s="22"/>
      <c r="D23" s="22"/>
    </row>
    <row r="24" spans="1:16" ht="399">
      <c r="A24" s="51" t="s">
        <v>1</v>
      </c>
      <c r="B24" s="51" t="s">
        <v>31</v>
      </c>
      <c r="C24" s="52" t="s">
        <v>34</v>
      </c>
      <c r="D24" s="52" t="s">
        <v>35</v>
      </c>
    </row>
    <row r="25" spans="1:16" ht="14.65" thickBot="1"/>
    <row r="26" spans="1:16" ht="18">
      <c r="B26" s="57" t="s">
        <v>83</v>
      </c>
      <c r="C26" s="58" t="s">
        <v>84</v>
      </c>
      <c r="D26" s="59" t="s">
        <v>90</v>
      </c>
      <c r="E26" s="60" t="s">
        <v>85</v>
      </c>
    </row>
    <row r="27" spans="1:16" ht="18">
      <c r="B27" s="61" t="s">
        <v>80</v>
      </c>
      <c r="C27" s="72">
        <f>B7</f>
        <v>1172236081.0577829</v>
      </c>
      <c r="D27" s="69">
        <v>56.714285714285715</v>
      </c>
      <c r="E27" s="64" t="s">
        <v>86</v>
      </c>
    </row>
    <row r="28" spans="1:16" ht="18">
      <c r="B28" s="61" t="s">
        <v>81</v>
      </c>
      <c r="C28" s="72">
        <f>E14</f>
        <v>1530816000</v>
      </c>
      <c r="D28" s="69">
        <f>M17</f>
        <v>10422222.222222222</v>
      </c>
      <c r="E28" s="67" t="s">
        <v>87</v>
      </c>
    </row>
    <row r="29" spans="1:16" ht="18">
      <c r="B29" s="61" t="s">
        <v>1</v>
      </c>
      <c r="C29" s="72">
        <f>C14</f>
        <v>173004769.71883017</v>
      </c>
      <c r="D29" s="71">
        <f>M16</f>
        <v>1916.6666666666667</v>
      </c>
      <c r="E29" s="64" t="s">
        <v>13</v>
      </c>
    </row>
    <row r="30" spans="1:16" ht="18">
      <c r="B30" s="61" t="s">
        <v>4</v>
      </c>
      <c r="C30" s="72">
        <f>F14</f>
        <v>160846965.51724136</v>
      </c>
      <c r="D30" s="69">
        <v>958620.68965517241</v>
      </c>
      <c r="E30" s="64" t="s">
        <v>88</v>
      </c>
      <c r="G30" s="61" t="s">
        <v>4</v>
      </c>
      <c r="H30" s="62">
        <f>F7</f>
        <v>160846965.51724136</v>
      </c>
      <c r="I30" s="63">
        <v>167.79</v>
      </c>
      <c r="J30" s="64" t="s">
        <v>88</v>
      </c>
    </row>
    <row r="31" spans="1:16" ht="18">
      <c r="B31" s="61" t="s">
        <v>2</v>
      </c>
      <c r="C31" s="72">
        <f>D14</f>
        <v>131316257.14285715</v>
      </c>
      <c r="D31" s="69">
        <v>56.714285714285715</v>
      </c>
      <c r="E31" s="68" t="s">
        <v>86</v>
      </c>
    </row>
    <row r="32" spans="1:16" ht="18.399999999999999" thickBot="1">
      <c r="B32" s="65" t="s">
        <v>82</v>
      </c>
      <c r="C32" s="73">
        <f>G7</f>
        <v>62189399.999999993</v>
      </c>
      <c r="D32" s="70">
        <v>10422222.222222222</v>
      </c>
      <c r="E32" s="66" t="s">
        <v>87</v>
      </c>
    </row>
    <row r="38" spans="5:5">
      <c r="E38" s="74">
        <v>31550480.760000002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C9B-5AD4-4FE9-88E3-C7BB87ADF6EA}">
  <dimension ref="A1:D18"/>
  <sheetViews>
    <sheetView workbookViewId="0">
      <selection activeCell="A2" sqref="A2"/>
    </sheetView>
  </sheetViews>
  <sheetFormatPr defaultRowHeight="14.25"/>
  <cols>
    <col min="1" max="1" width="11.73046875" bestFit="1" customWidth="1"/>
    <col min="2" max="2" width="13.9296875" bestFit="1" customWidth="1"/>
    <col min="4" max="4" width="11.59765625" bestFit="1" customWidth="1"/>
    <col min="5" max="5" width="10.73046875" bestFit="1" customWidth="1"/>
    <col min="8" max="8" width="11.73046875" bestFit="1" customWidth="1"/>
  </cols>
  <sheetData>
    <row r="1" spans="1:4">
      <c r="A1" t="s">
        <v>48</v>
      </c>
      <c r="B1" t="s">
        <v>68</v>
      </c>
    </row>
    <row r="2" spans="1:4">
      <c r="A2" s="1" t="str">
        <f>hashrate_2[Column1]</f>
        <v>40527745184</v>
      </c>
      <c r="B2" s="1">
        <f>2843741417*4294967296/300000000000000</f>
        <v>40712.587947652326</v>
      </c>
    </row>
    <row r="7" spans="1:4">
      <c r="D7">
        <f>2^32</f>
        <v>4294967296</v>
      </c>
    </row>
    <row r="10" spans="1:4" ht="15.75">
      <c r="D10" s="53"/>
    </row>
    <row r="18" spans="4:4">
      <c r="D18" t="e">
        <f>#REF!*2^32/10000000000000000</f>
        <v>#REF!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D34D-3B2E-49FB-AC0E-C21BD7A96D1B}">
  <dimension ref="A1:A2"/>
  <sheetViews>
    <sheetView workbookViewId="0">
      <selection activeCell="C40" sqref="C40"/>
    </sheetView>
  </sheetViews>
  <sheetFormatPr defaultRowHeight="14.25"/>
  <cols>
    <col min="1" max="1" width="11.73046875" bestFit="1" customWidth="1"/>
  </cols>
  <sheetData>
    <row r="1" spans="1:1">
      <c r="A1" t="s">
        <v>48</v>
      </c>
    </row>
    <row r="2" spans="1:1">
      <c r="A2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0D8B-1B82-43A0-AFAA-509662099D26}">
  <dimension ref="A1:B15"/>
  <sheetViews>
    <sheetView workbookViewId="0">
      <selection activeCell="B15" sqref="B15"/>
    </sheetView>
  </sheetViews>
  <sheetFormatPr defaultRowHeight="14.25"/>
  <cols>
    <col min="1" max="1" width="33.86328125" bestFit="1" customWidth="1"/>
    <col min="2" max="2" width="41.265625" bestFit="1" customWidth="1"/>
  </cols>
  <sheetData>
    <row r="1" spans="1:2">
      <c r="A1" t="s">
        <v>49</v>
      </c>
      <c r="B1" t="s">
        <v>69</v>
      </c>
    </row>
    <row r="2" spans="1:2">
      <c r="A2" s="1" t="s">
        <v>50</v>
      </c>
      <c r="B2" s="1" t="s">
        <v>70</v>
      </c>
    </row>
    <row r="3" spans="1:2">
      <c r="A3" s="1" t="s">
        <v>51</v>
      </c>
      <c r="B3" s="1" t="s">
        <v>71</v>
      </c>
    </row>
    <row r="4" spans="1:2">
      <c r="A4" s="1" t="s">
        <v>52</v>
      </c>
      <c r="B4" s="1" t="s">
        <v>72</v>
      </c>
    </row>
    <row r="5" spans="1:2">
      <c r="A5" s="1" t="s">
        <v>53</v>
      </c>
      <c r="B5" s="1" t="s">
        <v>73</v>
      </c>
    </row>
    <row r="6" spans="1:2">
      <c r="A6" s="1" t="s">
        <v>54</v>
      </c>
      <c r="B6" s="1" t="s">
        <v>74</v>
      </c>
    </row>
    <row r="7" spans="1:2">
      <c r="A7" s="1" t="s">
        <v>55</v>
      </c>
      <c r="B7" s="1" t="s">
        <v>75</v>
      </c>
    </row>
    <row r="8" spans="1:2">
      <c r="A8" s="1" t="s">
        <v>56</v>
      </c>
      <c r="B8" s="1" t="s">
        <v>76</v>
      </c>
    </row>
    <row r="9" spans="1:2">
      <c r="A9" s="1" t="s">
        <v>57</v>
      </c>
      <c r="B9" s="1" t="s">
        <v>77</v>
      </c>
    </row>
    <row r="10" spans="1:2">
      <c r="A10" s="1" t="s">
        <v>58</v>
      </c>
      <c r="B10" s="1" t="s">
        <v>59</v>
      </c>
    </row>
    <row r="11" spans="1:2">
      <c r="A11" s="1" t="s">
        <v>60</v>
      </c>
      <c r="B11" s="1" t="s">
        <v>61</v>
      </c>
    </row>
    <row r="12" spans="1:2">
      <c r="A12" s="1" t="s">
        <v>62</v>
      </c>
      <c r="B12" s="1" t="s">
        <v>63</v>
      </c>
    </row>
    <row r="13" spans="1:2">
      <c r="A13" s="1" t="s">
        <v>64</v>
      </c>
      <c r="B13" s="1" t="s">
        <v>65</v>
      </c>
    </row>
    <row r="14" spans="1:2">
      <c r="A14" s="1" t="s">
        <v>66</v>
      </c>
      <c r="B14" s="55">
        <v>2982439197.9200001</v>
      </c>
    </row>
    <row r="15" spans="1:2">
      <c r="A15" s="1" t="s">
        <v>67</v>
      </c>
      <c r="B15" s="1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97D57-0B61-478F-95F4-EB2902B56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Hashrates from API</vt:lpstr>
      <vt:lpstr>BTC Hashrate</vt:lpstr>
      <vt:lpstr>Decred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Zia</dc:creator>
  <cp:lastModifiedBy>Zubair Zia</cp:lastModifiedBy>
  <dcterms:created xsi:type="dcterms:W3CDTF">2018-05-30T04:31:45Z</dcterms:created>
  <dcterms:modified xsi:type="dcterms:W3CDTF">2018-11-01T05:51:28Z</dcterms:modified>
</cp:coreProperties>
</file>