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moxl\OneDrive\Desktop\Homework\"/>
    </mc:Choice>
  </mc:AlternateContent>
  <xr:revisionPtr revIDLastSave="0" documentId="13_ncr:1_{FAC4452F-5C76-4C06-B2DD-15EBF91A8818}" xr6:coauthVersionLast="44" xr6:coauthVersionMax="44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Category pivot" sheetId="2" r:id="rId2"/>
    <sheet name="sub-category pivot" sheetId="3" r:id="rId3"/>
    <sheet name="Launch Date Outcomes" sheetId="4" r:id="rId4"/>
    <sheet name="Bonus" sheetId="5" r:id="rId5"/>
  </sheets>
  <definedNames>
    <definedName name="Goal">Sheet1!$D:$D</definedName>
    <definedName name="Percent_funded">Sheet1!$O:$O</definedName>
    <definedName name="State">Sheet1!$F:$F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3" i="5"/>
  <c r="B4" i="5"/>
  <c r="B2" i="5"/>
  <c r="G2" i="4" l="1"/>
  <c r="F2" i="4"/>
  <c r="E2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<sst xmlns="http://schemas.openxmlformats.org/spreadsheetml/2006/main" count="33059" uniqueCount="8411">
  <si>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</si>
  <si>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</si>
  <si>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</si>
  <si>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</si>
  <si>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</si>
  <si>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</si>
  <si>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</si>
  <si>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</si>
  <si>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</si>
  <si>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</si>
  <si>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</si>
  <si>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</si>
  <si>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</si>
  <si>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</si>
  <si>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</si>
  <si>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</si>
  <si>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</si>
  <si>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</si>
  <si>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</si>
  <si>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</si>
  <si>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</si>
  <si>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</si>
  <si>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</si>
  <si>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</si>
  <si>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</si>
  <si>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</si>
  <si>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</si>
  <si>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</si>
  <si>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</si>
  <si>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</si>
  <si>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</si>
  <si>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</si>
  <si>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</si>
  <si>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</si>
  <si>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</si>
  <si>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</si>
  <si>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</si>
  <si>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</si>
  <si>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</si>
  <si>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</si>
  <si>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</si>
  <si>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</si>
  <si>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</si>
  <si>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</si>
  <si>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</si>
  <si>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</si>
  <si>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</si>
  <si>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</si>
  <si>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</si>
  <si>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</si>
  <si>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</si>
  <si>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</si>
  <si>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</si>
  <si>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</si>
  <si>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</si>
  <si>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</si>
  <si>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</si>
  <si>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</si>
  <si>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</si>
  <si>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</si>
  <si>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</si>
  <si>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</si>
  <si>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</si>
  <si>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</si>
  <si>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</si>
  <si>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</si>
  <si>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</si>
  <si>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</si>
  <si>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</si>
  <si>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</si>
  <si>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</si>
  <si>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</si>
  <si>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</si>
  <si>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</si>
  <si>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</si>
  <si>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</si>
  <si>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</si>
  <si>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</si>
  <si>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</si>
  <si>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</si>
  <si>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</si>
  <si>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</si>
  <si>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</si>
  <si>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</si>
  <si>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</si>
  <si>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</si>
  <si>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</si>
  <si>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</si>
  <si>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</si>
  <si>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</si>
  <si>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</si>
  <si>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</si>
  <si>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</si>
  <si>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</si>
  <si>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</si>
  <si>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</si>
  <si>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</si>
  <si>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</si>
  <si>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</si>
  <si>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</si>
  <si>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</si>
  <si>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</si>
  <si>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</si>
  <si>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</si>
  <si>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</si>
  <si>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</si>
  <si>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</si>
  <si>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</si>
  <si>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</si>
  <si>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</si>
  <si>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</si>
  <si>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</si>
  <si>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</si>
  <si>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</si>
  <si>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</si>
  <si>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</si>
  <si>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</si>
  <si>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</si>
  <si>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</si>
  <si>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</si>
  <si>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</si>
  <si>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</si>
  <si>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</si>
  <si>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</si>
  <si>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</si>
  <si>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</si>
  <si>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</si>
  <si>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</si>
  <si>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</si>
  <si>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</si>
  <si>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</si>
  <si>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</si>
  <si>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</si>
  <si>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</si>
  <si>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</si>
  <si>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</si>
  <si>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</si>
  <si>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</si>
  <si>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</si>
  <si>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</si>
  <si>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</si>
  <si>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</si>
  <si>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</si>
  <si>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</si>
  <si>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</si>
  <si>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</si>
  <si>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</si>
  <si>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</si>
  <si>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</si>
  <si>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</si>
  <si>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</si>
  <si>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</si>
  <si>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</si>
  <si>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</si>
  <si>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</si>
  <si>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</si>
  <si>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</si>
  <si>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</si>
  <si>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</si>
  <si>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</si>
  <si>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</si>
  <si>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</si>
  <si>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</si>
  <si>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</si>
  <si>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</si>
  <si>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</si>
  <si>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</si>
  <si>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</si>
  <si>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</si>
  <si>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</si>
  <si>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</si>
  <si>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</si>
  <si>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</si>
  <si>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</si>
  <si>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</si>
  <si>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</si>
  <si>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</si>
  <si>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</si>
  <si>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</si>
  <si>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</si>
  <si>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</si>
  <si>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</si>
  <si>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</si>
  <si>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</si>
  <si>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</si>
  <si>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</si>
  <si>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</si>
  <si>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</si>
  <si>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</si>
  <si>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</si>
  <si>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</si>
  <si>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</si>
  <si>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</si>
  <si>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</si>
  <si>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</si>
  <si>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</si>
  <si>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</si>
  <si>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</si>
  <si>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</si>
  <si>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</si>
  <si>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</si>
  <si>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</si>
  <si>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</si>
  <si>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</si>
  <si>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</si>
  <si>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</si>
  <si>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</si>
  <si>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</si>
  <si>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</si>
  <si>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</si>
  <si>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</si>
  <si>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</si>
  <si>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</si>
  <si>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</si>
  <si>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</si>
  <si>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</si>
  <si>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</si>
  <si>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</si>
  <si>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</si>
  <si>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</si>
  <si>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</si>
  <si>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</si>
  <si>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</si>
  <si>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</si>
  <si>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</si>
  <si>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</si>
  <si>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</si>
  <si>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</si>
  <si>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</si>
  <si>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</si>
  <si>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</si>
  <si>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</si>
  <si>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</si>
  <si>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</si>
  <si>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</si>
  <si>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</si>
  <si>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</si>
  <si>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</si>
  <si>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</si>
  <si>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</si>
  <si>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</si>
  <si>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</si>
  <si>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</si>
  <si>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</si>
  <si>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</si>
  <si>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</si>
  <si>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</si>
  <si>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</si>
  <si>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</si>
  <si>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</si>
  <si>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</si>
  <si>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</si>
  <si>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</si>
  <si>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</si>
  <si>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</si>
  <si>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</si>
  <si>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</si>
  <si>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</si>
  <si>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</si>
  <si>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</si>
  <si>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</si>
  <si>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</si>
  <si>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</si>
  <si>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</si>
  <si>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</si>
  <si>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</si>
  <si>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</si>
  <si>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</si>
  <si>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</si>
  <si>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</si>
  <si>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</si>
  <si>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</si>
  <si>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</si>
  <si>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</si>
  <si>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</si>
  <si>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</si>
  <si>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</si>
  <si>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</si>
  <si>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</si>
  <si>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</si>
  <si>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</si>
  <si>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</si>
  <si>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</si>
  <si>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</si>
  <si>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</si>
  <si>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</si>
  <si>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</si>
  <si>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</si>
  <si>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</si>
  <si>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</si>
  <si>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</si>
  <si>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</si>
  <si>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</si>
  <si>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</si>
  <si>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</si>
  <si>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</si>
  <si>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</si>
  <si>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</si>
  <si>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</si>
  <si>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</si>
  <si>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</si>
  <si>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</si>
  <si>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</si>
  <si>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</si>
  <si>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</si>
  <si>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</si>
  <si>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</si>
  <si>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</si>
  <si>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</si>
  <si>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</si>
  <si>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</si>
  <si>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</si>
  <si>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</si>
  <si>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</si>
  <si>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</si>
  <si>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</si>
  <si>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</si>
  <si>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</si>
  <si>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</si>
  <si>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</si>
  <si>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</si>
  <si>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</si>
  <si>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</si>
  <si>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</si>
  <si>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</si>
  <si>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</si>
  <si>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</si>
  <si>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</si>
  <si>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</si>
  <si>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</si>
  <si>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</si>
  <si>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</si>
  <si>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</si>
  <si>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</si>
  <si>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</si>
  <si>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</si>
  <si>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</si>
  <si>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</si>
  <si>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</si>
  <si>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</si>
  <si>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</si>
  <si>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</si>
  <si>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</si>
  <si>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</si>
  <si>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</si>
  <si>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</si>
  <si>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</si>
  <si>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</si>
  <si>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</si>
  <si>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</si>
  <si>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</si>
  <si>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</si>
  <si>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</si>
  <si>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</si>
  <si>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</si>
  <si>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</si>
  <si>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</si>
  <si>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</si>
  <si>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</si>
  <si>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</si>
  <si>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</si>
  <si>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</si>
  <si>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</si>
  <si>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</si>
  <si>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</si>
  <si>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</si>
  <si>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</si>
  <si>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</si>
  <si>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</si>
  <si>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</si>
  <si>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</si>
  <si>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</si>
  <si>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</si>
  <si>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</si>
  <si>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</si>
  <si>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</si>
  <si>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</si>
  <si>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</si>
  <si>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</si>
  <si>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</si>
  <si>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</si>
  <si>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</si>
  <si>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</si>
  <si>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</si>
  <si>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</si>
  <si>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</si>
  <si>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</si>
  <si>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</si>
  <si>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</si>
  <si>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</si>
  <si>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</si>
  <si>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</si>
  <si>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</si>
  <si>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</si>
  <si>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</si>
  <si>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</si>
  <si>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</si>
  <si>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</si>
  <si>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</si>
  <si>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</si>
  <si>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</si>
  <si>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</si>
  <si>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</si>
  <si>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</si>
  <si>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</si>
  <si>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</si>
  <si>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</si>
  <si>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</si>
  <si>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</si>
  <si>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</si>
  <si>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</si>
  <si>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</si>
  <si>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</si>
  <si>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</si>
  <si>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</si>
  <si>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</si>
  <si>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</si>
  <si>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</si>
  <si>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</si>
  <si>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</si>
  <si>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</si>
  <si>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</si>
  <si>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</si>
  <si>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</si>
  <si>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</si>
  <si>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</si>
  <si>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</si>
  <si>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</si>
  <si>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</si>
  <si>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</si>
  <si>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</si>
  <si>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</si>
  <si>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</si>
  <si>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</si>
  <si>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</si>
  <si>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</si>
  <si>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</si>
  <si>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</si>
  <si>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</si>
  <si>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</si>
  <si>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</si>
  <si>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</si>
  <si>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</si>
  <si>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</si>
  <si>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</si>
  <si>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</si>
  <si>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</si>
  <si>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</si>
  <si>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</si>
  <si>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</si>
  <si>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</si>
  <si>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</si>
  <si>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</si>
  <si>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</si>
  <si>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</si>
  <si>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</si>
  <si>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</si>
  <si>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</si>
  <si>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</si>
  <si>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</si>
  <si>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</si>
  <si>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</si>
  <si>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</si>
  <si>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</si>
  <si>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</si>
  <si>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</si>
  <si>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</si>
  <si>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</si>
  <si>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</si>
  <si>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</si>
  <si>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</si>
  <si>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</si>
  <si>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</si>
  <si>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</si>
  <si>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</si>
  <si>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</si>
  <si>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</si>
  <si>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</si>
  <si>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</si>
  <si>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</si>
  <si>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</si>
  <si>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</si>
  <si>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</si>
  <si>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</si>
  <si>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</si>
  <si>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</si>
  <si>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</si>
  <si>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</si>
  <si>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</si>
  <si>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</si>
  <si>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</si>
  <si>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</si>
  <si>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</si>
  <si>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</si>
  <si>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</si>
  <si>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</si>
  <si>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</si>
  <si>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</si>
  <si>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</si>
  <si>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</si>
  <si>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</si>
  <si>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</si>
  <si>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</si>
  <si>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</si>
  <si>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</si>
  <si>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</si>
  <si>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</si>
  <si>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</si>
  <si>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</si>
  <si>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</si>
  <si>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</si>
  <si>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</si>
  <si>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</si>
  <si>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</si>
  <si>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</si>
  <si>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</si>
  <si>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</si>
  <si>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</si>
  <si>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</si>
  <si>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</si>
  <si>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</si>
  <si>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</si>
  <si>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</si>
  <si>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</si>
  <si>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</si>
  <si>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</si>
  <si>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</si>
  <si>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</si>
  <si>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</si>
  <si>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</si>
  <si>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</si>
  <si>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</si>
  <si>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</si>
  <si>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</si>
  <si>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</si>
  <si>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</si>
  <si>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</si>
  <si>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</si>
  <si>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</si>
  <si>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</si>
  <si>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</si>
  <si>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</si>
  <si>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</si>
  <si>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</si>
  <si>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</si>
  <si>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</si>
  <si>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</si>
  <si>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</si>
  <si>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</si>
  <si>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</si>
  <si>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</si>
  <si>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</si>
  <si>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</si>
  <si>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</si>
  <si>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</si>
  <si>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</si>
  <si>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</si>
  <si>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</si>
  <si>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</si>
  <si>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</si>
  <si>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</si>
  <si>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</si>
  <si>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</si>
  <si>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</si>
  <si>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</si>
  <si>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</si>
  <si>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</si>
  <si>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</si>
  <si>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</si>
  <si>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</si>
  <si>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</si>
  <si>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</si>
  <si>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</si>
  <si>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</si>
  <si>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</si>
  <si>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</si>
  <si>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</si>
  <si>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</si>
  <si>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</si>
  <si>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</si>
  <si>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</si>
  <si>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</si>
  <si>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</si>
  <si>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</si>
  <si>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</si>
  <si>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</si>
  <si>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</si>
  <si>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</si>
  <si>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</si>
  <si>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</si>
  <si>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</si>
  <si>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</si>
  <si>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</si>
  <si>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</si>
  <si>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</si>
  <si>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</si>
  <si>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</si>
  <si>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</si>
  <si>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</si>
  <si>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</si>
  <si>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</si>
  <si>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</si>
  <si>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</si>
  <si>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</si>
  <si>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</si>
  <si>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</si>
  <si>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</si>
  <si>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</si>
  <si>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</si>
  <si>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</si>
  <si>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</si>
  <si>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</si>
  <si>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</si>
  <si>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</si>
  <si>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</si>
  <si>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</si>
  <si>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</si>
  <si>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</si>
  <si>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</si>
  <si>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</si>
  <si>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</si>
  <si>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</si>
  <si>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</si>
  <si>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</si>
  <si>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</si>
  <si>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</si>
  <si>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</si>
  <si>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</si>
  <si>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</si>
  <si>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</si>
  <si>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</si>
  <si>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</si>
  <si>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</si>
  <si>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</si>
  <si>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</si>
  <si>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</si>
  <si>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</si>
  <si>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</si>
  <si>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</si>
  <si>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</si>
  <si>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</si>
  <si>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</si>
  <si>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</si>
  <si>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</si>
  <si>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</si>
  <si>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</si>
  <si>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</si>
  <si>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</si>
  <si>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</si>
  <si>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</si>
  <si>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</si>
  <si>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</si>
  <si>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</si>
  <si>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</si>
  <si>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</si>
  <si>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</si>
  <si>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</si>
  <si>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</si>
  <si>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</si>
  <si>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</si>
  <si>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</si>
  <si>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</si>
  <si>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</si>
  <si>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</si>
  <si>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</si>
  <si>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</si>
  <si>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</si>
  <si>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</si>
  <si>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</si>
  <si>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</si>
  <si>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</si>
  <si>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</si>
  <si>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</si>
  <si>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</si>
  <si>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</si>
  <si>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</si>
  <si>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</si>
  <si>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</si>
  <si>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</si>
  <si>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</si>
  <si>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</si>
  <si>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</si>
  <si>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</si>
  <si>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</si>
  <si>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</si>
  <si>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</si>
  <si>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</si>
  <si>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</si>
  <si>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</si>
  <si>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</si>
  <si>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</si>
  <si>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</si>
  <si>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</si>
  <si>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</si>
  <si>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</si>
  <si>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</si>
  <si>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</si>
  <si>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</si>
  <si>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</si>
  <si>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</si>
  <si>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</si>
  <si>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</si>
  <si>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</si>
  <si>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</si>
  <si>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</si>
  <si>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</si>
  <si>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</si>
  <si>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</si>
  <si>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</si>
  <si>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</si>
  <si>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</si>
  <si>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</si>
  <si>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</si>
  <si>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</si>
  <si>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</si>
  <si>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</si>
  <si>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</si>
  <si>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</si>
  <si>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</si>
  <si>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</si>
  <si>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</si>
  <si>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</si>
  <si>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</si>
  <si>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</si>
  <si>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</si>
  <si>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</si>
  <si>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</si>
  <si>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</si>
  <si>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</si>
  <si>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</si>
  <si>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</si>
  <si>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</si>
  <si>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</si>
  <si>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</si>
  <si>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</si>
  <si>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</si>
  <si>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</si>
  <si>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</si>
  <si>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</si>
  <si>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</si>
  <si>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</si>
  <si>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</si>
  <si>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</si>
  <si>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</si>
  <si>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</si>
  <si>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</si>
  <si>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</si>
  <si>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</si>
  <si>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</si>
  <si>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</si>
  <si>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</si>
  <si>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</si>
  <si>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</si>
  <si>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</si>
  <si>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</si>
  <si>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</si>
  <si>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</si>
  <si>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</si>
  <si>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</si>
  <si>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</si>
  <si>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</si>
  <si>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</si>
  <si>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</si>
  <si>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</si>
  <si>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</si>
  <si>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</si>
  <si>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</si>
  <si>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</si>
  <si>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</si>
  <si>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</si>
  <si>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</si>
  <si>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</si>
  <si>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</si>
  <si>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</si>
  <si>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</si>
  <si>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</si>
  <si>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</si>
  <si>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</si>
  <si>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</si>
  <si>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</si>
  <si>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</si>
  <si>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</si>
  <si>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</si>
  <si>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</si>
  <si>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</si>
  <si>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</si>
  <si>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</si>
  <si>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</si>
  <si>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</si>
  <si>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</si>
  <si>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</si>
  <si>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</si>
  <si>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</si>
  <si>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</si>
  <si>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</si>
  <si>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</si>
  <si>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</si>
  <si>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</si>
  <si>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</si>
  <si>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</si>
  <si>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</si>
  <si>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</si>
  <si>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</si>
  <si>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</si>
  <si>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</si>
  <si>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</si>
  <si>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</si>
  <si>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</si>
  <si>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</si>
  <si>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</si>
  <si>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</si>
  <si>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</si>
  <si>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</si>
  <si>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</si>
  <si>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</si>
  <si>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</si>
  <si>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</si>
  <si>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</si>
  <si>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</si>
  <si>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</si>
  <si>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</si>
  <si>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</si>
  <si>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</si>
  <si>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</si>
  <si>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</si>
  <si>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</si>
  <si>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</si>
  <si>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</si>
  <si>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</si>
  <si>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</si>
  <si>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</si>
  <si>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</si>
  <si>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</si>
  <si>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</si>
  <si>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</si>
  <si>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</si>
  <si>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</si>
  <si>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</si>
  <si>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</si>
  <si>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</si>
  <si>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</si>
  <si>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</si>
  <si>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</si>
  <si>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</si>
  <si>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</si>
  <si>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</si>
  <si>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</si>
  <si>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</si>
  <si>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</si>
  <si>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</si>
  <si>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</si>
  <si>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</si>
  <si>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</si>
  <si>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</si>
  <si>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</si>
  <si>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</si>
  <si>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</si>
  <si>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</si>
  <si>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</si>
  <si>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</si>
  <si>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</si>
  <si>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</si>
  <si>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</si>
  <si>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</si>
  <si>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</si>
  <si>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</si>
  <si>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</si>
  <si>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</si>
  <si>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</si>
  <si>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</si>
  <si>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</si>
  <si>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</si>
  <si>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</si>
  <si>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</si>
  <si>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</si>
  <si>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</si>
  <si>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</si>
  <si>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</si>
  <si>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</si>
  <si>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</si>
  <si>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</si>
  <si>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</si>
  <si>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</si>
  <si>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</si>
  <si>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</si>
  <si>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</si>
  <si>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</si>
  <si>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</si>
  <si>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</si>
  <si>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</si>
  <si>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</si>
  <si>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</si>
  <si>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</si>
  <si>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</si>
  <si>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</si>
  <si>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</si>
  <si>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</si>
  <si>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</si>
  <si>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</si>
  <si>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</si>
  <si>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</si>
  <si>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</si>
  <si>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</si>
  <si>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</si>
  <si>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</si>
  <si>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</si>
  <si>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</si>
  <si>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</si>
  <si>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</si>
  <si>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</si>
  <si>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</si>
  <si>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</si>
  <si>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</si>
  <si>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</si>
  <si>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</si>
  <si>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</si>
  <si>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</si>
  <si>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</si>
  <si>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</si>
  <si>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</si>
  <si>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</si>
  <si>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</si>
  <si>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</si>
  <si>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</si>
  <si>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</si>
  <si>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</si>
  <si>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</si>
  <si>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</si>
  <si>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</si>
  <si>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</si>
  <si>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</si>
  <si>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</si>
  <si>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</si>
  <si>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</si>
  <si>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</si>
  <si>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</si>
  <si>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</si>
  <si>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</si>
  <si>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</si>
  <si>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</si>
  <si>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</si>
  <si>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</si>
  <si>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</si>
  <si>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</si>
  <si>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</si>
  <si>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</si>
  <si>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</si>
  <si>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</si>
  <si>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</si>
  <si>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</si>
  <si>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</si>
  <si>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</si>
  <si>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</si>
  <si>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</si>
  <si>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</si>
  <si>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</si>
  <si>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</si>
  <si>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</si>
  <si>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</si>
  <si>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</si>
  <si>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</si>
  <si>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</si>
  <si>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</si>
  <si>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</si>
  <si>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</si>
  <si>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</si>
  <si>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</si>
  <si>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</si>
  <si>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</si>
  <si>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</si>
  <si>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</si>
  <si>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</si>
  <si>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</si>
  <si>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</si>
  <si>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</si>
  <si>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</si>
  <si>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</si>
  <si>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</si>
  <si>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</si>
  <si>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</si>
  <si>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</si>
  <si>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</si>
  <si>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</si>
  <si>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</si>
  <si>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</si>
  <si>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</si>
  <si>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</si>
  <si>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</si>
  <si>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</si>
  <si>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</si>
  <si>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</si>
  <si>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</si>
  <si>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</si>
  <si>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</si>
  <si>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</si>
  <si>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</si>
  <si>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</si>
  <si>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</si>
  <si>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</si>
  <si>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</si>
  <si>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</si>
  <si>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</si>
  <si>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</si>
  <si>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</si>
  <si>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</si>
  <si>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</si>
  <si>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</si>
  <si>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</si>
  <si>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</si>
  <si>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</si>
  <si>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</si>
  <si>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</si>
  <si>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</si>
  <si>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</si>
  <si>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</si>
  <si>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</si>
  <si>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</si>
  <si>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</si>
  <si>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</si>
  <si>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</si>
  <si>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</si>
  <si>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</si>
  <si>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</si>
  <si>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</si>
  <si>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</si>
  <si>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</si>
  <si>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</si>
  <si>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</si>
  <si>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</si>
  <si>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</si>
  <si>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</si>
  <si>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</si>
  <si>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</si>
  <si>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</si>
  <si>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</si>
  <si>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</si>
  <si>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</si>
  <si>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</si>
  <si>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</si>
  <si>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</si>
  <si>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</si>
  <si>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</si>
  <si>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</si>
  <si>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</si>
  <si>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</si>
  <si>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</si>
  <si>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</si>
  <si>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</si>
  <si>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</si>
  <si>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</si>
  <si>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</si>
  <si>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</si>
  <si>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</si>
  <si>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</si>
  <si>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</si>
  <si>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</si>
  <si>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</si>
  <si>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</si>
  <si>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</si>
  <si>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</si>
  <si>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</si>
  <si>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</si>
  <si>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</si>
  <si>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</si>
  <si>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</si>
  <si>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</si>
  <si>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</si>
  <si>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</si>
  <si>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</si>
  <si>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</si>
  <si>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</si>
  <si>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</si>
  <si>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</si>
  <si>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</si>
  <si>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</si>
  <si>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</si>
  <si>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</si>
  <si>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</si>
  <si>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</si>
  <si>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</si>
  <si>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</si>
  <si>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</si>
  <si>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</si>
  <si>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</si>
  <si>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</si>
  <si>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</si>
  <si>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</si>
  <si>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</si>
  <si>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</si>
  <si>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</si>
  <si>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</si>
  <si>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</si>
  <si>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</si>
  <si>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</si>
  <si>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</si>
  <si>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</si>
  <si>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</si>
  <si>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</si>
  <si>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</si>
  <si>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</si>
  <si>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</si>
  <si>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</si>
  <si>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</si>
  <si>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</si>
  <si>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</si>
  <si>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</si>
  <si>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</si>
  <si>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</si>
  <si>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</si>
  <si>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</si>
  <si>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</si>
  <si>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</si>
  <si>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</si>
  <si>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</si>
  <si>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</si>
  <si>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</si>
  <si>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</si>
  <si>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</si>
  <si>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</si>
  <si>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</si>
  <si>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</si>
  <si>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</si>
  <si>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</si>
  <si>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</si>
  <si>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</si>
  <si>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</si>
  <si>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</si>
  <si>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</si>
  <si>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</si>
  <si>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</si>
  <si>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</si>
  <si>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</si>
  <si>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</si>
  <si>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</si>
  <si>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</si>
  <si>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</si>
  <si>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</si>
  <si>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</si>
  <si>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</si>
  <si>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</si>
  <si>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</si>
  <si>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</si>
  <si>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</si>
  <si>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</si>
  <si>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</si>
  <si>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</si>
  <si>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</si>
  <si>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</si>
  <si>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</si>
  <si>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</si>
  <si>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</si>
  <si>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</si>
  <si>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</si>
  <si>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</si>
  <si>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</si>
  <si>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</si>
  <si>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</si>
  <si>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</si>
  <si>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</si>
  <si>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</si>
  <si>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</si>
  <si>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</si>
  <si>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</si>
  <si>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</si>
  <si>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</si>
  <si>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</si>
  <si>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</si>
  <si>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</si>
  <si>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</si>
  <si>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</si>
  <si>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</si>
  <si>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</si>
  <si>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</si>
  <si>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</si>
  <si>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</si>
  <si>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</si>
  <si>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</si>
  <si>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</si>
  <si>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</si>
  <si>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</si>
  <si>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</si>
  <si>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</si>
  <si>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</si>
  <si>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</si>
  <si>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</si>
  <si>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</si>
  <si>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</si>
  <si>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</si>
  <si>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</si>
  <si>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</si>
  <si>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</si>
  <si>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</si>
  <si>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</si>
  <si>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</si>
  <si>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</si>
  <si>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</si>
  <si>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</si>
  <si>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</si>
  <si>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</si>
  <si>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</si>
  <si>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</si>
  <si>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</si>
  <si>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</si>
  <si>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</si>
  <si>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</si>
  <si>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</si>
  <si>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</si>
  <si>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</si>
  <si>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</si>
  <si>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</si>
  <si>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</si>
  <si>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</si>
  <si>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</si>
  <si>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</si>
  <si>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</si>
  <si>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</si>
  <si>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</si>
  <si>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</si>
  <si>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</si>
  <si>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</si>
  <si>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</si>
  <si>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</si>
  <si>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</si>
  <si>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</si>
  <si>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</si>
  <si>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</si>
  <si>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</si>
  <si>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</si>
  <si>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</si>
  <si>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</si>
  <si>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</si>
  <si>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</si>
  <si>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</si>
  <si>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</si>
  <si>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</si>
  <si>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</si>
  <si>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</si>
  <si>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</si>
  <si>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</si>
  <si>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</si>
  <si>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</si>
  <si>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</si>
  <si>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</si>
  <si>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</si>
  <si>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</si>
  <si>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</si>
  <si>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</si>
  <si>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</si>
  <si>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</si>
  <si>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</si>
  <si>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</si>
  <si>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</si>
  <si>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</si>
  <si>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</si>
  <si>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</si>
  <si>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</si>
  <si>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</si>
  <si>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</si>
  <si>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</si>
  <si>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</si>
  <si>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</si>
  <si>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</si>
  <si>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</si>
  <si>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</si>
  <si>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</si>
  <si>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</si>
  <si>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</si>
  <si>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</si>
  <si>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</si>
  <si>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</si>
  <si>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</si>
  <si>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</si>
  <si>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</si>
  <si>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</si>
  <si>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</si>
  <si>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</si>
  <si>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</si>
  <si>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</si>
  <si>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</si>
  <si>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</si>
  <si>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</si>
  <si>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</si>
  <si>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</si>
  <si>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</si>
  <si>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</si>
  <si>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</si>
  <si>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</si>
  <si>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</si>
  <si>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</si>
  <si>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</si>
  <si>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</si>
  <si>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</si>
  <si>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</si>
  <si>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</si>
  <si>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</si>
  <si>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</si>
  <si>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</si>
  <si>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</si>
  <si>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</si>
  <si>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</si>
  <si>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</si>
  <si>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</si>
  <si>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</si>
  <si>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</si>
  <si>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</si>
  <si>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</si>
  <si>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</si>
  <si>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</si>
  <si>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</si>
  <si>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</si>
  <si>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</si>
  <si>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</si>
  <si>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</si>
  <si>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</si>
  <si>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</si>
  <si>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</si>
  <si>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</si>
  <si>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</si>
  <si>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</si>
  <si>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</si>
  <si>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</si>
  <si>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</si>
  <si>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</si>
  <si>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</si>
  <si>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</si>
  <si>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</si>
  <si>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</si>
  <si>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</si>
  <si>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</si>
  <si>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</si>
  <si>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</si>
  <si>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</si>
  <si>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</si>
  <si>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</si>
  <si>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</si>
  <si>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</si>
  <si>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</si>
  <si>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</si>
  <si>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</si>
  <si>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</si>
  <si>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</si>
  <si>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</si>
  <si>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</si>
  <si>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</si>
  <si>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</si>
  <si>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</si>
  <si>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</si>
  <si>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</si>
  <si>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</si>
  <si>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</si>
  <si>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</si>
  <si>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</si>
  <si>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</si>
  <si>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</si>
  <si>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</si>
  <si>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</si>
  <si>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</si>
  <si>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</si>
  <si>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</si>
  <si>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</si>
  <si>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</si>
  <si>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</si>
  <si>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</si>
  <si>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</si>
  <si>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</si>
  <si>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</si>
  <si>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</si>
  <si>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</si>
  <si>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</si>
  <si>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</si>
  <si>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</si>
  <si>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</si>
  <si>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</si>
  <si>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</si>
  <si>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</si>
  <si>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</si>
  <si>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</si>
  <si>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</si>
  <si>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</si>
  <si>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</si>
  <si>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</si>
  <si>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</si>
  <si>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</si>
  <si>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</si>
  <si>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</si>
  <si>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</si>
  <si>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</si>
  <si>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</si>
  <si>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</si>
  <si>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</si>
  <si>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</si>
  <si>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</si>
  <si>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</si>
  <si>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</si>
  <si>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</si>
  <si>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</si>
  <si>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</si>
  <si>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</si>
  <si>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</si>
  <si>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</si>
  <si>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</si>
  <si>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</si>
  <si>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</si>
  <si>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</si>
  <si>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</si>
  <si>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</si>
  <si>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</si>
  <si>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</si>
  <si>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</si>
  <si>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</si>
  <si>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</si>
  <si>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</si>
  <si>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</si>
  <si>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</si>
  <si>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</si>
  <si>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</si>
  <si>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</si>
  <si>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</si>
  <si>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</si>
  <si>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</si>
  <si>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</si>
  <si>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</si>
  <si>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</si>
  <si>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</si>
  <si>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</si>
  <si>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</si>
  <si>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</si>
  <si>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</si>
  <si>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</si>
  <si>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</si>
  <si>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</si>
  <si>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</si>
  <si>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</si>
  <si>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</si>
  <si>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</si>
  <si>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</si>
  <si>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</si>
  <si>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</si>
  <si>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</si>
  <si>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</si>
  <si>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</si>
  <si>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</si>
  <si>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</si>
  <si>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</si>
  <si>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</si>
  <si>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</si>
  <si>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</si>
  <si>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</si>
  <si>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</si>
  <si>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</si>
  <si>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</si>
  <si>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</si>
  <si>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</si>
  <si>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</si>
  <si>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</si>
  <si>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</si>
  <si>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</si>
  <si>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</si>
  <si>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</si>
  <si>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</si>
  <si>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</si>
  <si>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</si>
  <si>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</si>
  <si>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</si>
  <si>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</si>
  <si>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</si>
  <si>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</si>
  <si>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</si>
  <si>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</si>
  <si>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</si>
  <si>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</si>
  <si>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</si>
  <si>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</si>
  <si>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</si>
  <si>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</si>
  <si>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</si>
  <si>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</si>
  <si>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</si>
  <si>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</si>
  <si>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</si>
  <si>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</si>
  <si>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</si>
  <si>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</si>
  <si>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</si>
  <si>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</si>
  <si>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</si>
  <si>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</si>
  <si>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</si>
  <si>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</si>
  <si>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</si>
  <si>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</si>
  <si>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</si>
  <si>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</si>
  <si>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</si>
  <si>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</si>
  <si>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</si>
  <si>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</si>
  <si>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</si>
  <si>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</si>
  <si>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</si>
  <si>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</si>
  <si>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</si>
  <si>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</si>
  <si>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</si>
  <si>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</si>
  <si>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</si>
  <si>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</si>
  <si>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</si>
  <si>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</si>
  <si>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</si>
  <si>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</si>
  <si>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</si>
  <si>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</si>
  <si>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</si>
  <si>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</si>
  <si>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</si>
  <si>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</si>
  <si>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</si>
  <si>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</si>
  <si>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</si>
  <si>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</si>
  <si>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</si>
  <si>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</si>
  <si>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</si>
  <si>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</si>
  <si>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</si>
  <si>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</si>
  <si>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</si>
  <si>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</si>
  <si>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</si>
  <si>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</si>
  <si>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</si>
  <si>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</si>
  <si>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</si>
  <si>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</si>
  <si>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</si>
  <si>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</si>
  <si>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</si>
  <si>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</si>
  <si>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</si>
  <si>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</si>
  <si>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</si>
  <si>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</si>
  <si>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</si>
  <si>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</si>
  <si>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</si>
  <si>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</si>
  <si>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</si>
  <si>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</si>
  <si>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</si>
  <si>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</si>
  <si>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</si>
  <si>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</si>
  <si>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</si>
  <si>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</si>
  <si>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</si>
  <si>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</si>
  <si>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</si>
  <si>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</si>
  <si>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</si>
  <si>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</si>
  <si>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</si>
  <si>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</si>
  <si>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</si>
  <si>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</si>
  <si>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</si>
  <si>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</si>
  <si>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</si>
  <si>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</si>
  <si>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</si>
  <si>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</si>
  <si>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</si>
  <si>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</si>
  <si>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</si>
  <si>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</si>
  <si>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</si>
  <si>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</si>
  <si>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</si>
  <si>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</si>
  <si>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</si>
  <si>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</si>
  <si>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</si>
  <si>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</si>
  <si>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</si>
  <si>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</si>
  <si>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</si>
  <si>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</si>
  <si>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</si>
  <si>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</si>
  <si>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</si>
  <si>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</si>
  <si>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</si>
  <si>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</si>
  <si>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</si>
  <si>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</si>
  <si>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</si>
  <si>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</si>
  <si>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</si>
  <si>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</si>
  <si>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</si>
  <si>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</si>
  <si>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</si>
  <si>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</si>
  <si>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</si>
  <si>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</si>
  <si>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</si>
  <si>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</si>
  <si>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</si>
  <si>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</si>
  <si>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</si>
  <si>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</si>
  <si>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</si>
  <si>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</si>
  <si>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</si>
  <si>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</si>
  <si>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</si>
  <si>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</si>
  <si>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</si>
  <si>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</si>
  <si>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</si>
  <si>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</si>
  <si>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</si>
  <si>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</si>
  <si>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</si>
  <si>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</si>
  <si>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</si>
  <si>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</si>
  <si>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</si>
  <si>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</si>
  <si>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</si>
  <si>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</si>
  <si>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</si>
  <si>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</si>
  <si>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</si>
  <si>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</si>
  <si>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</si>
  <si>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</si>
  <si>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</si>
  <si>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</si>
  <si>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</si>
  <si>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</si>
  <si>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</si>
  <si>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</si>
  <si>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</si>
  <si>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</si>
  <si>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</si>
  <si>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</si>
  <si>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</si>
  <si>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</si>
  <si>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</si>
  <si>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</si>
  <si>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</si>
  <si>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</si>
  <si>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</si>
  <si>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</si>
  <si>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</si>
  <si>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</si>
  <si>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</si>
  <si>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</si>
  <si>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</si>
  <si>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</si>
  <si>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</si>
  <si>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</si>
  <si>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</si>
  <si>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</si>
  <si>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</si>
  <si>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</si>
  <si>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</si>
  <si>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</si>
  <si>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</si>
  <si>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</si>
  <si>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</si>
  <si>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</si>
  <si>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</si>
  <si>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</si>
  <si>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</si>
  <si>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</si>
  <si>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</si>
  <si>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</si>
  <si>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</si>
  <si>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</si>
  <si>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</si>
  <si>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</si>
  <si>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</si>
  <si>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</si>
  <si>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</si>
  <si>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</si>
  <si>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</si>
  <si>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</si>
  <si>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</si>
  <si>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</si>
  <si>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</si>
  <si>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</si>
  <si>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</si>
  <si>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</si>
  <si>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</si>
  <si>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</si>
  <si>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</si>
  <si>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</si>
  <si>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</si>
  <si>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</si>
  <si>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</si>
  <si>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</si>
  <si>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</si>
  <si>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</si>
  <si>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</si>
  <si>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</si>
  <si>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</si>
  <si>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</si>
  <si>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</si>
  <si>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</si>
  <si>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</si>
  <si>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</si>
  <si>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</si>
  <si>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</si>
  <si>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</si>
  <si>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</si>
  <si>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</si>
  <si>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</si>
  <si>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</si>
  <si>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</si>
  <si>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</si>
  <si>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</si>
  <si>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</si>
  <si>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</si>
  <si>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</si>
  <si>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</si>
  <si>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</si>
  <si>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</si>
  <si>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</si>
  <si>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</si>
  <si>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</si>
  <si>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</si>
  <si>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</si>
  <si>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</si>
  <si>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</si>
  <si>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</si>
  <si>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</si>
  <si>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</si>
  <si>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</si>
  <si>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</si>
  <si>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</si>
  <si>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</si>
  <si>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</si>
  <si>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</si>
  <si>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</si>
  <si>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</si>
  <si>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</si>
  <si>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</si>
  <si>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</si>
  <si>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</si>
  <si>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</si>
  <si>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</si>
  <si>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</si>
  <si>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</si>
  <si>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</si>
  <si>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</si>
  <si>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</si>
  <si>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</si>
  <si>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</si>
  <si>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</si>
  <si>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</si>
  <si>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</si>
  <si>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</si>
  <si>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</si>
  <si>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</si>
  <si>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</si>
  <si>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</si>
  <si>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</si>
  <si>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</si>
  <si>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</si>
  <si>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</si>
  <si>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</si>
  <si>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</si>
  <si>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</si>
  <si>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</si>
  <si>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</si>
  <si>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</si>
  <si>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</si>
  <si>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</si>
  <si>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</si>
  <si>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</si>
  <si>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</si>
  <si>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</si>
  <si>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</si>
  <si>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</si>
  <si>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</si>
  <si>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</si>
  <si>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</si>
  <si>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</si>
  <si>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</si>
  <si>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</si>
  <si>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</si>
  <si>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</si>
  <si>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</si>
  <si>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</si>
  <si>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</si>
  <si>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</si>
  <si>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</si>
  <si>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</si>
  <si>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</si>
  <si>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</si>
  <si>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</si>
  <si>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</si>
  <si>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</si>
  <si>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</si>
  <si>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</si>
  <si>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</si>
  <si>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</si>
  <si>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</si>
  <si>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</si>
  <si>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</si>
  <si>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</si>
  <si>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</si>
  <si>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</si>
  <si>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</si>
  <si>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</si>
  <si>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</si>
  <si>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</si>
  <si>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</si>
  <si>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</si>
  <si>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</si>
  <si>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</si>
  <si>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</si>
  <si>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</si>
  <si>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</si>
  <si>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</si>
  <si>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</si>
  <si>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</si>
  <si>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</si>
  <si>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</si>
  <si>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</si>
  <si>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</si>
  <si>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</si>
  <si>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</si>
  <si>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</si>
  <si>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</si>
  <si>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</si>
  <si>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</si>
  <si>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</si>
  <si>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</si>
  <si>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</si>
  <si>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</si>
  <si>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</si>
  <si>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</si>
  <si>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</si>
  <si>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</si>
  <si>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</si>
  <si>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</si>
  <si>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</si>
  <si>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</si>
  <si>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</si>
  <si>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</si>
  <si>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</si>
  <si>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</si>
  <si>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</si>
  <si>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</si>
  <si>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</si>
  <si>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</si>
  <si>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</si>
  <si>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</si>
  <si>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</si>
  <si>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</si>
  <si>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</si>
  <si>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</si>
  <si>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</si>
  <si>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</si>
  <si>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</si>
  <si>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</si>
  <si>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</si>
  <si>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</si>
  <si>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</si>
  <si>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</si>
  <si>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</si>
  <si>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</si>
  <si>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</si>
  <si>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</si>
  <si>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</si>
  <si>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</si>
  <si>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</si>
  <si>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</si>
  <si>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</si>
  <si>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</si>
  <si>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</si>
  <si>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</si>
  <si>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</si>
  <si>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</si>
  <si>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</si>
  <si>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</si>
  <si>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</si>
  <si>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</si>
  <si>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</si>
  <si>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</si>
  <si>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</si>
  <si>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</si>
  <si>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</si>
  <si>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</si>
  <si>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</si>
  <si>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</si>
  <si>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</si>
  <si>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</si>
  <si>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</si>
  <si>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</si>
  <si>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</si>
  <si>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</si>
  <si>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</si>
  <si>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</si>
  <si>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</si>
  <si>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</si>
  <si>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</si>
  <si>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</si>
  <si>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</si>
  <si>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</si>
  <si>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</si>
  <si>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</si>
  <si>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</si>
  <si>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</si>
  <si>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</si>
  <si>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</si>
  <si>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</si>
  <si>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</si>
  <si>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</si>
  <si>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</si>
  <si>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</si>
  <si>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</si>
  <si>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</si>
  <si>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</si>
  <si>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</si>
  <si>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</si>
  <si>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</si>
  <si>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</si>
  <si>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</si>
  <si>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</si>
  <si>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</si>
  <si>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</si>
  <si>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</si>
  <si>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</si>
  <si>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</si>
  <si>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</si>
  <si>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</si>
  <si>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</si>
  <si>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</si>
  <si>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</si>
  <si>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</si>
  <si>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</si>
  <si>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</si>
  <si>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</si>
  <si>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</si>
  <si>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</si>
  <si>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</si>
  <si>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</si>
  <si>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</si>
  <si>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</si>
  <si>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</si>
  <si>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</si>
  <si>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</si>
  <si>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</si>
  <si>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</si>
  <si>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</si>
  <si>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</si>
  <si>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</si>
  <si>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</si>
  <si>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</si>
  <si>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</si>
  <si>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</si>
  <si>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</si>
  <si>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</si>
  <si>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</si>
  <si>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</si>
  <si>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</si>
  <si>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</si>
  <si>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</si>
  <si>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</si>
  <si>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</si>
  <si>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</si>
  <si>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</si>
  <si>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</si>
  <si>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</si>
  <si>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</si>
  <si>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</si>
  <si>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</si>
  <si>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</si>
  <si>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</si>
  <si>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</si>
  <si>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</si>
  <si>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</si>
  <si>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</si>
  <si>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</si>
  <si>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</si>
  <si>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</si>
  <si>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</si>
  <si>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</si>
  <si>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</si>
  <si>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</si>
  <si>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</si>
  <si>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</si>
  <si>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</si>
  <si>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</si>
  <si>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</si>
  <si>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</si>
  <si>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</si>
  <si>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</si>
  <si>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</si>
  <si>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</si>
  <si>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</si>
  <si>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</si>
  <si>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</si>
  <si>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</si>
  <si>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</si>
  <si>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</si>
  <si>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</si>
  <si>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</si>
  <si>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</si>
  <si>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</si>
  <si>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</si>
  <si>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</si>
  <si>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</si>
  <si>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</si>
  <si>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</si>
  <si>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</si>
  <si>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</si>
  <si>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</si>
  <si>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</si>
  <si>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</si>
  <si>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</si>
  <si>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</si>
  <si>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</si>
  <si>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</si>
  <si>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</si>
  <si>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</si>
  <si>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</si>
  <si>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</si>
  <si>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</si>
  <si>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</si>
  <si>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</si>
  <si>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</si>
  <si>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</si>
  <si>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</si>
  <si>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</si>
  <si>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</si>
  <si>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</si>
  <si>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</si>
  <si>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</si>
  <si>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</si>
  <si>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</si>
  <si>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</si>
  <si>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</si>
  <si>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</si>
  <si>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</si>
  <si>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</si>
  <si>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</si>
  <si>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</si>
  <si>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</si>
  <si>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</si>
  <si>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</si>
  <si>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</si>
  <si>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</si>
  <si>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</si>
  <si>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</si>
  <si>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</si>
  <si>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</si>
  <si>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</si>
  <si>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</si>
  <si>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</si>
  <si>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</si>
  <si>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</si>
  <si>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</si>
  <si>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</si>
  <si>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</si>
  <si>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</si>
  <si>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</si>
  <si>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</si>
  <si>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</si>
  <si>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</si>
  <si>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</si>
  <si>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</si>
  <si>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</si>
  <si>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</si>
  <si>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</si>
  <si>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</si>
  <si>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</si>
  <si>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</si>
  <si>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</si>
  <si>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</si>
  <si>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</si>
  <si>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</si>
  <si>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</si>
  <si>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</si>
  <si>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</si>
  <si>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</si>
  <si>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</si>
  <si>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</si>
  <si>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</si>
  <si>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</si>
  <si>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</si>
  <si>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</si>
  <si>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</si>
  <si>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</si>
  <si>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</si>
  <si>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</si>
  <si>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</si>
  <si>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</si>
  <si>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</si>
  <si>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</si>
  <si>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</si>
  <si>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</si>
  <si>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</si>
  <si>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</si>
  <si>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</si>
  <si>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</si>
  <si>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</si>
  <si>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</si>
  <si>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</si>
  <si>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</si>
  <si>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</si>
  <si>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</si>
  <si>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</si>
  <si>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</si>
  <si>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</si>
  <si>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</si>
  <si>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</si>
  <si>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</si>
  <si>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</si>
  <si>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</si>
  <si>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</si>
  <si>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</si>
  <si>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</si>
  <si>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</si>
  <si>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</si>
  <si>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</si>
  <si>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</si>
  <si>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</si>
  <si>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</si>
  <si>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</si>
  <si>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</si>
  <si>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</si>
  <si>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</si>
  <si>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</si>
  <si>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</si>
  <si>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</si>
  <si>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</si>
  <si>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</si>
  <si>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</si>
  <si>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</si>
  <si>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</si>
  <si>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</si>
  <si>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</si>
  <si>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</si>
  <si>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</si>
  <si>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</si>
  <si>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</si>
  <si>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</si>
  <si>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</si>
  <si>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</si>
  <si>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</si>
  <si>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</si>
  <si>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</si>
  <si>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</si>
  <si>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</si>
  <si>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</si>
  <si>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</si>
  <si>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</si>
  <si>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</si>
  <si>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</si>
  <si>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</si>
  <si>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</si>
  <si>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</si>
  <si>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</si>
  <si>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</si>
  <si>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</si>
  <si>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</si>
  <si>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</si>
  <si>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</si>
  <si>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</si>
  <si>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</si>
  <si>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</si>
  <si>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</si>
  <si>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</si>
  <si>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</si>
  <si>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</si>
  <si>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</si>
  <si>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</si>
  <si>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</si>
  <si>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</si>
  <si>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</si>
  <si>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</si>
  <si>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</si>
  <si>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</si>
  <si>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</si>
  <si>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</si>
  <si>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</si>
  <si>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</si>
  <si>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</si>
  <si>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</si>
  <si>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</si>
  <si>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</si>
  <si>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</si>
  <si>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</si>
  <si>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</si>
  <si>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</si>
  <si>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</si>
  <si>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</si>
  <si>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</si>
  <si>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</si>
  <si>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</si>
  <si>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</si>
  <si>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</si>
  <si>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</si>
  <si>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</si>
  <si>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</si>
  <si>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</si>
  <si>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</si>
  <si>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</si>
  <si>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</si>
  <si>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</si>
  <si>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</si>
  <si>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</si>
  <si>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</si>
  <si>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</si>
  <si>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</si>
  <si>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</si>
  <si>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</si>
  <si>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</si>
  <si>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</si>
  <si>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</si>
  <si>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</si>
  <si>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</si>
  <si>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</si>
  <si>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</si>
  <si>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</si>
  <si>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</si>
  <si>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</si>
  <si>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</si>
  <si>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</si>
  <si>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</si>
  <si>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</si>
  <si>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</si>
  <si>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</si>
  <si>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</si>
  <si>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</si>
  <si>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</si>
  <si>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</si>
  <si>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</si>
  <si>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</si>
  <si>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</si>
  <si>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</si>
  <si>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</si>
  <si>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</si>
  <si>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</si>
  <si>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</si>
  <si>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</si>
  <si>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</si>
  <si>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</si>
  <si>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</si>
  <si>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</si>
  <si>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</si>
  <si>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</si>
  <si>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</si>
  <si>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</si>
  <si>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</si>
  <si>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</si>
  <si>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</si>
  <si>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</si>
  <si>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</si>
  <si>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</si>
  <si>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</si>
  <si>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</si>
  <si>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</si>
  <si>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</si>
  <si>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</si>
  <si>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</si>
  <si>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</si>
  <si>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</si>
  <si>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</si>
  <si>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</si>
  <si>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</si>
  <si>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</si>
  <si>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</si>
  <si>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</si>
  <si>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</si>
  <si>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</si>
  <si>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</si>
  <si>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</si>
  <si>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</si>
  <si>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</si>
  <si>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</si>
  <si>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</si>
  <si>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</si>
  <si>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</si>
  <si>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</si>
  <si>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</si>
  <si>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</si>
  <si>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</si>
  <si>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</si>
  <si>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</si>
  <si>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</si>
  <si>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</si>
  <si>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</si>
  <si>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</si>
  <si>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</si>
  <si>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</si>
  <si>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</si>
  <si>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</si>
  <si>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</si>
  <si>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</si>
  <si>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</si>
  <si>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</si>
  <si>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</si>
  <si>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</si>
  <si>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</si>
  <si>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</si>
  <si>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</si>
  <si>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</si>
  <si>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</si>
  <si>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</si>
  <si>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</si>
  <si>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</si>
  <si>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</si>
  <si>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</si>
  <si>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</si>
  <si>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</si>
  <si>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</si>
  <si>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</si>
  <si>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</si>
  <si>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</si>
  <si>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</si>
  <si>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</si>
  <si>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</si>
  <si>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</si>
  <si>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</si>
  <si>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</si>
  <si>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</si>
  <si>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</si>
  <si>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</si>
  <si>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</si>
  <si>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</si>
  <si>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</si>
  <si>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</si>
  <si>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</si>
  <si>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</si>
  <si>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</si>
  <si>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</si>
  <si>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</si>
  <si>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</si>
  <si>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</si>
  <si>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</si>
  <si>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</si>
  <si>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</si>
  <si>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</si>
  <si>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</si>
  <si>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</si>
  <si>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</si>
  <si>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</si>
  <si>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</si>
  <si>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</si>
  <si>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</si>
  <si>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</si>
  <si>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</si>
  <si>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</si>
  <si>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</si>
  <si>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</si>
  <si>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</si>
  <si>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</si>
  <si>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</si>
  <si>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</si>
  <si>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</si>
  <si>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</si>
  <si>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</si>
  <si>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</si>
  <si>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</si>
  <si>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</si>
  <si>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</si>
  <si>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</si>
  <si>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</si>
  <si>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</si>
  <si>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</si>
  <si>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</si>
  <si>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</si>
  <si>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</si>
  <si>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</si>
  <si>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</si>
  <si>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</si>
  <si>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</si>
  <si>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</si>
  <si>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</si>
  <si>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</si>
  <si>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</si>
  <si>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</si>
  <si>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</si>
  <si>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</si>
  <si>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</si>
  <si>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</si>
  <si>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</si>
  <si>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</si>
  <si>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</si>
  <si>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</si>
  <si>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</si>
  <si>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</si>
  <si>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</si>
  <si>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</si>
  <si>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</si>
  <si>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</si>
  <si>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</si>
  <si>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</si>
  <si>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</si>
  <si>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</si>
  <si>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</si>
  <si>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</si>
  <si>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</si>
  <si>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</si>
  <si>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</si>
  <si>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</si>
  <si>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</si>
  <si>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</si>
  <si>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</si>
  <si>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</si>
  <si>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</si>
  <si>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</si>
  <si>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</si>
  <si>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</si>
  <si>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</si>
  <si>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</si>
  <si>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</si>
  <si>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</si>
  <si>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</si>
  <si>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</si>
  <si>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</si>
  <si>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</si>
  <si>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</si>
  <si>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</si>
  <si>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</si>
  <si>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</si>
  <si>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</si>
  <si>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</si>
  <si>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</si>
  <si>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</si>
  <si>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</si>
  <si>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</si>
  <si>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</si>
  <si>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</si>
  <si>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</si>
  <si>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</si>
  <si>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</si>
  <si>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</si>
  <si>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</si>
  <si>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</si>
  <si>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</si>
  <si>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</si>
  <si>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</si>
  <si>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</si>
  <si>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</si>
  <si>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</si>
  <si>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</si>
  <si>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</si>
  <si>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</si>
  <si>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</si>
  <si>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</si>
  <si>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</si>
  <si>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</si>
  <si>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</si>
  <si>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</si>
  <si>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</si>
  <si>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</si>
  <si>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</si>
  <si>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</si>
  <si>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</si>
  <si>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</si>
  <si>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</si>
  <si>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</si>
  <si>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</si>
  <si>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</si>
  <si>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</si>
  <si>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</si>
  <si>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</si>
  <si>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</si>
  <si>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</si>
  <si>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</si>
  <si>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</si>
  <si>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</si>
  <si>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</si>
  <si>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</si>
  <si>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</si>
  <si>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</si>
  <si>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</si>
  <si>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</si>
  <si>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</si>
  <si>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</si>
  <si>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</si>
  <si>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</si>
  <si>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</si>
  <si>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</si>
  <si>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</si>
  <si>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</si>
  <si>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</si>
  <si>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</si>
  <si>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</si>
  <si>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</si>
  <si>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</si>
  <si>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</si>
  <si>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</si>
  <si>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</si>
  <si>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</si>
  <si>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</si>
  <si>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</si>
  <si>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</si>
  <si>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</si>
  <si>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</si>
  <si>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</si>
  <si>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</si>
  <si>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</si>
  <si>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</si>
  <si>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</si>
  <si>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</si>
  <si>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</si>
  <si>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</si>
  <si>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</si>
  <si>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</si>
  <si>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</si>
  <si>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</si>
  <si>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</si>
  <si>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</si>
  <si>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</si>
  <si>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</si>
  <si>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</si>
  <si>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</si>
  <si>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</si>
  <si>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</si>
  <si>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</si>
  <si>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</si>
  <si>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</si>
  <si>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</si>
  <si>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</si>
  <si>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</si>
  <si>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</si>
  <si>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</si>
  <si>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</si>
  <si>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</si>
  <si>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</si>
  <si>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</si>
  <si>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</si>
  <si>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</si>
  <si>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</si>
  <si>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</si>
  <si>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</si>
  <si>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</si>
  <si>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</si>
  <si>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</si>
  <si>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</si>
  <si>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</si>
  <si>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</si>
  <si>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</si>
  <si>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</si>
  <si>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</si>
  <si>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</si>
  <si>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</si>
  <si>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</si>
  <si>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</si>
  <si>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</si>
  <si>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</si>
  <si>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</si>
  <si>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</si>
  <si>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</si>
  <si>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</si>
  <si>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</si>
  <si>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</si>
  <si>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</si>
  <si>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</si>
  <si>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</si>
  <si>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</si>
  <si>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</si>
  <si>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</si>
  <si>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</si>
  <si>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</si>
  <si>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</si>
  <si>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</si>
  <si>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</si>
  <si>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</si>
  <si>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</si>
  <si>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</si>
  <si>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</si>
  <si>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</si>
  <si>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</si>
  <si>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</si>
  <si>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</si>
  <si>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</si>
  <si>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</si>
  <si>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</si>
  <si>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</si>
  <si>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</si>
  <si>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</si>
  <si>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</si>
  <si>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</si>
  <si>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</si>
  <si>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</si>
  <si>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</si>
  <si>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</si>
  <si>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</si>
  <si>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</si>
  <si>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</si>
  <si>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</si>
  <si>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</si>
  <si>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</si>
  <si>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</si>
  <si>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</si>
  <si>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</si>
  <si>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</si>
  <si>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</si>
  <si>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</si>
  <si>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</si>
  <si>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</si>
  <si>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</si>
  <si>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</si>
  <si>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</si>
  <si>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</si>
  <si>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</si>
  <si>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</si>
  <si>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</si>
  <si>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</si>
  <si>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</si>
  <si>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</si>
  <si>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</si>
  <si>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</si>
  <si>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</si>
  <si>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</si>
  <si>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</si>
  <si>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</si>
  <si>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</si>
  <si>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</si>
  <si>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</si>
  <si>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</si>
  <si>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</si>
  <si>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</si>
  <si>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</si>
  <si>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</si>
  <si>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</si>
  <si>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</si>
  <si>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</si>
  <si>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</si>
  <si>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</si>
  <si>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</si>
  <si>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</si>
  <si>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</si>
  <si>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</si>
  <si>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</si>
  <si>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</si>
  <si>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</si>
  <si>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</si>
  <si>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</si>
  <si>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</si>
  <si>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</si>
  <si>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</si>
  <si>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</si>
  <si>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</si>
  <si>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</si>
  <si>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</si>
  <si>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</si>
  <si>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</si>
  <si>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</si>
  <si>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</si>
  <si>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</si>
  <si>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</si>
  <si>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</si>
  <si>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</si>
  <si>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</si>
  <si>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</si>
  <si>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</si>
  <si>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</si>
  <si>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</si>
  <si>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</si>
  <si>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</si>
  <si>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</si>
  <si>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</si>
  <si>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</si>
  <si>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</si>
  <si>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</si>
  <si>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</si>
  <si>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</si>
  <si>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</si>
  <si>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</si>
  <si>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</si>
  <si>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</si>
  <si>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</si>
  <si>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</si>
  <si>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</si>
  <si>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</si>
  <si>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</si>
  <si>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</si>
  <si>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</si>
  <si>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</si>
  <si>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</si>
  <si>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</si>
  <si>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</si>
  <si>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</si>
  <si>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</si>
  <si>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</si>
  <si>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</si>
  <si>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</si>
  <si>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</si>
  <si>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</si>
  <si>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</si>
  <si>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</si>
  <si>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</si>
  <si>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</si>
  <si>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</si>
  <si>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</si>
  <si>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</si>
  <si>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</si>
  <si>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</si>
  <si>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</si>
  <si>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</si>
  <si>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</si>
  <si>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</si>
  <si>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</si>
  <si>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</si>
  <si>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</si>
  <si>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</si>
  <si>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</si>
  <si>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</si>
  <si>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</si>
  <si>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</si>
  <si>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</si>
  <si>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</si>
  <si>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</si>
  <si>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</si>
  <si>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</si>
  <si>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</si>
  <si>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</si>
  <si>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</si>
  <si>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</si>
  <si>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</si>
  <si>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</si>
  <si>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</si>
  <si>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</si>
  <si>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</si>
  <si>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</si>
  <si>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</si>
  <si>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</si>
  <si>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</si>
  <si>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</si>
  <si>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</si>
  <si>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</si>
  <si>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</si>
  <si>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</si>
  <si>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</si>
  <si>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</si>
  <si>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</si>
  <si>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</si>
  <si>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</si>
  <si>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</si>
  <si>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</si>
  <si>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</si>
  <si>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</si>
  <si>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</si>
  <si>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</si>
  <si>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</si>
  <si>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</si>
  <si>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</si>
  <si>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</si>
  <si>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</si>
  <si>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</si>
  <si>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</si>
  <si>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</si>
  <si>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</si>
  <si>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</si>
  <si>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</si>
  <si>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</si>
  <si>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</si>
  <si>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</si>
  <si>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</si>
  <si>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</si>
  <si>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</si>
  <si>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</si>
  <si>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</si>
  <si>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</si>
  <si>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</si>
  <si>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</si>
  <si>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</si>
  <si>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</si>
  <si>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</si>
  <si>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</si>
  <si>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</si>
  <si>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</si>
  <si>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</si>
  <si>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</si>
  <si>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</si>
  <si>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</si>
  <si>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</si>
  <si>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</si>
  <si>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</si>
  <si>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</si>
  <si>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</si>
  <si>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</si>
  <si>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</si>
  <si>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</si>
  <si>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</si>
  <si>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</si>
  <si>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</si>
  <si>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</si>
  <si>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</si>
  <si>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</si>
  <si>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</si>
  <si>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</si>
  <si>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</si>
  <si>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</si>
  <si>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</si>
  <si>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</si>
  <si>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</si>
  <si>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</si>
  <si>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</si>
  <si>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</si>
  <si>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</si>
  <si>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</si>
  <si>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</si>
  <si>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</si>
  <si>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</si>
  <si>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</si>
  <si>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</si>
  <si>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</si>
  <si>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</si>
  <si>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</si>
  <si>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</si>
  <si>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</si>
  <si>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</si>
  <si>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</si>
  <si>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</si>
  <si>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</si>
  <si>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</si>
  <si>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</si>
  <si>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</si>
  <si>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</si>
  <si>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</si>
  <si>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</si>
  <si>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</si>
  <si>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</si>
  <si>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</si>
  <si>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</si>
  <si>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</si>
  <si>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</si>
  <si>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</si>
  <si>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</si>
  <si>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</si>
  <si>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</si>
  <si>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</si>
  <si>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</si>
  <si>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</si>
  <si>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</si>
  <si>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</si>
  <si>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</si>
  <si>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</si>
  <si>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</si>
  <si>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</si>
  <si>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</si>
  <si>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</si>
  <si>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</si>
  <si>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</si>
  <si>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</si>
  <si>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</si>
  <si>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</si>
  <si>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</si>
  <si>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</si>
  <si>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</si>
  <si>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</si>
  <si>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</si>
  <si>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</si>
  <si>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</si>
  <si>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</si>
  <si>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</si>
  <si>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</si>
  <si>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</si>
  <si>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</si>
  <si>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</si>
  <si>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</si>
  <si>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</si>
  <si>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</si>
  <si>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</si>
  <si>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</si>
  <si>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</si>
  <si>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</si>
  <si>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</si>
  <si>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</si>
  <si>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</si>
  <si>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</si>
  <si>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</si>
  <si>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</si>
  <si>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</si>
  <si>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</si>
  <si>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</si>
  <si>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</si>
  <si>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</si>
  <si>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</si>
  <si>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</si>
  <si>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</si>
  <si>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</si>
  <si>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</si>
  <si>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</si>
  <si>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</si>
  <si>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</si>
  <si>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</si>
  <si>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</si>
  <si>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</si>
  <si>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</si>
  <si>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</si>
  <si>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</si>
  <si>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</si>
  <si>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</si>
  <si>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</si>
  <si>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</si>
  <si>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</si>
  <si>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</si>
  <si>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</si>
  <si>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</si>
  <si>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</si>
  <si>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</si>
  <si>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</si>
  <si>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</si>
  <si>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</si>
  <si>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</si>
  <si>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</si>
  <si>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</si>
  <si>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</si>
  <si>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</si>
  <si>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</si>
  <si>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</si>
  <si>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</si>
  <si>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</si>
  <si>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</si>
  <si>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</si>
  <si>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</si>
  <si>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</si>
  <si>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</si>
  <si>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</si>
  <si>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</si>
  <si>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</si>
  <si>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</si>
  <si>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</si>
  <si>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</si>
  <si>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</si>
  <si>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</si>
  <si>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</si>
  <si>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</si>
  <si>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</si>
  <si>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</si>
  <si>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</si>
  <si>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</si>
  <si>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</si>
  <si>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</si>
  <si>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</si>
  <si>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</si>
  <si>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</si>
  <si>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</si>
  <si>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</si>
  <si>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</si>
  <si>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</si>
  <si>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</si>
  <si>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</si>
  <si>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</si>
  <si>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</si>
  <si>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</si>
  <si>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</si>
  <si>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</si>
  <si>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</si>
  <si>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</si>
  <si>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</si>
  <si>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</si>
  <si>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</si>
  <si>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</si>
  <si>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</si>
  <si>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</si>
  <si>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</si>
  <si>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</si>
  <si>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</si>
  <si>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</si>
  <si>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</si>
  <si>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</si>
  <si>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</si>
  <si>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</si>
  <si>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</si>
  <si>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</si>
  <si>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</si>
  <si>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</si>
  <si>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</si>
  <si>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</si>
  <si>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</si>
  <si>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</si>
  <si>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</si>
  <si>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</si>
  <si>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</si>
  <si>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</si>
  <si>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</si>
  <si>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</si>
  <si>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</si>
  <si>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</si>
  <si>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</si>
  <si>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</si>
  <si>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</si>
  <si>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</si>
  <si>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</si>
  <si>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</si>
  <si>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</si>
  <si>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</si>
  <si>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</si>
  <si>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</si>
  <si>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</si>
  <si>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</si>
  <si>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</si>
  <si>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</si>
  <si>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</si>
  <si>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</si>
  <si>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</si>
  <si>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</si>
  <si>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</si>
  <si>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</si>
  <si>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</si>
  <si>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</si>
  <si>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</si>
  <si>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</si>
  <si>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</si>
  <si>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</si>
  <si>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</si>
  <si>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</si>
  <si>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</si>
  <si>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</si>
  <si>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</si>
  <si>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</si>
  <si>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</si>
  <si>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</si>
  <si>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</si>
  <si>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</si>
  <si>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</si>
  <si>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</si>
  <si>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</si>
  <si>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</si>
  <si>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</si>
  <si>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</si>
  <si>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</si>
  <si>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</si>
  <si>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</si>
  <si>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</si>
  <si>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</si>
  <si>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</si>
  <si>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</si>
  <si>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</si>
  <si>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</si>
  <si>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</si>
  <si>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</si>
  <si>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</si>
  <si>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</si>
  <si>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</si>
  <si>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</si>
  <si>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</si>
  <si>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</si>
  <si>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</si>
  <si>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</si>
  <si>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</si>
  <si>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</si>
  <si>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</si>
  <si>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</si>
  <si>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</si>
  <si>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</si>
  <si>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</si>
  <si>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</si>
  <si>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</si>
  <si>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</si>
  <si>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</si>
  <si>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</si>
  <si>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</si>
  <si>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</si>
  <si>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</si>
  <si>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</si>
  <si>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</si>
  <si>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</si>
  <si>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</si>
  <si>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</si>
  <si>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</si>
  <si>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</si>
  <si>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</si>
  <si>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</si>
  <si>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</si>
  <si>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</si>
  <si>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</si>
  <si>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</si>
  <si>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</si>
  <si>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</si>
  <si>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</si>
  <si>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</si>
  <si>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</si>
  <si>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</si>
  <si>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</si>
  <si>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</si>
  <si>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</si>
  <si>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</si>
  <si>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</si>
  <si>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</si>
  <si>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</si>
  <si>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</si>
  <si>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</si>
  <si>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</si>
  <si>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</si>
  <si>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</si>
  <si>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</si>
  <si>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</si>
  <si>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</si>
  <si>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</si>
  <si>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</si>
  <si>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</si>
  <si>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</si>
  <si>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</si>
  <si>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</si>
  <si>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</si>
  <si>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</si>
  <si>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</si>
  <si>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</si>
  <si>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</si>
  <si>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</si>
  <si>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</si>
  <si>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</si>
  <si>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</si>
  <si>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</si>
  <si>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</si>
  <si>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</si>
  <si>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</si>
  <si>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</si>
  <si>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</si>
  <si>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</si>
  <si>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</si>
  <si>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</si>
  <si>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</si>
  <si>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</si>
  <si>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</si>
  <si>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</si>
  <si>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</si>
  <si>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</si>
  <si>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</si>
  <si>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</si>
  <si>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</si>
  <si>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</si>
  <si>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</si>
  <si>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</si>
  <si>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</si>
  <si>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</si>
  <si>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</si>
  <si>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</si>
  <si>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</si>
  <si>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</si>
  <si>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</si>
  <si>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</si>
  <si>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</si>
  <si>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</si>
  <si>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</si>
  <si>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</si>
  <si>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</si>
  <si>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</si>
  <si>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</si>
  <si>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</si>
  <si>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</si>
  <si>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</si>
  <si>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</si>
  <si>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</si>
  <si>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</si>
  <si>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</si>
  <si>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</si>
  <si>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</si>
  <si>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</si>
  <si>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</si>
  <si>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</si>
  <si>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</si>
  <si>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</si>
  <si>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</si>
  <si>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</si>
  <si>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</si>
  <si>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</si>
  <si>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</si>
  <si>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</si>
  <si>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</si>
  <si>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</si>
  <si>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</si>
  <si>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</si>
  <si>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</si>
  <si>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</si>
  <si>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</si>
  <si>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</si>
  <si>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</si>
  <si>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</si>
  <si>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</si>
  <si>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</si>
  <si>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</si>
  <si>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</si>
  <si>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</si>
  <si>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</si>
  <si>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</si>
  <si>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</si>
  <si>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</si>
  <si>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</si>
  <si>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</si>
  <si>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</si>
  <si>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</si>
  <si>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</si>
  <si>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</si>
  <si>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</si>
  <si>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</si>
  <si>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</si>
  <si>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</si>
  <si>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</si>
  <si>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</si>
  <si>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</si>
  <si>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</si>
  <si>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</si>
  <si>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</si>
  <si>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</si>
  <si>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</si>
  <si>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</si>
  <si>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</si>
  <si>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</si>
  <si>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</si>
  <si>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</si>
  <si>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</si>
  <si>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</si>
  <si>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</si>
  <si>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</si>
  <si>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</si>
  <si>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</si>
  <si>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</si>
  <si>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</si>
  <si>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</si>
  <si>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</si>
  <si>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</si>
  <si>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</si>
  <si>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</si>
  <si>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</si>
  <si>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</si>
  <si>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</si>
  <si>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</si>
  <si>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</si>
  <si>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</si>
  <si>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</si>
  <si>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</si>
  <si>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</si>
  <si>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</si>
  <si>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</si>
  <si>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</si>
  <si>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</si>
  <si>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</si>
  <si>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</si>
  <si>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</si>
  <si>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</si>
  <si>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</si>
  <si>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</si>
  <si>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</si>
  <si>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</si>
  <si>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</si>
  <si>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</si>
  <si>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</si>
  <si>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</si>
  <si>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</si>
  <si>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</si>
  <si>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</si>
  <si>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</si>
  <si>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</si>
  <si>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</si>
  <si>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</si>
  <si>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</si>
  <si>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</si>
  <si>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</si>
  <si>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</si>
  <si>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</si>
  <si>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</si>
  <si>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</si>
  <si>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</si>
  <si>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</si>
  <si>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</si>
  <si>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</si>
  <si>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</si>
  <si>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</si>
  <si>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</si>
  <si>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</si>
  <si>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</si>
  <si>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</si>
  <si>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</si>
  <si>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</si>
  <si>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</si>
  <si>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</si>
  <si>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</si>
  <si>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</si>
  <si>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</si>
  <si>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</si>
  <si>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</si>
  <si>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</si>
  <si>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</si>
  <si>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</si>
  <si>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</si>
  <si>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</si>
  <si>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</si>
  <si>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</si>
  <si>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</si>
  <si>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</si>
  <si>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</si>
  <si>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</si>
  <si>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</si>
  <si>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</si>
  <si>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</si>
  <si>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</si>
  <si>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</si>
  <si>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</si>
  <si>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</si>
  <si>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</si>
  <si>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</si>
  <si>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</si>
  <si>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</si>
  <si>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</si>
  <si>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</si>
  <si>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</si>
  <si>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</si>
  <si>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</si>
  <si>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</si>
  <si>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</si>
  <si>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</si>
  <si>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</si>
  <si>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</si>
  <si>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</si>
  <si>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</si>
  <si>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</si>
  <si>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</si>
  <si>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</si>
  <si>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</si>
  <si>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</si>
  <si>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</si>
  <si>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</si>
  <si>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</si>
  <si>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</si>
  <si>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</si>
  <si>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</si>
  <si>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</si>
  <si>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</si>
  <si>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</si>
  <si>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</si>
  <si>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</si>
  <si>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</si>
  <si>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</si>
  <si>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</si>
  <si>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</si>
  <si>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</si>
  <si>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</si>
  <si>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</si>
  <si>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</si>
  <si>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</si>
  <si>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</si>
  <si>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</si>
  <si>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</si>
  <si>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</si>
  <si>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</si>
  <si>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</si>
  <si>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</si>
  <si>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</si>
  <si>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</si>
  <si>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</si>
  <si>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</si>
  <si>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</si>
  <si>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</si>
  <si>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</si>
  <si>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</si>
  <si>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</si>
  <si>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</si>
  <si>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</si>
  <si>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</si>
  <si>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</si>
  <si>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</si>
  <si>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</si>
  <si>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</si>
  <si>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</si>
  <si>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</si>
  <si>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</si>
  <si>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</si>
  <si>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</si>
  <si>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</si>
  <si>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</si>
  <si>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</si>
  <si>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</si>
  <si>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</si>
  <si>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</si>
  <si>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</si>
  <si>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</si>
  <si>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</si>
  <si>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</si>
  <si>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</si>
  <si>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</si>
  <si>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</si>
  <si>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</si>
  <si>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</si>
  <si>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</si>
  <si>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</si>
  <si>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</si>
  <si>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</si>
  <si>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</si>
  <si>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</si>
  <si>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</si>
  <si>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</si>
  <si>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</si>
  <si>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</si>
  <si>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</si>
  <si>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</si>
  <si>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</si>
  <si>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</si>
  <si>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</si>
  <si>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</si>
  <si>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</si>
  <si>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</si>
  <si>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</si>
  <si>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</si>
  <si>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</si>
  <si>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</si>
  <si>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</si>
  <si>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</si>
  <si>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</si>
  <si>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</si>
  <si>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</si>
  <si>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</si>
  <si>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</si>
  <si>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</si>
  <si>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</si>
  <si>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</si>
  <si>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</si>
  <si>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</si>
  <si>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</si>
  <si>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</si>
  <si>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</si>
  <si>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</si>
  <si>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</si>
  <si>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</si>
  <si>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</si>
  <si>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</si>
  <si>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</si>
  <si>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</si>
  <si>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</si>
  <si>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</si>
  <si>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</si>
  <si>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</si>
  <si>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</si>
  <si>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</si>
  <si>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</si>
  <si>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</si>
  <si>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</si>
  <si>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</si>
  <si>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</si>
  <si>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</si>
  <si>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</si>
  <si>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</si>
  <si>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</si>
  <si>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</si>
  <si>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</si>
  <si>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</si>
  <si>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</si>
  <si>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</si>
  <si>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</si>
  <si>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</si>
  <si>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</si>
  <si>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</si>
  <si>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</si>
  <si>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</si>
  <si>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</si>
  <si>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</si>
  <si>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</si>
  <si>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</si>
  <si>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</si>
  <si>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</si>
  <si>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</si>
  <si>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</si>
  <si>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</si>
  <si>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</si>
  <si>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</si>
  <si>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</si>
  <si>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</si>
  <si>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</si>
  <si>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</si>
  <si>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</si>
  <si>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</si>
  <si>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</si>
  <si>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</si>
  <si>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</si>
  <si>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</si>
  <si>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</si>
  <si>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</si>
  <si>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</si>
  <si>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</si>
  <si>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</si>
  <si>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</si>
  <si>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</si>
  <si>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</si>
  <si>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</si>
  <si>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</si>
  <si>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</si>
  <si>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</si>
  <si>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</si>
  <si>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</si>
  <si>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</si>
  <si>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</si>
  <si>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</si>
  <si>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</si>
  <si>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</si>
  <si>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</si>
  <si>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</si>
  <si>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</si>
  <si>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</si>
  <si>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</si>
  <si>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</si>
  <si>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</si>
  <si>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</si>
  <si>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</si>
  <si>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</si>
  <si>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</si>
  <si>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</si>
  <si>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</si>
  <si>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</si>
  <si>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</si>
  <si>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</si>
  <si>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</si>
  <si>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</si>
  <si>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</si>
  <si>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</si>
  <si>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</si>
  <si>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</si>
  <si>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</si>
  <si>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</si>
  <si>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</si>
  <si>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</si>
  <si>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</si>
  <si>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</si>
  <si>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</si>
  <si>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</si>
  <si>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</si>
  <si>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</si>
  <si>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</si>
  <si>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</si>
  <si>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</si>
  <si>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</si>
  <si>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</si>
  <si>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</si>
  <si>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</si>
  <si>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</si>
  <si>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</si>
  <si>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</si>
  <si>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</si>
  <si>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</si>
  <si>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</si>
  <si>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</si>
  <si>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</si>
  <si>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</si>
  <si>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</si>
  <si>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</si>
  <si>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</si>
  <si>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</si>
  <si>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</si>
  <si>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</si>
  <si>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</si>
  <si>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</si>
  <si>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</si>
  <si>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</si>
  <si>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</si>
  <si>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</si>
  <si>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</si>
  <si>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</si>
  <si>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</si>
  <si>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</si>
  <si>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</si>
  <si>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</si>
  <si>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</si>
  <si>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</si>
  <si>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</si>
  <si>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</si>
  <si>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</si>
  <si>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</si>
  <si>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</si>
  <si>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</si>
  <si>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</si>
  <si>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</si>
  <si>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</si>
  <si>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</si>
  <si>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</si>
  <si>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</si>
  <si>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</si>
  <si>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</si>
  <si>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</si>
  <si>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</si>
  <si>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</si>
  <si>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</si>
  <si>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</si>
  <si>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</si>
  <si>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</si>
  <si>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</si>
  <si>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</si>
  <si>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</si>
  <si>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</si>
  <si>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</si>
  <si>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</si>
  <si>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</si>
  <si>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</si>
  <si>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</si>
  <si>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</si>
  <si>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</si>
  <si>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</si>
  <si>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</si>
  <si>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</si>
  <si>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</si>
  <si>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</si>
  <si>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</si>
  <si>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</si>
  <si>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</si>
  <si>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</si>
  <si>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</si>
  <si>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</si>
  <si>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</si>
  <si>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</si>
  <si>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</si>
  <si>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</si>
  <si>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</si>
  <si>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</si>
  <si>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</si>
  <si>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</si>
  <si>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</si>
  <si>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</si>
  <si>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</si>
  <si>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</si>
  <si>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</si>
  <si>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</si>
  <si>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</si>
  <si>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</si>
  <si>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</si>
  <si>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</si>
  <si>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</si>
  <si>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</si>
  <si>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</si>
  <si>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</si>
  <si>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</si>
  <si>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</si>
  <si>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</si>
  <si>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</si>
  <si>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</si>
  <si>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</si>
  <si>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</si>
  <si>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</si>
  <si>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</si>
  <si>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</si>
  <si>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</si>
  <si>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</si>
  <si>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</si>
  <si>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</si>
  <si>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</si>
  <si>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</si>
  <si>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</si>
  <si>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</si>
  <si>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</si>
  <si>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</si>
  <si>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</si>
  <si>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</si>
  <si>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</si>
  <si>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</si>
  <si>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</si>
  <si>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</si>
  <si>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</si>
  <si>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</si>
  <si>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</si>
  <si>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</si>
  <si>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</si>
  <si>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</si>
  <si>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</si>
  <si>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</si>
  <si>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</si>
  <si>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</si>
  <si>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</si>
  <si>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</si>
  <si>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</si>
  <si>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</si>
  <si>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</si>
  <si>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</si>
  <si>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</si>
  <si>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</si>
  <si>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</si>
  <si>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</si>
  <si>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</si>
  <si>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</si>
  <si>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</si>
  <si>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</si>
  <si>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</si>
  <si>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</si>
  <si>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</si>
  <si>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</si>
  <si>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</si>
  <si>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</si>
  <si>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</si>
  <si>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</si>
  <si>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</si>
  <si>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</si>
  <si>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</si>
  <si>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</si>
  <si>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</si>
  <si>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</si>
  <si>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</si>
  <si>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</si>
  <si>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</si>
  <si>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</si>
  <si>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</si>
  <si>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</si>
  <si>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</si>
  <si>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</si>
  <si>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</si>
  <si>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</si>
  <si>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</si>
  <si>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</si>
  <si>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</si>
  <si>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</si>
  <si>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</si>
  <si>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</si>
  <si>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</si>
  <si>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</si>
  <si>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</si>
  <si>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</si>
  <si>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</si>
  <si>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</si>
  <si>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</si>
  <si>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</si>
  <si>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</si>
  <si>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</si>
  <si>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</si>
  <si>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</si>
  <si>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</si>
  <si>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</si>
  <si>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</si>
  <si>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</si>
  <si>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</si>
  <si>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</si>
  <si>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</si>
  <si>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</si>
  <si>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</si>
  <si>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</si>
  <si>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</si>
  <si>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</si>
  <si>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</si>
  <si>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</si>
  <si>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</si>
  <si>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</si>
  <si>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</si>
  <si>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</si>
  <si>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</si>
  <si>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</si>
  <si>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</si>
  <si>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</si>
  <si>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</si>
  <si>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</si>
  <si>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</si>
  <si>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</si>
  <si>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</si>
  <si>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</si>
  <si>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</si>
  <si>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</si>
  <si>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</si>
  <si>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</si>
  <si>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</si>
  <si>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</si>
  <si>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</si>
  <si>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</si>
  <si>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</si>
  <si>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</si>
  <si>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</si>
  <si>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</si>
  <si>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</si>
  <si>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</si>
  <si>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</si>
  <si>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</si>
  <si>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</si>
  <si>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</si>
  <si>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</si>
  <si>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</si>
  <si>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</si>
  <si>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</si>
  <si>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</si>
  <si>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</si>
  <si>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</si>
  <si>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</si>
  <si>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</si>
  <si>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</si>
  <si>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</si>
  <si>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</si>
  <si>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</si>
  <si>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</si>
  <si>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</si>
  <si>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</si>
  <si>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</si>
  <si>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</si>
  <si>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</si>
  <si>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</si>
  <si>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</si>
  <si>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</si>
  <si>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</si>
  <si>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</si>
  <si>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</si>
  <si>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</si>
  <si>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</si>
  <si>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</si>
  <si>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</si>
  <si>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</si>
  <si>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</si>
  <si>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</si>
  <si>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</si>
  <si>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</si>
  <si>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</si>
  <si>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</si>
  <si>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</si>
  <si>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</si>
  <si>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</si>
  <si>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</si>
  <si>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</si>
  <si>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</si>
  <si>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</si>
  <si>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</si>
  <si>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</si>
  <si>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</si>
  <si>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</si>
  <si>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</si>
  <si>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</si>
  <si>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</si>
  <si>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</si>
  <si>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</si>
  <si>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</si>
  <si>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</si>
  <si>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</si>
  <si>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</si>
  <si>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</si>
  <si>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</si>
  <si>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</si>
  <si>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</si>
  <si>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</si>
  <si>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</si>
  <si>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</si>
  <si>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</si>
  <si>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</si>
  <si>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</si>
  <si>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</si>
  <si>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</si>
  <si>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</si>
  <si>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</si>
  <si>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</si>
  <si>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</si>
  <si>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</si>
  <si>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</si>
  <si>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</si>
  <si>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</si>
  <si>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</si>
  <si>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</si>
  <si>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</si>
  <si>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</si>
  <si>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</si>
  <si>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</si>
  <si>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</si>
  <si>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</si>
  <si>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</si>
  <si>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</si>
  <si>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</si>
  <si>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</si>
  <si>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</si>
  <si>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</si>
  <si>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</si>
  <si>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</si>
  <si>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</si>
  <si>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</si>
  <si>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</si>
  <si>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</si>
  <si>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</si>
  <si>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</si>
  <si>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</si>
  <si>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</si>
  <si>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</si>
  <si>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</si>
  <si>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</si>
  <si>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</si>
  <si>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</si>
  <si>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</si>
  <si>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</si>
  <si>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</si>
  <si>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</si>
  <si>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</si>
  <si>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</si>
  <si>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</si>
  <si>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</si>
  <si>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</si>
  <si>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</si>
  <si>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</si>
  <si>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</si>
  <si>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</si>
  <si>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</si>
  <si>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</si>
  <si>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</si>
  <si>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</si>
  <si>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</si>
  <si>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</si>
  <si>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</si>
  <si>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</si>
  <si>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</si>
  <si>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</si>
  <si>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</si>
  <si>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</si>
  <si>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</si>
  <si>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</si>
  <si>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</si>
  <si>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</si>
  <si>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</si>
  <si>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</si>
  <si>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</si>
  <si>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</si>
  <si>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</si>
  <si>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</si>
  <si>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</si>
  <si>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</si>
  <si>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</si>
  <si>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</si>
  <si>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</si>
  <si>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</si>
  <si>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</si>
  <si>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</si>
  <si>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</si>
  <si>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</si>
  <si>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</si>
  <si>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</si>
  <si>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</si>
  <si>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</si>
  <si>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</si>
  <si>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</si>
  <si>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</si>
  <si>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</si>
  <si>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</si>
  <si>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</si>
  <si>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</si>
  <si>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</si>
  <si>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</si>
  <si>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</si>
  <si>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</si>
  <si>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</si>
  <si>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</si>
  <si>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</si>
  <si>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</si>
  <si>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</si>
  <si>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</si>
  <si>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</si>
  <si>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</si>
  <si>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</si>
  <si>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</si>
  <si>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</si>
  <si>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</si>
  <si>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</si>
  <si>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</si>
  <si>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</si>
  <si>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</si>
  <si>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</si>
  <si>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</si>
  <si>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</si>
  <si>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</si>
  <si>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</si>
  <si>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</si>
  <si>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</si>
  <si>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</si>
  <si>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</si>
  <si>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</si>
  <si>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</si>
  <si>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</si>
  <si>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</si>
  <si>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</si>
  <si>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</si>
  <si>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</si>
  <si>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</si>
  <si>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</si>
  <si>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</si>
  <si>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</si>
  <si>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</si>
  <si>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</si>
  <si>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</si>
  <si>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</si>
  <si>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</si>
  <si>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</si>
  <si>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</si>
  <si>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</si>
  <si>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</si>
  <si>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</si>
  <si>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</si>
  <si>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</si>
  <si>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</si>
  <si>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</si>
  <si>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</si>
  <si>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</si>
  <si>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</si>
  <si>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</si>
  <si>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</si>
  <si>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</si>
  <si>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</si>
  <si>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</si>
  <si>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</si>
  <si>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</si>
  <si>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</si>
  <si>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</si>
  <si>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</si>
  <si>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</si>
  <si>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</si>
  <si>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</si>
  <si>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</si>
  <si>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</si>
  <si>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</si>
  <si>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</si>
  <si>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</si>
  <si>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</si>
  <si>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</si>
  <si>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</si>
  <si>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</si>
  <si>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</si>
  <si>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</si>
  <si>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</si>
  <si>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</si>
  <si>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</si>
  <si>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</si>
  <si>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</si>
  <si>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</si>
  <si>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</si>
  <si>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</si>
  <si>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</si>
  <si>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</si>
  <si>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</si>
  <si>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</si>
  <si>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</si>
  <si>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</si>
  <si>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</si>
  <si>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</si>
  <si>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</si>
  <si>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</si>
  <si>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</si>
  <si>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</si>
  <si>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</si>
  <si>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</si>
  <si>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</si>
  <si>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</si>
  <si>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</si>
  <si>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</si>
  <si>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</si>
  <si>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</si>
  <si>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</si>
  <si>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</si>
  <si>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</si>
  <si>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</si>
  <si>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</si>
  <si>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</si>
  <si>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</si>
  <si>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</si>
  <si>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</si>
  <si>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</si>
  <si>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</si>
  <si>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</si>
  <si>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</si>
  <si>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</si>
  <si>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</si>
  <si>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</si>
  <si>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</si>
  <si>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</si>
  <si>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</si>
  <si>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</si>
  <si>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</si>
  <si>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</si>
  <si>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</si>
  <si>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</si>
  <si>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</si>
  <si>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</si>
  <si>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</si>
  <si>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</si>
  <si>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</si>
  <si>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</si>
  <si>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</si>
  <si>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</si>
  <si>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</si>
  <si>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</si>
  <si>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</si>
  <si>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</si>
  <si>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</si>
  <si>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</si>
  <si>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</si>
  <si>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</si>
  <si>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</si>
  <si>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</si>
  <si>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</si>
  <si>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</si>
  <si>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</si>
  <si>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</si>
  <si>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</si>
  <si>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</si>
  <si>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</si>
  <si>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</si>
  <si>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</si>
  <si>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</si>
  <si>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</si>
  <si>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</si>
  <si>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</si>
  <si>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</si>
  <si>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</si>
  <si>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</si>
  <si>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</si>
  <si>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</si>
  <si>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</si>
  <si>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</si>
  <si>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</si>
  <si>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</si>
  <si>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</si>
  <si>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</si>
  <si>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</si>
  <si>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</si>
  <si>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</si>
  <si>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</si>
  <si>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</si>
  <si>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</si>
  <si>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</si>
  <si>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</si>
  <si>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</si>
  <si>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</si>
  <si>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</si>
  <si>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</si>
  <si>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</si>
  <si>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</si>
  <si>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</si>
  <si>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</si>
  <si>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</si>
  <si>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</si>
  <si>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</si>
  <si>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</si>
  <si>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</si>
  <si>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</si>
  <si>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</si>
  <si>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</si>
  <si>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</si>
  <si>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</si>
  <si>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</si>
  <si>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</si>
  <si>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</si>
  <si>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</si>
  <si>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</si>
  <si>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</si>
  <si>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</si>
  <si>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</si>
  <si>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</si>
  <si>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</si>
  <si>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</si>
  <si>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</si>
  <si>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</si>
  <si>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</si>
  <si>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</si>
  <si>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</si>
  <si>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</si>
  <si>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</si>
  <si>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</si>
  <si>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</si>
  <si>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</si>
  <si>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</si>
  <si>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</si>
  <si>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</si>
  <si>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</si>
  <si>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</si>
  <si>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</si>
  <si>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</si>
  <si>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</si>
  <si>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</si>
  <si>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</si>
  <si>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</si>
  <si>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</si>
  <si>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</si>
  <si>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</si>
  <si>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</si>
  <si>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</si>
  <si>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</si>
  <si>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</si>
  <si>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</si>
  <si>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</si>
  <si>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</si>
  <si>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</si>
  <si>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</si>
  <si>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</si>
  <si>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</si>
  <si>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</si>
  <si>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</si>
  <si>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</si>
  <si>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</si>
  <si>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</si>
  <si>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</si>
  <si>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</si>
  <si>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</si>
  <si>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</si>
  <si>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</si>
  <si>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</si>
  <si>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</si>
  <si>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</si>
  <si>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</si>
  <si>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</si>
  <si>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</si>
  <si>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</si>
  <si>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</si>
  <si>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</si>
  <si>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</si>
  <si>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</si>
  <si>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</si>
  <si>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</si>
  <si>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</si>
  <si>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</si>
  <si>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</si>
  <si>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</si>
  <si>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</si>
  <si>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</si>
  <si>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</si>
  <si>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</si>
  <si>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</si>
  <si>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</si>
  <si>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</si>
  <si>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</si>
  <si>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</si>
  <si>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</si>
  <si>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</si>
  <si>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</si>
  <si>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</si>
  <si>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</si>
  <si>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</si>
  <si>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</si>
  <si>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</si>
  <si>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</si>
  <si>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</si>
  <si>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</si>
  <si>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</si>
  <si>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</si>
  <si>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</si>
  <si>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</si>
  <si>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</si>
  <si>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</si>
  <si>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</si>
  <si>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</si>
  <si>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</si>
  <si>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</si>
  <si>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</si>
  <si>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</si>
  <si>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</si>
  <si>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</si>
  <si>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</si>
  <si>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</si>
  <si>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</si>
  <si>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</si>
  <si>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</si>
  <si>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</si>
  <si>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</si>
  <si>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</si>
  <si>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</si>
  <si>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</si>
  <si>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</si>
  <si>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</si>
  <si>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</si>
  <si>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</si>
  <si>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</si>
  <si>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</si>
  <si>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</si>
  <si>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</si>
  <si>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</si>
  <si>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</si>
  <si>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</si>
  <si>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</si>
  <si>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</si>
  <si>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</si>
  <si>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</si>
  <si>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</si>
  <si>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</si>
  <si>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</si>
  <si>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</si>
  <si>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</si>
  <si>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</si>
  <si>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</si>
  <si>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</si>
  <si>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</si>
  <si>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</si>
  <si>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</si>
  <si>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</si>
  <si>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</si>
  <si>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</si>
  <si>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</si>
  <si>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</si>
  <si>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</si>
  <si>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</si>
  <si>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</si>
  <si>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</si>
  <si>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</si>
  <si>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</si>
  <si>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</si>
  <si>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</si>
  <si>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</si>
  <si>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</si>
  <si>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</si>
  <si>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</si>
  <si>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</si>
  <si>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</si>
  <si>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</si>
  <si>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</si>
  <si>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</si>
  <si>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</si>
  <si>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</si>
  <si>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</si>
  <si>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</si>
  <si>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</si>
  <si>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</si>
  <si>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</si>
  <si>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</si>
  <si>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</si>
  <si>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</si>
  <si>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</si>
  <si>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</si>
  <si>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</si>
  <si>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</si>
  <si>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</si>
  <si>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</si>
  <si>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</si>
  <si>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</si>
  <si>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</si>
  <si>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</si>
  <si>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</si>
  <si>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</si>
  <si>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</si>
  <si>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</si>
  <si>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</si>
  <si>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</si>
  <si>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</si>
  <si>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</si>
  <si>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</si>
  <si>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</si>
  <si>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</si>
  <si>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</si>
  <si>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</si>
  <si>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</si>
  <si>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</si>
  <si>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</si>
  <si>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</si>
  <si>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</si>
  <si>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</si>
  <si>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</si>
  <si>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</si>
  <si>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</si>
  <si>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</si>
  <si>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</si>
  <si>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</si>
  <si>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</si>
  <si>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</si>
  <si>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</si>
  <si>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</si>
  <si>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</si>
  <si>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</si>
  <si>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</si>
  <si>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</si>
  <si>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</si>
  <si>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</si>
  <si>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</si>
  <si>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</si>
  <si>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</si>
  <si>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</si>
  <si>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</si>
  <si>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</si>
  <si>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</si>
  <si>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</si>
  <si>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</si>
  <si>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</si>
  <si>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</si>
  <si>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</si>
  <si>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</si>
  <si>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</si>
  <si>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</si>
  <si>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</si>
  <si>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</si>
  <si>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</si>
  <si>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</si>
  <si>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</si>
  <si>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</si>
  <si>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</si>
  <si>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</si>
  <si>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</si>
  <si>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</si>
  <si>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</si>
  <si>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</si>
  <si>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</si>
  <si>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</si>
  <si>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</si>
  <si>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</si>
  <si>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</si>
  <si>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</si>
  <si>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</si>
  <si>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</si>
  <si>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</si>
  <si>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</si>
  <si>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</si>
  <si>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</si>
  <si>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</si>
  <si>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</si>
  <si>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</si>
  <si>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</si>
  <si>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</si>
  <si>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</si>
  <si>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</si>
  <si>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</si>
  <si>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</si>
  <si>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</si>
  <si>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</si>
  <si>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</si>
  <si>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</si>
  <si>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</si>
  <si>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</si>
  <si>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</si>
  <si>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</si>
  <si>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</si>
  <si>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</si>
  <si>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</si>
  <si>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</si>
  <si>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</si>
  <si>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</si>
  <si>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</si>
  <si>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</si>
  <si>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</si>
  <si>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</si>
  <si>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</si>
  <si>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</si>
  <si>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</si>
  <si>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</si>
  <si>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</si>
  <si>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</si>
  <si>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</si>
  <si>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</si>
  <si>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</si>
  <si>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</si>
  <si>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</si>
  <si>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</si>
  <si>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</si>
  <si>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</si>
  <si>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</si>
  <si>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</si>
  <si>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</si>
  <si>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</si>
  <si>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</si>
  <si>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</si>
  <si>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</si>
  <si>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</si>
  <si>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</si>
  <si>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</si>
  <si>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</si>
  <si>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</si>
  <si>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</si>
  <si>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</si>
  <si>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</si>
  <si>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</si>
  <si>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</si>
  <si>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</si>
  <si>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</si>
  <si>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</si>
  <si>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</si>
  <si>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</si>
  <si>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</si>
  <si>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</si>
  <si>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</si>
  <si>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</si>
  <si>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</si>
  <si>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</si>
  <si>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</si>
  <si>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</si>
  <si>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</si>
  <si>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</si>
  <si>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</si>
  <si>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</si>
  <si>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</si>
  <si>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</si>
  <si>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</si>
  <si>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</si>
  <si>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</si>
  <si>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</si>
  <si>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</si>
  <si>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</si>
  <si>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</si>
  <si>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</si>
  <si>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</si>
  <si>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</si>
  <si>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</si>
  <si>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</si>
  <si>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</si>
  <si>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</si>
  <si>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</si>
  <si>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</si>
  <si>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</si>
  <si>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</si>
  <si>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</si>
  <si>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</si>
  <si>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</si>
  <si>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</si>
  <si>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</si>
  <si>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</si>
  <si>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</si>
  <si>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</si>
  <si>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</si>
  <si>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</si>
  <si>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</si>
  <si>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</si>
  <si>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</si>
  <si>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</si>
  <si>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</si>
  <si>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</si>
  <si>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</si>
  <si>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</si>
  <si>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</si>
  <si>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</si>
  <si>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</si>
  <si>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</si>
  <si>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</si>
  <si>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</si>
  <si>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</si>
  <si>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</si>
  <si>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</si>
  <si>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</si>
  <si>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</si>
  <si>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</si>
  <si>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</si>
  <si>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</si>
  <si>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</si>
  <si>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</si>
  <si>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</si>
  <si>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</si>
  <si>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</si>
  <si>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</si>
  <si>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</si>
  <si>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</si>
  <si>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</si>
  <si>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</si>
  <si>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</si>
  <si>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</si>
  <si>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</si>
  <si>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</si>
  <si>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</si>
  <si>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</si>
  <si>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</si>
  <si>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</si>
  <si>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</si>
  <si>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</si>
  <si>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</si>
  <si>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</si>
  <si>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</si>
  <si>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</si>
  <si>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</si>
  <si>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</si>
  <si>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</si>
  <si>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</si>
  <si>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</si>
  <si>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</si>
  <si>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</si>
  <si>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</si>
  <si>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</si>
  <si>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</si>
  <si>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</si>
  <si>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</si>
  <si>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</si>
  <si>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</si>
  <si>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</si>
  <si>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</si>
  <si>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</si>
  <si>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</si>
  <si>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</si>
  <si>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</si>
  <si>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</si>
  <si>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</si>
  <si>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</si>
  <si>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</si>
  <si>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</si>
  <si>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</si>
  <si>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</si>
  <si>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</si>
  <si>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</si>
  <si>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</si>
  <si>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</si>
  <si>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</si>
  <si>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</si>
  <si>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</si>
  <si>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</si>
  <si>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</si>
  <si>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</si>
  <si>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</si>
  <si>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</si>
  <si>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</si>
  <si>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</si>
  <si>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</si>
  <si>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</si>
  <si>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</si>
  <si>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</si>
  <si>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</si>
  <si>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</si>
  <si>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</si>
  <si>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</si>
  <si>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</si>
  <si>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</si>
  <si>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</si>
  <si>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</si>
  <si>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</si>
  <si>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</si>
  <si>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</si>
  <si>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</si>
  <si>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</si>
  <si>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</si>
  <si>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</si>
  <si>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</si>
  <si>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</si>
  <si>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</si>
  <si>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</si>
  <si>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</si>
  <si>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</si>
  <si>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</si>
  <si>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</si>
  <si>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</si>
  <si>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</si>
  <si>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</si>
  <si>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</si>
  <si>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</si>
  <si>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</si>
  <si>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</si>
  <si>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</si>
  <si>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</si>
  <si>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</si>
  <si>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</si>
  <si>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</si>
  <si>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</si>
  <si>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</si>
  <si>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</si>
  <si>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</si>
  <si>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</si>
  <si>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</si>
  <si>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</si>
  <si>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</si>
  <si>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</si>
  <si>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</si>
  <si>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</si>
  <si>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</si>
  <si>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</si>
  <si>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</si>
  <si>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</si>
  <si>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</si>
  <si>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</si>
  <si>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</si>
  <si>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</si>
  <si>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</si>
  <si>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</si>
  <si>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</si>
  <si>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</si>
  <si>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</si>
  <si>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</si>
  <si>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</si>
  <si>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</si>
  <si>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</si>
  <si>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</si>
  <si>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</si>
  <si>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</si>
  <si>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</si>
  <si>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</si>
  <si>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</si>
  <si>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</si>
  <si>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</si>
  <si>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</si>
  <si>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</si>
  <si>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</si>
  <si>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</si>
  <si>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</si>
  <si>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</si>
  <si>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</si>
  <si>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</si>
  <si>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</si>
  <si>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</si>
  <si>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</si>
  <si>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</si>
  <si>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</si>
  <si>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</si>
  <si>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</si>
  <si>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</si>
  <si>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</si>
  <si>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</si>
  <si>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</si>
  <si>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</si>
  <si>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</si>
  <si>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</si>
  <si>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</si>
  <si>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</si>
  <si>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</si>
  <si>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</si>
  <si>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</si>
  <si>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</si>
  <si>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</si>
  <si>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</si>
  <si>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</si>
  <si>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</si>
  <si>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</si>
  <si>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</si>
  <si>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</si>
  <si>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</si>
  <si>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</si>
  <si>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</si>
  <si>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</si>
  <si>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</si>
  <si>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</si>
  <si>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</si>
  <si>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</si>
  <si>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</si>
  <si>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</si>
  <si>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</si>
  <si>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</si>
  <si>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</si>
  <si>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</si>
  <si>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</si>
  <si>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</si>
  <si>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</si>
  <si>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</si>
  <si>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</si>
  <si>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</si>
  <si>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</si>
  <si>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</si>
  <si>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</si>
  <si>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</si>
  <si>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</si>
  <si>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</si>
  <si>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</si>
  <si>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</si>
  <si>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</si>
  <si>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</si>
  <si>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</si>
  <si>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</si>
  <si>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</si>
  <si>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</si>
  <si>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</si>
  <si>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</si>
  <si>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</si>
  <si>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</si>
  <si>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</si>
  <si>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</si>
  <si>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</si>
  <si>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</si>
  <si>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</si>
  <si>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</si>
  <si>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</si>
  <si>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</si>
  <si>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</si>
  <si>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</si>
  <si>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</si>
  <si>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</si>
  <si>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</si>
  <si>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</si>
  <si>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</si>
  <si>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</si>
  <si>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</si>
  <si>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</si>
  <si>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</si>
  <si>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</si>
  <si>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</si>
  <si>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</si>
  <si>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</si>
  <si>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</si>
  <si>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</si>
  <si>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</si>
  <si>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</si>
  <si>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</si>
  <si>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</si>
  <si>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</si>
  <si>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</si>
  <si>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</si>
  <si>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</si>
  <si>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</si>
  <si>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</si>
  <si>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</si>
  <si>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</si>
  <si>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</si>
  <si>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</si>
  <si>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</si>
  <si>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</si>
  <si>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</si>
  <si>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</si>
  <si>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</si>
  <si>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</si>
  <si>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</si>
  <si>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</si>
  <si>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</si>
  <si>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</si>
  <si>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</si>
  <si>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</si>
  <si>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</si>
  <si>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</si>
  <si>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</si>
  <si>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</si>
  <si>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</si>
  <si>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</si>
  <si>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</si>
  <si>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</si>
  <si>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</si>
  <si>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</si>
  <si>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</si>
  <si>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</si>
  <si>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</si>
  <si>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</si>
  <si>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</si>
  <si>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</si>
  <si>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</si>
  <si>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</si>
  <si>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</si>
  <si>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</si>
  <si>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</si>
  <si>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</si>
  <si>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</si>
  <si>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</si>
  <si>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</si>
  <si>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</si>
  <si>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</si>
  <si>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</si>
  <si>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</si>
  <si>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</si>
  <si>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</si>
  <si>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</si>
  <si>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</si>
  <si>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</si>
  <si>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</si>
  <si>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</si>
  <si>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</si>
  <si>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</si>
  <si>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</si>
  <si>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</si>
  <si>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</si>
  <si>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</si>
  <si>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</si>
  <si>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</si>
  <si>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</si>
  <si>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</si>
  <si>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</si>
  <si>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</si>
  <si>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</si>
  <si>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</si>
  <si>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</si>
  <si>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</si>
  <si>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</si>
  <si>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</si>
  <si>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</si>
  <si>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</si>
  <si>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</si>
  <si>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</si>
  <si>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</si>
  <si>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</si>
  <si>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</si>
  <si>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</si>
  <si>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</si>
  <si>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</si>
  <si>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</si>
  <si>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</si>
  <si>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</si>
  <si>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</si>
  <si>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</si>
  <si>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</si>
  <si>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</si>
  <si>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</si>
  <si>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</si>
  <si>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</si>
  <si>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</si>
  <si>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</si>
  <si>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</si>
  <si>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</si>
  <si>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</si>
  <si>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</si>
  <si>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</si>
  <si>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</si>
  <si>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</si>
  <si>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</si>
  <si>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</si>
  <si>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</si>
  <si>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</si>
  <si>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</si>
  <si>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</si>
  <si>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</si>
  <si>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</si>
  <si>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</si>
  <si>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</si>
  <si>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</si>
  <si>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</si>
  <si>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</si>
  <si>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</si>
  <si>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</si>
  <si>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</si>
  <si>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</si>
  <si>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</si>
  <si>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</si>
  <si>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</si>
  <si>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</si>
  <si>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</si>
  <si>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</si>
  <si>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</si>
  <si>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</si>
  <si>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</si>
  <si>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</si>
  <si>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</si>
  <si>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</si>
  <si>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</si>
  <si>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</si>
  <si>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</si>
  <si>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</si>
  <si>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</si>
  <si>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</si>
  <si>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</si>
  <si>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</si>
  <si>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</si>
  <si>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</si>
  <si>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</si>
  <si>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</si>
  <si>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</si>
  <si>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</si>
  <si>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</si>
  <si>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</si>
  <si>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</si>
  <si>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</si>
  <si>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</si>
  <si>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</si>
  <si>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</si>
  <si>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</si>
  <si>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</si>
  <si>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</si>
  <si>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</si>
  <si>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</si>
  <si>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</si>
  <si>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</si>
  <si>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</si>
  <si>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</si>
  <si>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</si>
  <si>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</si>
  <si>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</si>
  <si>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</si>
  <si>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</si>
  <si>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</si>
  <si>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</si>
  <si>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</si>
  <si>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</si>
  <si>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</si>
  <si>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</si>
  <si>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</si>
  <si>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</si>
  <si>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</si>
  <si>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</si>
  <si>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</si>
  <si>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</si>
  <si>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</si>
  <si>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</si>
  <si>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</si>
  <si>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</si>
  <si>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</si>
  <si>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</si>
  <si>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</si>
  <si>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</si>
  <si>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</si>
  <si>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</si>
  <si>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</si>
  <si>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</si>
  <si>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</si>
  <si>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</si>
  <si>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</si>
  <si>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</si>
  <si>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</si>
  <si>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</si>
  <si>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</si>
  <si>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</si>
  <si>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</si>
  <si>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</si>
  <si>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</si>
  <si>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</si>
  <si>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</si>
  <si>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</si>
  <si>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</si>
  <si>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</si>
  <si>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</si>
  <si>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</si>
  <si>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</si>
  <si>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</si>
  <si>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</si>
  <si>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</si>
  <si>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</si>
  <si>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</si>
  <si>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</si>
  <si>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</si>
  <si>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</si>
  <si>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</si>
  <si>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</si>
  <si>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</si>
  <si>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</si>
  <si>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</si>
  <si>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</si>
  <si>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</si>
  <si>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</si>
  <si>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</si>
  <si>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</si>
  <si>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</si>
  <si>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</si>
  <si>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</si>
  <si>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</si>
  <si>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</si>
  <si>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</si>
  <si>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</si>
  <si>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</si>
  <si>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</si>
  <si>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</si>
  <si>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</si>
  <si>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</si>
  <si>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</si>
  <si>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</si>
  <si>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</si>
  <si>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</si>
  <si>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</si>
  <si>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</si>
  <si>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</si>
  <si>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</si>
  <si>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</si>
  <si>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</si>
  <si>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</si>
  <si>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</si>
  <si>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</si>
  <si>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</si>
  <si>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</si>
  <si>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</si>
  <si>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</si>
  <si>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</si>
  <si>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</si>
  <si>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</si>
  <si>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</si>
  <si>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</si>
  <si>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</si>
  <si>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</si>
  <si>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</si>
  <si>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</si>
  <si>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</si>
  <si>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</si>
  <si>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</si>
  <si>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</si>
  <si>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</si>
  <si>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</si>
  <si>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</si>
  <si>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</si>
  <si>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</si>
  <si>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</si>
  <si>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</si>
  <si>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</si>
  <si>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</si>
  <si>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</si>
  <si>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</si>
  <si>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</si>
  <si>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</si>
  <si>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</si>
  <si>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</si>
  <si>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</si>
  <si>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</si>
  <si>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</si>
  <si>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</si>
  <si>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</si>
  <si>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</si>
  <si>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</si>
  <si>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</si>
  <si>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</si>
  <si>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</si>
  <si>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</si>
  <si>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</si>
  <si>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</si>
  <si>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</si>
  <si>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</si>
  <si>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</si>
  <si>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</si>
  <si>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</si>
  <si>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</si>
  <si>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</si>
  <si>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</si>
  <si>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</si>
  <si>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</si>
  <si>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</si>
  <si>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</si>
  <si>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</si>
  <si>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</si>
  <si>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</si>
  <si>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</si>
  <si>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</si>
  <si>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</si>
  <si>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</si>
  <si>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</si>
  <si>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</si>
  <si>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</si>
  <si>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</si>
  <si>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</si>
  <si>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</si>
  <si>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</si>
  <si>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</si>
  <si>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</si>
  <si>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</si>
  <si>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</si>
  <si>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</si>
  <si>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</si>
  <si>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</si>
  <si>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</si>
  <si>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</si>
  <si>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</si>
  <si>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</si>
  <si>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</si>
  <si>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</si>
  <si>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</si>
  <si>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</si>
  <si>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</si>
  <si>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</si>
  <si>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</si>
  <si>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</si>
  <si>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</si>
  <si>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</si>
  <si>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</si>
  <si>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</si>
  <si>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</si>
  <si>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</si>
  <si>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</si>
  <si>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</si>
  <si>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</si>
  <si>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</si>
  <si>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</si>
  <si>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</si>
  <si>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</si>
  <si>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</si>
  <si>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</si>
  <si>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</si>
  <si>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</si>
  <si>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</si>
  <si>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</si>
  <si>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</si>
  <si>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</si>
  <si>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</si>
  <si>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</si>
  <si>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</si>
  <si>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</si>
  <si>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</si>
  <si>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</si>
  <si>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</si>
  <si>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</si>
  <si>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</si>
  <si>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</si>
  <si>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</si>
  <si>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</si>
  <si>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</si>
  <si>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</si>
  <si>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</si>
  <si>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</si>
  <si>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</si>
  <si>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</si>
  <si>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</si>
  <si>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</si>
  <si>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</si>
  <si>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</si>
  <si>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</si>
  <si>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</si>
  <si>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</si>
  <si>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</si>
  <si>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</si>
  <si>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</si>
  <si>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</si>
  <si>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</si>
  <si>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</si>
  <si>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</si>
  <si>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</si>
  <si>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</si>
  <si>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</si>
  <si>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</si>
  <si>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</si>
  <si>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</si>
  <si>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</si>
  <si>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</si>
  <si>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</si>
  <si>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</si>
  <si>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</si>
  <si>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</si>
  <si>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</si>
  <si>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</si>
  <si>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</si>
  <si>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</si>
  <si>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</si>
  <si>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</si>
  <si>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</si>
  <si>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</si>
  <si>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</si>
  <si>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</si>
  <si>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</si>
  <si>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</si>
  <si>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</si>
  <si>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</si>
  <si>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</si>
  <si>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</si>
  <si>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</si>
  <si>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</si>
  <si>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</si>
  <si>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</si>
  <si>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</si>
  <si>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</si>
  <si>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</si>
  <si>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</si>
  <si>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</si>
  <si>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</si>
  <si>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</si>
  <si>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</si>
  <si>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</si>
  <si>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</si>
  <si>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</si>
  <si>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</si>
  <si>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</si>
  <si>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</si>
  <si>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</si>
  <si>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</si>
  <si>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</si>
  <si>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</si>
  <si>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</si>
  <si>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</si>
  <si>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</si>
  <si>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</si>
  <si>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</si>
  <si>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</si>
  <si>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</si>
  <si>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</si>
  <si>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</si>
  <si>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</si>
  <si>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</si>
  <si>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</si>
  <si>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</si>
  <si>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</si>
  <si>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</si>
  <si>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</si>
  <si>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</si>
  <si>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</si>
  <si>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</si>
  <si>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</si>
  <si>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</si>
  <si>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</si>
  <si>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</si>
  <si>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</si>
  <si>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</si>
  <si>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</si>
  <si>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</si>
  <si>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</si>
  <si>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</si>
  <si>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</si>
  <si>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</si>
  <si>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</si>
  <si>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</si>
  <si>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</si>
  <si>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</si>
  <si>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</si>
  <si>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</si>
  <si>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</si>
  <si>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</si>
  <si>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</si>
  <si>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</si>
  <si>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</si>
  <si>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</si>
  <si>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</si>
  <si>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</si>
  <si>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</si>
  <si>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</si>
  <si>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</si>
  <si>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</si>
  <si>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</si>
  <si>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</si>
  <si>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</si>
  <si>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</si>
  <si>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</si>
  <si>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</si>
  <si>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</si>
  <si>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</si>
  <si>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</si>
  <si>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</si>
  <si>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</si>
  <si>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</si>
  <si>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</si>
  <si>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</si>
  <si>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</si>
  <si>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</si>
  <si>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</si>
  <si>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</si>
  <si>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</si>
  <si>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</si>
  <si>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</si>
  <si>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</si>
  <si>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</si>
  <si>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</si>
  <si>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</si>
  <si>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</si>
  <si>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</si>
  <si>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</si>
  <si>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</si>
  <si>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</si>
  <si>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</si>
  <si>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</si>
  <si>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</si>
  <si>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</si>
  <si>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</si>
  <si>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</si>
  <si>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</si>
  <si>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</si>
  <si>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</si>
  <si>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</si>
  <si>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</si>
  <si>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</si>
  <si>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</si>
  <si>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</si>
  <si>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</si>
  <si>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</si>
  <si>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</si>
  <si>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</si>
  <si>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</si>
  <si>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</si>
  <si>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</si>
  <si>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</si>
  <si>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</si>
  <si>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</si>
  <si>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</si>
  <si>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</si>
  <si>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</si>
  <si>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</si>
  <si>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</si>
  <si>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</si>
  <si>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</si>
  <si>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</si>
  <si>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</si>
  <si>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</si>
  <si>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</si>
  <si>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</si>
  <si>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</si>
  <si>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</si>
  <si>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</si>
  <si>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</si>
  <si>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</si>
  <si>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</si>
  <si>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</si>
  <si>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</si>
  <si>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</si>
  <si>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</si>
  <si>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</si>
  <si>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</si>
  <si>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</si>
  <si>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</si>
  <si>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</si>
  <si>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</si>
  <si>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</si>
  <si>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</si>
  <si>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</si>
  <si>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</si>
  <si>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</si>
  <si>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</si>
  <si>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</si>
  <si>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</si>
  <si>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</si>
  <si>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</si>
  <si>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</si>
  <si>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</si>
  <si>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</si>
  <si>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</si>
  <si>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</si>
  <si>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</si>
  <si>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</si>
  <si>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</si>
  <si>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</si>
  <si>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</si>
  <si>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</si>
  <si>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</si>
  <si>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</si>
  <si>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</si>
  <si>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</si>
  <si>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</si>
  <si>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</si>
  <si>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</si>
  <si>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</si>
  <si>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</si>
  <si>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</si>
  <si>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</si>
  <si>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</si>
  <si>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</si>
  <si>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</si>
  <si>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</si>
  <si>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</si>
  <si>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</si>
  <si>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</si>
  <si>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</si>
  <si>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</si>
  <si>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</si>
  <si>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</si>
  <si>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</si>
  <si>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</si>
  <si>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</si>
  <si>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</si>
  <si>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</si>
  <si>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</si>
  <si>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</si>
  <si>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</si>
  <si>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</si>
  <si>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</si>
  <si>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</si>
  <si>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</si>
  <si>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</si>
  <si>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</si>
  <si>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</si>
  <si>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</si>
  <si>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</si>
  <si>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</si>
  <si>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</si>
  <si>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</si>
  <si>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</si>
  <si>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</si>
  <si>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</si>
  <si>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</si>
  <si>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</si>
  <si>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</si>
  <si>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</si>
  <si>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</si>
  <si>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</si>
  <si>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</si>
  <si>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</si>
  <si>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</si>
  <si>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</si>
  <si>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</si>
  <si>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</si>
  <si>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</si>
  <si>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</si>
  <si>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</si>
  <si>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</si>
  <si>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</si>
  <si>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</si>
  <si>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</si>
  <si>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</si>
  <si>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</si>
  <si>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</si>
  <si>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</si>
  <si>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</si>
  <si>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</si>
  <si>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</si>
  <si>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</si>
  <si>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</si>
  <si>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</si>
  <si>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</si>
  <si>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</si>
  <si>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</si>
  <si>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</si>
  <si>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</si>
  <si>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</si>
  <si>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</si>
  <si>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</si>
  <si>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</si>
  <si>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</si>
  <si>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</si>
  <si>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</si>
  <si>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</si>
  <si>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</si>
  <si>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</si>
  <si>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</si>
  <si>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</si>
  <si>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</si>
  <si>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</si>
  <si>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</si>
  <si>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</si>
  <si>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</si>
  <si>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</si>
  <si>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</si>
  <si>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</si>
  <si>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</si>
  <si>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</si>
  <si>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</si>
  <si>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</si>
  <si>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</si>
  <si>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</si>
  <si>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</si>
  <si>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</si>
  <si>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</si>
  <si>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</si>
  <si>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</si>
  <si>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</si>
  <si>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</si>
  <si>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</si>
  <si>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</si>
  <si>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</si>
  <si>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</si>
  <si>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</si>
  <si>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</si>
  <si>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</si>
  <si>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</si>
  <si>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</si>
  <si>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</si>
  <si>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</si>
  <si>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</si>
  <si>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</si>
  <si>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</si>
  <si>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</si>
  <si>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</si>
  <si>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</si>
  <si>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</si>
  <si>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</si>
  <si>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</si>
  <si>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</si>
  <si>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</si>
  <si>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</si>
  <si>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</si>
  <si>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</si>
  <si>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</si>
  <si>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</si>
  <si>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</si>
  <si>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</si>
  <si>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</si>
  <si>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</si>
  <si>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</si>
  <si>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</si>
  <si>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</si>
  <si>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</si>
  <si>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</si>
  <si>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</si>
  <si>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</si>
  <si>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</si>
  <si>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</si>
  <si>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</si>
  <si>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</si>
  <si>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</si>
  <si>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</si>
  <si>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</si>
  <si>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</si>
  <si>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</si>
  <si>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</si>
  <si>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</si>
  <si>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</si>
  <si>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</si>
  <si>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</si>
  <si>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</si>
  <si>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</si>
  <si>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</si>
  <si>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</si>
  <si>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</si>
  <si>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</si>
  <si>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</si>
  <si>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</si>
  <si>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</si>
  <si>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</si>
  <si>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</si>
  <si>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</si>
  <si>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</si>
  <si>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</si>
  <si>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</si>
  <si>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</si>
  <si>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</si>
  <si>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</si>
  <si>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</si>
  <si>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</si>
  <si>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</si>
  <si>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</si>
  <si>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</si>
  <si>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</si>
  <si>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</si>
  <si>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</si>
  <si>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</si>
  <si>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</si>
  <si>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</si>
  <si>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</si>
  <si>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</si>
  <si>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</si>
  <si>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</si>
  <si>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</si>
  <si>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</si>
  <si>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</si>
  <si>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</si>
  <si>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</si>
  <si>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</si>
  <si>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</si>
  <si>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</si>
  <si>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</si>
  <si>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</si>
  <si>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</si>
  <si>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</si>
  <si>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</si>
  <si>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</si>
  <si>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</si>
  <si>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</si>
  <si>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</si>
  <si>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</si>
  <si>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</si>
  <si>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</si>
  <si>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</si>
  <si>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</si>
  <si>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</si>
  <si>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</si>
  <si>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</si>
  <si>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</si>
  <si>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</si>
  <si>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</si>
  <si>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</si>
  <si>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</si>
  <si>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</si>
  <si>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</si>
  <si>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</si>
  <si>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</si>
  <si>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</si>
  <si>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</si>
  <si>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</si>
  <si>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</si>
  <si>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</si>
  <si>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</si>
  <si>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</si>
  <si>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</si>
  <si>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</si>
  <si>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</si>
  <si>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</si>
  <si>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</si>
  <si>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</si>
  <si>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</si>
  <si>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</si>
  <si>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</si>
  <si>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</si>
  <si>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</si>
  <si>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</si>
  <si>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</si>
  <si>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</si>
  <si>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</si>
  <si>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</si>
  <si>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</si>
  <si>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</si>
  <si>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</si>
  <si>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</si>
  <si>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</si>
  <si>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</si>
  <si>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</si>
  <si>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</si>
  <si>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</si>
  <si>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</si>
  <si>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</si>
  <si>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</si>
  <si>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</si>
  <si>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</si>
  <si>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</si>
  <si>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</si>
  <si>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</si>
  <si>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</si>
  <si>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</si>
  <si>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</si>
  <si>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</si>
  <si>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</si>
  <si>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</si>
  <si>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</si>
  <si>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</si>
  <si>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</si>
  <si>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</si>
  <si>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</si>
  <si>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</si>
  <si>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</si>
  <si>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</si>
  <si>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</si>
  <si>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</si>
  <si>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</si>
  <si>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</si>
  <si>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</si>
  <si>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</si>
  <si>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</si>
  <si>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</si>
  <si>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</si>
  <si>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</si>
  <si>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</si>
  <si>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</si>
  <si>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</si>
  <si>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</si>
  <si>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</si>
  <si>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</si>
  <si>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</si>
  <si>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</si>
  <si>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</si>
  <si>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</si>
  <si>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</si>
  <si>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</si>
  <si>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</si>
  <si>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</si>
  <si>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</si>
  <si>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</si>
  <si>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</si>
  <si>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</si>
  <si>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</si>
  <si>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</si>
  <si>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</si>
  <si>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</si>
  <si>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</si>
  <si>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</si>
  <si>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</si>
  <si>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</si>
  <si>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</si>
  <si>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</si>
  <si>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</si>
  <si>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</si>
  <si>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</si>
  <si>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</si>
  <si>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</si>
  <si>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</si>
  <si>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</si>
  <si>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</si>
  <si>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</si>
  <si>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</si>
  <si>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</si>
  <si>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</si>
  <si>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</si>
  <si>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</si>
  <si>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</si>
  <si>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</si>
  <si>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</si>
  <si>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</si>
  <si>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</si>
  <si>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</si>
  <si>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</si>
  <si>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</si>
  <si>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</si>
  <si>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</si>
  <si>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</si>
  <si>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</si>
  <si>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</si>
  <si>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</si>
  <si>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</si>
  <si>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</si>
  <si>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</si>
  <si>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</si>
  <si>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</si>
  <si>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</si>
  <si>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</si>
  <si>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</si>
  <si>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</si>
  <si>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</si>
  <si>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</si>
  <si>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</si>
  <si>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</si>
  <si>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</si>
  <si>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</si>
  <si>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</si>
  <si>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</si>
  <si>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</si>
  <si>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</si>
  <si>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</si>
  <si>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</si>
  <si>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</si>
  <si>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</si>
  <si>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</si>
  <si>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</si>
  <si>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</si>
  <si>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</si>
  <si>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</si>
  <si>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</si>
  <si>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</si>
  <si>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</si>
  <si>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</si>
  <si>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</si>
  <si>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</si>
  <si>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</si>
  <si>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</si>
  <si>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</si>
  <si>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</si>
  <si>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</si>
  <si>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</si>
  <si>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</si>
  <si>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</si>
  <si>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</si>
  <si>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</si>
  <si>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</si>
  <si>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</si>
  <si>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</si>
  <si>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</si>
  <si>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</si>
  <si>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</si>
  <si>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</si>
  <si>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</si>
  <si>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</si>
  <si>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</si>
  <si>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</si>
  <si>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</si>
  <si>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</si>
  <si>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</si>
  <si>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</si>
  <si>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</si>
  <si>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</si>
  <si>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</si>
  <si>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</si>
  <si>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</si>
  <si>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</si>
  <si>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</si>
  <si>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</si>
  <si>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</si>
  <si>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</si>
  <si>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</si>
  <si>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</si>
  <si>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</si>
  <si>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</si>
  <si>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</si>
  <si>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</si>
  <si>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</si>
  <si>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</si>
  <si>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</si>
  <si>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</si>
  <si>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</si>
  <si>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</si>
  <si>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</si>
  <si>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</si>
  <si>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</si>
  <si>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</si>
  <si>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</si>
  <si>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</si>
  <si>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</si>
  <si>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</si>
  <si>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</si>
  <si>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</si>
  <si>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</si>
  <si>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</si>
  <si>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</si>
  <si>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</si>
  <si>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</si>
  <si>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</si>
  <si>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</si>
  <si>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</si>
  <si>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</si>
  <si>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</si>
  <si>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</si>
  <si>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</si>
  <si>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</si>
  <si>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</si>
  <si>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</si>
  <si>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</si>
  <si>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</si>
  <si>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</si>
  <si>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</si>
  <si>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</si>
  <si>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</si>
  <si>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</si>
  <si>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</si>
  <si>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</si>
  <si>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</si>
  <si>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</si>
  <si>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</si>
  <si>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</si>
  <si>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</si>
  <si>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</si>
  <si>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</si>
  <si>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</si>
  <si>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</si>
  <si>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</si>
  <si>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</si>
  <si>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</si>
  <si>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</si>
  <si>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</si>
  <si>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</si>
  <si>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</si>
  <si>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</si>
  <si>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</si>
  <si>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</si>
  <si>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</si>
  <si>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</si>
  <si>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</si>
  <si>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</si>
  <si>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</si>
  <si>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</si>
  <si>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</si>
  <si>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</si>
  <si>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</si>
  <si>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</si>
  <si>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</si>
  <si>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</si>
  <si>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</si>
  <si>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</si>
  <si>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</si>
  <si>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</si>
  <si>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</si>
  <si>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</si>
  <si>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</si>
  <si>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</si>
  <si>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</si>
  <si>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</si>
  <si>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</si>
  <si>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</si>
  <si>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</si>
  <si>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</si>
  <si>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</si>
  <si>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</si>
  <si>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</si>
  <si>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</si>
  <si>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</si>
  <si>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</si>
  <si>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</si>
  <si>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</si>
  <si>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</si>
  <si>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</si>
  <si>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</si>
  <si>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</si>
  <si>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</si>
  <si>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</si>
  <si>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</si>
  <si>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</si>
  <si>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</si>
  <si>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</si>
  <si>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</si>
  <si>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</si>
  <si>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</si>
  <si>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</si>
  <si>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</si>
  <si>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</si>
  <si>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</si>
  <si>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</si>
  <si>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</si>
  <si>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</si>
  <si>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</si>
  <si>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</si>
  <si>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</si>
  <si>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</si>
  <si>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</si>
  <si>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</si>
  <si>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</si>
  <si>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</si>
  <si>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</si>
  <si>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</si>
  <si>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</si>
  <si>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</si>
  <si>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</si>
  <si>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</si>
  <si>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</si>
  <si>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</si>
  <si>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</si>
  <si>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</si>
  <si>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</si>
  <si>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</si>
  <si>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</si>
  <si>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</si>
  <si>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</si>
  <si>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</si>
  <si>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</si>
  <si>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</si>
  <si>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</si>
  <si>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</si>
  <si>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</si>
  <si>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</si>
  <si>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</si>
  <si>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</si>
  <si>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</si>
  <si>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</si>
  <si>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</si>
  <si>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</si>
  <si>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</si>
  <si>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</si>
  <si>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</si>
  <si>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</si>
  <si>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</si>
  <si>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</si>
  <si>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</si>
  <si>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</si>
  <si>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</si>
  <si>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</si>
  <si>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</si>
  <si>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</si>
  <si>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</si>
  <si>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</si>
  <si>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</si>
  <si>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</si>
  <si>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</si>
  <si>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</si>
  <si>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</si>
  <si>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</si>
  <si>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</si>
  <si>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</si>
  <si>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</si>
  <si>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</si>
  <si>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</si>
  <si>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</si>
  <si>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</si>
  <si>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</si>
  <si>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</si>
  <si>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</si>
  <si>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</si>
  <si>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</si>
  <si>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</si>
  <si>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</si>
  <si>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</si>
  <si>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</si>
  <si>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</si>
  <si>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</si>
  <si>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</si>
  <si>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</si>
  <si>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</si>
  <si>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</si>
  <si>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</si>
  <si>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</si>
  <si>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</si>
  <si>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</si>
  <si>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</si>
  <si>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</si>
  <si>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</si>
  <si>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</si>
  <si>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</si>
  <si>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</si>
  <si>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</si>
  <si>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</si>
  <si>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</si>
  <si>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</si>
  <si>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</si>
  <si>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</si>
  <si>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</si>
  <si>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</si>
  <si>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</si>
  <si>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</si>
  <si>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</si>
  <si>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</si>
  <si>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</si>
  <si>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</si>
  <si>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</si>
  <si>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</si>
  <si>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</si>
  <si>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</si>
  <si>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</si>
  <si>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</si>
  <si>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</si>
  <si>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</si>
  <si>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</si>
  <si>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</si>
  <si>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</si>
  <si>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</si>
  <si>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</si>
  <si>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</si>
  <si>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</si>
  <si>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</si>
  <si>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</si>
  <si>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</si>
  <si>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</si>
  <si>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</si>
  <si>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</si>
  <si>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</si>
  <si>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</si>
  <si>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</si>
  <si>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</si>
  <si>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</si>
  <si>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</si>
  <si>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</si>
  <si>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</si>
  <si>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</si>
  <si>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</si>
  <si>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</si>
  <si>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</si>
  <si>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</si>
  <si>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</si>
  <si>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</si>
  <si>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</si>
  <si>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</si>
  <si>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</si>
  <si>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</si>
  <si>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</si>
  <si>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</si>
  <si>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</si>
  <si>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</si>
  <si>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</si>
  <si>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</si>
  <si>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</si>
  <si>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</si>
  <si>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</si>
  <si>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</si>
  <si>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</si>
  <si>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</si>
  <si>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</si>
  <si>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</si>
  <si>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</si>
  <si>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</si>
  <si>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</si>
  <si>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</si>
  <si>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</si>
  <si>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</si>
  <si>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</si>
  <si>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</si>
  <si>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</si>
  <si>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</si>
  <si>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</si>
  <si>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</si>
  <si>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</si>
  <si>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</si>
  <si>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</si>
  <si>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</si>
  <si>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</si>
  <si>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</si>
  <si>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</si>
  <si>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</si>
  <si>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</si>
  <si>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</si>
  <si>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</si>
  <si>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</si>
  <si>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</si>
  <si>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</si>
  <si>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</si>
  <si>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</si>
  <si>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</si>
  <si>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</si>
  <si>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</si>
  <si>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</si>
  <si>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</si>
  <si>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</si>
  <si>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</si>
  <si>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</si>
  <si>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</si>
  <si>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</si>
  <si>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</si>
  <si>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</si>
  <si>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</si>
  <si>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</si>
  <si>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</si>
  <si>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</si>
  <si>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</si>
  <si>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</si>
  <si>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</si>
  <si>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</si>
  <si>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</si>
  <si>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</si>
  <si>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</si>
  <si>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</si>
  <si>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</si>
  <si>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</si>
  <si>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</si>
  <si>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</si>
  <si>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</si>
  <si>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</si>
  <si>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</si>
  <si>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</si>
  <si>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</si>
  <si>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</si>
  <si>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</si>
  <si>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</si>
  <si>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</si>
  <si>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</si>
  <si>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</si>
  <si>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</si>
  <si>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</si>
  <si>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</si>
  <si>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</si>
  <si>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</si>
  <si>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</si>
  <si>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</si>
  <si>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</si>
  <si>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</si>
  <si>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</si>
  <si>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</si>
  <si>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</si>
  <si>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</si>
  <si>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</si>
  <si>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</si>
  <si>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</si>
  <si>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</si>
  <si>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</si>
  <si>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</si>
  <si>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</si>
  <si>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</si>
  <si>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</si>
  <si>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</si>
  <si>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</si>
  <si>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</si>
  <si>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</si>
  <si>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</si>
  <si>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</si>
  <si>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</si>
  <si>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</si>
  <si>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</si>
  <si>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</si>
  <si>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</si>
  <si>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</si>
  <si>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</si>
  <si>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</si>
  <si>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</si>
  <si>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</si>
  <si>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</si>
  <si>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</si>
  <si>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</si>
  <si>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</si>
  <si>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</si>
  <si>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</si>
  <si>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</si>
  <si>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</si>
  <si>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</si>
  <si>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</si>
  <si>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</si>
  <si>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</si>
  <si>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</si>
  <si>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</si>
  <si>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</si>
  <si>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</si>
  <si>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</si>
  <si>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</si>
  <si>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</si>
  <si>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</si>
  <si>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</si>
  <si>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</si>
  <si>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</si>
  <si>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</si>
  <si>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</si>
  <si>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</si>
  <si>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</si>
  <si>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</si>
  <si>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</si>
  <si>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</si>
  <si>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</si>
  <si>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</si>
  <si>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</si>
  <si>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</si>
  <si>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</si>
  <si>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</si>
  <si>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</si>
  <si>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</si>
  <si>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</si>
  <si>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</si>
  <si>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</si>
  <si>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</si>
  <si>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</si>
  <si>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</si>
  <si>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</si>
  <si>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</si>
  <si>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</si>
  <si>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</si>
  <si>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</si>
  <si>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</si>
  <si>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</si>
  <si>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</si>
  <si>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</si>
  <si>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</si>
  <si>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</si>
  <si>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</si>
  <si>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</si>
  <si>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</si>
  <si>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</si>
  <si>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</si>
  <si>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</si>
  <si>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</si>
  <si>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</si>
  <si>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</si>
  <si>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</si>
  <si>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</si>
  <si>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</si>
  <si>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</si>
  <si>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</si>
  <si>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</si>
  <si>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</si>
  <si>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</si>
  <si>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</si>
  <si>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</si>
  <si>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</si>
  <si>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</si>
  <si>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</si>
  <si>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</si>
  <si>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</si>
  <si>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</si>
  <si>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</si>
  <si>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</si>
  <si>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</si>
  <si>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</si>
  <si>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</si>
  <si>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</si>
  <si>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</si>
  <si>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</si>
  <si>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</si>
  <si>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</si>
  <si>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</si>
  <si>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</si>
  <si>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</si>
  <si>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</si>
  <si>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</si>
  <si>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</si>
  <si>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</si>
  <si>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</si>
  <si>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</si>
  <si>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</si>
  <si>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</si>
  <si>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</si>
  <si>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</si>
  <si>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</si>
  <si>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</si>
  <si>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</si>
  <si>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</si>
  <si>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</si>
  <si>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</si>
  <si>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</si>
  <si>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</si>
  <si>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</si>
  <si>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</si>
  <si>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</si>
  <si>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</si>
  <si>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</si>
  <si>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</si>
  <si>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</si>
  <si>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</si>
  <si>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</si>
  <si>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</si>
  <si>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</si>
  <si>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</si>
  <si>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</si>
  <si>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</si>
  <si>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</si>
  <si>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</si>
  <si>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</si>
  <si>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</si>
  <si>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</si>
  <si>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</si>
  <si>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</si>
  <si>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</si>
  <si>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</si>
  <si>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</si>
  <si>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</si>
  <si>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</si>
  <si>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</si>
  <si>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</si>
  <si>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</si>
  <si>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</si>
  <si>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</si>
  <si>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</si>
  <si>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</si>
  <si>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</si>
  <si>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</si>
  <si>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</si>
  <si>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</si>
  <si>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</si>
  <si>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</si>
  <si>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</si>
  <si>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</si>
  <si>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</si>
  <si>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</si>
  <si>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</si>
  <si>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</si>
  <si>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</si>
  <si>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</si>
  <si>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</si>
  <si>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</si>
  <si>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</si>
  <si>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</si>
  <si>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</si>
  <si>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</si>
  <si>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</si>
  <si>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</si>
  <si>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</si>
  <si>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</si>
  <si>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</si>
  <si>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</si>
  <si>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</si>
  <si>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</si>
  <si>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</si>
  <si>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</si>
  <si>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</si>
  <si>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</si>
  <si>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</si>
  <si>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</si>
  <si>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</si>
  <si>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</si>
  <si>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</si>
  <si>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</si>
  <si>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</si>
  <si>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</si>
  <si>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</si>
  <si>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</si>
  <si>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</si>
  <si>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</si>
  <si>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</si>
  <si>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</si>
  <si>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</si>
  <si>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</si>
  <si>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</si>
  <si>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</si>
  <si>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</si>
  <si>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</si>
  <si>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</si>
  <si>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</si>
  <si>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</si>
  <si>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</si>
  <si>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</si>
  <si>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</si>
  <si>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</si>
  <si>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</si>
  <si>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</si>
  <si>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</si>
  <si>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</si>
  <si>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</si>
  <si>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</si>
  <si>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</si>
  <si>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</si>
  <si>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</si>
  <si>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</si>
  <si>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</si>
  <si>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</si>
  <si>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</si>
  <si>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</si>
  <si>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</si>
  <si>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</si>
  <si>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</si>
  <si>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</si>
  <si>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</si>
  <si>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</si>
  <si>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</si>
  <si>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</si>
  <si>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</si>
  <si>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</si>
  <si>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</si>
  <si>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</si>
  <si>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</si>
  <si>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</si>
  <si>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</si>
  <si>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</si>
  <si>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</si>
  <si>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</si>
  <si>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</si>
  <si>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</si>
  <si>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</si>
  <si>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</si>
  <si>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</si>
  <si>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</si>
  <si>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</si>
  <si>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</si>
  <si>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</si>
  <si>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</si>
  <si>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</si>
  <si>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</si>
  <si>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</si>
  <si>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</si>
  <si>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</si>
  <si>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</si>
  <si>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</si>
  <si>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</si>
  <si>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</si>
  <si>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</si>
  <si>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</si>
  <si>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</si>
  <si>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</si>
  <si>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</si>
  <si>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</si>
  <si>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</si>
  <si>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</si>
  <si>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</si>
  <si>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</si>
  <si>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</si>
  <si>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</si>
  <si>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</si>
  <si>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</si>
  <si>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</si>
  <si>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</si>
  <si>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</si>
  <si>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</si>
  <si>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</si>
  <si>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</si>
  <si>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</si>
  <si>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</si>
  <si>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</si>
  <si>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</si>
  <si>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</si>
  <si>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</si>
  <si>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</si>
  <si>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</si>
  <si>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</si>
  <si>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</si>
  <si>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</si>
  <si>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</si>
  <si>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</si>
  <si>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</si>
  <si>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</si>
  <si>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</si>
  <si>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</si>
  <si>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</si>
  <si>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</si>
  <si>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</si>
  <si>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</si>
  <si>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</si>
  <si>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</si>
  <si>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</si>
  <si>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</si>
  <si>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</si>
  <si>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</si>
  <si>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</si>
  <si>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</si>
  <si>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</si>
  <si>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</si>
  <si>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</si>
  <si>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</si>
  <si>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</si>
  <si>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</si>
  <si>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</si>
  <si>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</si>
  <si>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</si>
  <si>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</si>
  <si>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</si>
  <si>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</si>
  <si>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</si>
  <si>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</si>
  <si>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</si>
  <si>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</si>
  <si>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</si>
  <si>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</si>
  <si>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</si>
  <si>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</si>
  <si>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</si>
  <si>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</si>
  <si>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</si>
  <si>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</si>
  <si>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</si>
  <si>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</si>
  <si>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</si>
  <si>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</si>
  <si>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</si>
  <si>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</si>
  <si>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</si>
  <si>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</si>
  <si>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</si>
  <si>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</si>
  <si>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</si>
  <si>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</si>
  <si>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</si>
  <si>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</si>
  <si>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</si>
  <si>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</si>
  <si>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</si>
  <si>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</si>
  <si>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</si>
  <si>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</si>
  <si>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</si>
  <si>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</si>
  <si>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</si>
  <si>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</si>
  <si>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</si>
  <si>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</si>
  <si>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</si>
  <si>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</si>
  <si>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</si>
  <si>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</si>
  <si>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</si>
  <si>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</si>
  <si>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</si>
  <si>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</si>
  <si>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</si>
  <si>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</si>
  <si>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</si>
  <si>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</si>
  <si>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</si>
  <si>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</si>
  <si>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</si>
  <si>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</si>
  <si>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</si>
  <si>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</si>
  <si>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</si>
  <si>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</si>
  <si>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</si>
  <si>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</si>
  <si>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</si>
  <si>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</si>
  <si>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</si>
  <si>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</si>
  <si>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</si>
  <si>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</si>
  <si>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</si>
  <si>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</si>
  <si>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</si>
  <si>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</si>
  <si>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</si>
  <si>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</si>
  <si>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</si>
  <si>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</si>
  <si>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</si>
  <si>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</si>
  <si>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</si>
  <si>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</si>
  <si>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</si>
  <si>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</si>
  <si>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</si>
  <si>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</si>
  <si>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</si>
  <si>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</si>
  <si>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</si>
  <si>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</si>
  <si>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</si>
  <si>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</si>
  <si>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</si>
  <si>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</si>
  <si>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</si>
  <si>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</si>
  <si>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</si>
  <si>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</si>
  <si>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</si>
  <si>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</si>
  <si>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</si>
  <si>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</si>
  <si>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</si>
  <si>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</si>
  <si>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</si>
  <si>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</si>
  <si>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</si>
  <si>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</si>
  <si>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</si>
  <si>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</si>
  <si>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</si>
  <si>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</si>
  <si>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</si>
  <si>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</si>
  <si>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</si>
  <si>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</si>
  <si>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</si>
  <si>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</si>
  <si>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</si>
  <si>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</si>
  <si>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</si>
  <si>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</si>
  <si>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</si>
  <si>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</si>
  <si>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</si>
  <si>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</si>
  <si>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</si>
  <si>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</si>
  <si>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</si>
  <si>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</si>
  <si>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</si>
  <si>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</si>
  <si>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</si>
  <si>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</si>
  <si>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</si>
  <si>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</si>
  <si>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</si>
  <si>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</si>
  <si>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</si>
  <si>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</si>
  <si>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</si>
  <si>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</si>
  <si>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</si>
  <si>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</si>
  <si>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</si>
  <si>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</si>
  <si>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</si>
  <si>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</si>
  <si>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</si>
  <si>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</si>
  <si>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</si>
  <si>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</si>
  <si>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</si>
  <si>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</si>
  <si>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</si>
  <si>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</si>
  <si>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</si>
  <si>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</si>
  <si>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</si>
  <si>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</si>
  <si>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</si>
  <si>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</si>
  <si>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</si>
  <si>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</si>
  <si>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</si>
  <si>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</si>
  <si>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</si>
  <si>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</si>
  <si>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</si>
  <si>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</si>
  <si>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</si>
  <si>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</si>
  <si>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</si>
  <si>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</si>
  <si>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</si>
  <si>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</si>
  <si>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</si>
  <si>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</si>
  <si>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</si>
  <si>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</si>
  <si>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</si>
  <si>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</si>
  <si>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</si>
  <si>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</si>
  <si>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</si>
  <si>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</si>
  <si>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</si>
  <si>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</si>
  <si>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</si>
  <si>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</si>
  <si>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</si>
  <si>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</si>
  <si>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</si>
  <si>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</si>
  <si>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</si>
  <si>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</si>
  <si>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</si>
  <si>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</si>
  <si>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</si>
  <si>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</si>
  <si>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</si>
  <si>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</si>
  <si>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</si>
  <si>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</si>
  <si>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</si>
  <si>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</si>
  <si>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</si>
  <si>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</si>
  <si>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</si>
  <si>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</si>
  <si>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</si>
  <si>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</si>
  <si>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</si>
  <si>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</si>
  <si>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</si>
  <si>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</si>
  <si>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</si>
  <si>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</si>
  <si>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</si>
  <si>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</si>
  <si>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</si>
  <si>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</si>
  <si>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</si>
  <si>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</si>
  <si>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</si>
  <si>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</si>
  <si>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</si>
  <si>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</si>
  <si>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</si>
  <si>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</si>
  <si>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</si>
  <si>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</si>
  <si>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</si>
  <si>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</si>
  <si>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</si>
  <si>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</si>
  <si>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</si>
  <si>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</si>
  <si>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</si>
  <si>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</si>
  <si>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</si>
  <si>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</si>
  <si>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</si>
  <si>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</si>
  <si>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</si>
  <si>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</si>
  <si>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</si>
  <si>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</si>
  <si>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</si>
  <si>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</si>
  <si>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</si>
  <si>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</si>
  <si>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</si>
  <si>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</si>
  <si>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</si>
  <si>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</si>
  <si>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</si>
  <si>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</si>
  <si>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</si>
  <si>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</si>
  <si>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</si>
  <si>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</si>
  <si>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</si>
  <si>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</si>
  <si>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</si>
  <si>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</si>
  <si>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</si>
  <si>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</si>
  <si>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</si>
  <si>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</si>
  <si>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</si>
  <si>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</si>
  <si>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</si>
  <si>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</si>
  <si>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</si>
  <si>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</si>
  <si>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</si>
  <si>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</si>
  <si>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</si>
  <si>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</si>
  <si>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</si>
  <si>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</si>
  <si>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</si>
  <si>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</si>
  <si>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</si>
  <si>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</si>
  <si>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</si>
  <si>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</si>
  <si>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</si>
  <si>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</si>
  <si>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</si>
  <si>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</si>
  <si>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</si>
  <si>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</si>
  <si>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</si>
  <si>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</si>
  <si>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</si>
  <si>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</si>
  <si>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</si>
  <si>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</si>
  <si>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</si>
  <si>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</si>
  <si>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</si>
  <si>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</si>
  <si>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</si>
  <si>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</si>
  <si>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</si>
  <si>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</si>
  <si>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</si>
  <si>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</si>
  <si>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</si>
  <si>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</si>
  <si>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</si>
  <si>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</si>
  <si>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</si>
  <si>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</si>
  <si>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</si>
  <si>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</si>
  <si>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</si>
  <si>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</si>
  <si>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</si>
  <si>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</si>
  <si>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</si>
  <si>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</si>
  <si>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</si>
  <si>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</si>
  <si>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</si>
  <si>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</si>
  <si>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</si>
  <si>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</si>
  <si>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</si>
  <si>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</si>
  <si>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</si>
  <si>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</si>
  <si>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</si>
  <si>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</si>
  <si>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</si>
  <si>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</si>
  <si>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</si>
  <si>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</si>
  <si>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</si>
  <si>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</si>
  <si>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</si>
  <si>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</si>
  <si>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</si>
  <si>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</si>
  <si>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</si>
  <si>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</si>
  <si>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</si>
  <si>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</si>
  <si>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</si>
  <si>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</si>
  <si>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</si>
  <si>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</si>
  <si>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</si>
  <si>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</si>
  <si>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</si>
  <si>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</si>
  <si>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</si>
  <si>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</si>
  <si>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</si>
  <si>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</si>
  <si>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</si>
  <si>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</si>
  <si>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</si>
  <si>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</si>
  <si>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</si>
  <si>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</si>
  <si>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</si>
  <si>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</si>
  <si>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</si>
  <si>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</si>
  <si>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</si>
  <si>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</si>
  <si>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</si>
  <si>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</si>
  <si>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</si>
  <si>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</si>
  <si>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</si>
  <si>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</si>
  <si>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</si>
  <si>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</si>
  <si>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</si>
  <si>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</si>
  <si>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</si>
  <si>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</si>
  <si>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</si>
  <si>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</si>
  <si>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</si>
  <si>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</si>
  <si>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</si>
  <si>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</si>
  <si>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</si>
  <si>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</si>
  <si>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</si>
  <si>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</si>
  <si>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</si>
  <si>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</si>
  <si>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</si>
  <si>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</si>
  <si>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</si>
  <si>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</si>
  <si>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</si>
  <si>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</si>
  <si>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</si>
  <si>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</si>
  <si>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</si>
  <si>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</si>
  <si>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</si>
  <si>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</si>
  <si>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</si>
  <si>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</si>
  <si>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</si>
  <si>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</si>
  <si>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</si>
  <si>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</si>
  <si>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</si>
  <si>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</si>
  <si>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</si>
  <si>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</si>
  <si>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</si>
  <si>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</si>
  <si>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</si>
  <si>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</si>
  <si>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</si>
  <si>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</si>
  <si>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</si>
  <si>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</si>
  <si>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</si>
  <si>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</si>
  <si>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</si>
  <si>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</si>
  <si>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</si>
  <si>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</si>
  <si>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</si>
  <si>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</si>
  <si>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</si>
  <si>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</si>
  <si>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</si>
  <si>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</si>
  <si>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</si>
  <si>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</si>
  <si>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</si>
  <si>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</si>
  <si>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</si>
  <si>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</si>
  <si>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</si>
  <si>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</si>
  <si>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</si>
  <si>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</si>
  <si>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</si>
  <si>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</si>
  <si>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</si>
  <si>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</si>
  <si>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</si>
  <si>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</si>
  <si>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</si>
  <si>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</si>
  <si>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</si>
  <si>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</si>
  <si>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</si>
  <si>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</si>
  <si>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</si>
  <si>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</si>
  <si>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</si>
  <si>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</si>
  <si>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</si>
  <si>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</si>
  <si>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</si>
  <si>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</si>
  <si>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</si>
  <si>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</si>
  <si>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</si>
  <si>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</si>
  <si>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</si>
  <si>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</si>
  <si>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</si>
  <si>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</si>
  <si>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</si>
  <si>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</si>
  <si>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</si>
  <si>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</si>
  <si>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</si>
  <si>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</si>
  <si>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</si>
  <si>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</si>
  <si>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</si>
  <si>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</si>
  <si>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</si>
  <si>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</si>
  <si>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</si>
  <si>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</si>
  <si>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</si>
  <si>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</si>
  <si>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</si>
  <si>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</si>
  <si>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</si>
  <si>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</si>
  <si>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</si>
  <si>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</si>
  <si>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</si>
  <si>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</si>
  <si>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</si>
  <si>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</si>
  <si>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</si>
  <si>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</si>
  <si>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</si>
  <si>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</si>
  <si>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</si>
  <si>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</si>
  <si>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</si>
  <si>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</si>
  <si>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</si>
  <si>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</si>
  <si>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</si>
  <si>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</si>
  <si>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</si>
  <si>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</si>
  <si>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</si>
  <si>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</si>
  <si>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</si>
  <si>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</si>
  <si>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</si>
  <si>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</si>
  <si>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</si>
  <si>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</si>
  <si>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</si>
  <si>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</si>
  <si>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</si>
  <si>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</si>
  <si>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</si>
  <si>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</si>
  <si>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</si>
  <si>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</si>
  <si>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</si>
  <si>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</si>
  <si>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</si>
  <si>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</si>
  <si>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</si>
  <si>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</si>
  <si>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</si>
  <si>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</si>
  <si>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</si>
  <si>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</si>
  <si>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</si>
  <si>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</si>
  <si>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</si>
  <si>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</si>
  <si>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</si>
  <si>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</si>
  <si>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</si>
  <si>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</si>
  <si>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</si>
  <si>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</si>
  <si>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</si>
  <si>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</si>
  <si>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</si>
  <si>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</si>
  <si>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</si>
  <si>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</si>
  <si>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</si>
  <si>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</si>
  <si>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</si>
  <si>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</si>
  <si>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</si>
  <si>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</si>
  <si>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</si>
  <si>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</si>
  <si>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</si>
  <si>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</si>
  <si>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</si>
  <si>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</si>
  <si>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</si>
  <si>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</si>
  <si>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</si>
  <si>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</si>
  <si>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</si>
  <si>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</si>
  <si>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</si>
  <si>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</si>
  <si>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</si>
  <si>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</si>
  <si>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</si>
  <si>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</si>
  <si>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</si>
  <si>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</si>
  <si>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</si>
  <si>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</si>
  <si>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</si>
  <si>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</si>
  <si>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</si>
  <si>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</si>
  <si>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</si>
  <si>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</si>
  <si>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</si>
  <si>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</si>
  <si>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</si>
  <si>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</si>
  <si>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</si>
  <si>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</si>
  <si>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</si>
  <si>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</si>
  <si>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</si>
  <si>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</si>
  <si>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</si>
  <si>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</si>
  <si>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</si>
  <si>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</si>
  <si>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</si>
  <si>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</si>
  <si>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</si>
  <si>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</si>
  <si>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</si>
  <si>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</si>
  <si>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</si>
  <si>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</si>
  <si>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</si>
  <si>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</si>
  <si>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</si>
  <si>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</si>
  <si>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</si>
  <si>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</si>
  <si>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</si>
  <si>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</si>
  <si>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</si>
  <si>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</si>
  <si>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</si>
  <si>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</si>
  <si>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</si>
  <si>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</si>
  <si>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</si>
  <si>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</si>
  <si>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</si>
  <si>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</si>
  <si>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</si>
  <si>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</si>
  <si>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</si>
  <si>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</si>
  <si>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</si>
  <si>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</si>
  <si>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</si>
  <si>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</si>
  <si>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</si>
  <si>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</si>
  <si>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</si>
  <si>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</si>
  <si>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</si>
  <si>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</si>
  <si>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</si>
  <si>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</si>
  <si>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</si>
  <si>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</si>
  <si>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</si>
  <si>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</si>
  <si>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</si>
  <si>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</si>
  <si>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</si>
  <si>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</si>
  <si>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</si>
  <si>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</si>
  <si>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</si>
  <si>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</si>
  <si>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</si>
  <si>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</si>
  <si>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</si>
  <si>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</si>
  <si>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</si>
  <si>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</si>
  <si>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</si>
  <si>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</si>
  <si>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</si>
  <si>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</si>
  <si>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</si>
  <si>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</si>
  <si>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</si>
  <si>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</si>
  <si>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</si>
  <si>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</si>
  <si>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</si>
  <si>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</si>
  <si>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</si>
  <si>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</si>
  <si>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</si>
  <si>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</si>
  <si>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</si>
  <si>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</si>
  <si>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</si>
  <si>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</si>
  <si>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</si>
  <si>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</si>
  <si>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</si>
  <si>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</si>
  <si>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</si>
  <si>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</si>
  <si>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</si>
  <si>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</si>
  <si>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</si>
  <si>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</si>
  <si>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</si>
  <si>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</si>
  <si>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</si>
  <si>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</si>
  <si>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</si>
  <si>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</si>
  <si>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</si>
  <si>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</si>
  <si>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</si>
  <si>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</si>
  <si>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</si>
  <si>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</si>
  <si>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</si>
  <si>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</si>
  <si>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</si>
  <si>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</si>
  <si>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</si>
  <si>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</si>
  <si>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</si>
  <si>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</si>
  <si>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</si>
  <si>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</si>
  <si>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</si>
  <si>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</si>
  <si>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</si>
  <si>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</si>
  <si>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</si>
  <si>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</si>
  <si>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</si>
  <si>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</si>
  <si>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</si>
  <si>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</si>
  <si>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</si>
  <si>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</si>
  <si>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</si>
  <si>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</si>
  <si>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</si>
  <si>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</si>
  <si>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</si>
  <si>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</si>
  <si>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</si>
  <si>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</si>
  <si>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</si>
  <si>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</si>
  <si>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</si>
  <si>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</si>
  <si>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</si>
  <si>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</si>
  <si>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</si>
  <si>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</si>
  <si>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</si>
  <si>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</si>
  <si>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</si>
  <si>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</si>
  <si>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</si>
  <si>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</si>
  <si>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</si>
  <si>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</si>
  <si>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</si>
  <si>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</si>
  <si>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</si>
  <si>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</si>
  <si>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</si>
  <si>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</si>
  <si>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</si>
  <si>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</si>
  <si>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</si>
  <si>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</si>
  <si>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</si>
  <si>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</si>
  <si>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</si>
  <si>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</si>
  <si>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</si>
  <si>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</si>
  <si>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</si>
  <si>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</si>
  <si>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</si>
  <si>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</si>
  <si>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</si>
  <si>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</si>
  <si>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</si>
  <si>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</si>
  <si>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</si>
  <si>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</si>
  <si>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</si>
  <si>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</si>
  <si>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</si>
  <si>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</si>
  <si>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</si>
  <si>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</si>
  <si>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</si>
  <si>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</si>
  <si>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</si>
  <si>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</si>
  <si>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</si>
  <si>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</si>
  <si>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</si>
  <si>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</si>
  <si>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</si>
  <si>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</si>
  <si>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</si>
  <si>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</si>
  <si>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</si>
  <si>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</si>
  <si>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</si>
  <si>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</si>
  <si>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</si>
  <si>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</si>
  <si>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</si>
  <si>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</si>
  <si>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</si>
  <si>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</si>
  <si>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</si>
  <si>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</si>
  <si>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</si>
  <si>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</si>
  <si>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</si>
  <si>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</si>
  <si>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</si>
  <si>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</si>
  <si>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</si>
  <si>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</si>
  <si>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</si>
  <si>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</si>
  <si>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</si>
  <si>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</si>
  <si>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</si>
  <si>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</si>
  <si>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</si>
  <si>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</si>
  <si>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</si>
  <si>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</si>
  <si>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</si>
  <si>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</si>
  <si>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</si>
  <si>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</si>
  <si>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</si>
  <si>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</si>
  <si>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</si>
  <si>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</si>
  <si>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</si>
  <si>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</si>
  <si>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</si>
  <si>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</si>
  <si>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</si>
  <si>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</si>
  <si>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</si>
  <si>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</si>
  <si>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</si>
  <si>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</si>
  <si>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</si>
  <si>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</si>
  <si>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</si>
  <si>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</si>
  <si>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</si>
  <si>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</si>
  <si>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</si>
  <si>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</si>
  <si>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</si>
  <si>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</si>
  <si>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</si>
  <si>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</si>
  <si>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</si>
  <si>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</si>
  <si>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</si>
  <si>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</si>
  <si>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</si>
  <si>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</si>
  <si>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</si>
  <si>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</si>
  <si>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</si>
  <si>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</si>
  <si>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</si>
  <si>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</si>
  <si>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</si>
  <si>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</si>
  <si>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</si>
  <si>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</si>
  <si>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</si>
  <si>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</si>
  <si>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</si>
  <si>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</si>
  <si>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</si>
  <si>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</si>
  <si>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</si>
  <si>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</si>
  <si>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</si>
  <si>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</si>
  <si>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</si>
  <si>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</si>
  <si>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</si>
  <si>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</si>
  <si>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</si>
  <si>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</si>
  <si>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</si>
  <si>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</si>
  <si>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</si>
  <si>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</si>
  <si>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</si>
  <si>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</si>
  <si>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</si>
  <si>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</si>
  <si>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</si>
  <si>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</si>
  <si>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</si>
  <si>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</si>
  <si>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</si>
  <si>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</si>
  <si>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</si>
  <si>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</si>
  <si>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</si>
  <si>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</si>
  <si>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</si>
  <si>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</si>
  <si>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</si>
  <si>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</si>
  <si>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</si>
  <si>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</si>
  <si>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</si>
  <si>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</si>
  <si>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</si>
  <si>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</si>
  <si>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</si>
  <si>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</si>
  <si>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</si>
  <si>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</si>
  <si>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</si>
  <si>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</si>
  <si>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</si>
  <si>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</si>
  <si>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</si>
  <si>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</si>
  <si>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</si>
  <si>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</si>
  <si>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</si>
  <si>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</si>
  <si>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</si>
  <si>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</si>
  <si>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</si>
  <si>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</si>
  <si>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</si>
  <si>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</si>
  <si>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</si>
  <si>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</si>
  <si>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</si>
  <si>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</si>
  <si>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</si>
  <si>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</si>
  <si>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</si>
  <si>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</si>
  <si>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</si>
  <si>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</si>
  <si>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</si>
  <si>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</si>
  <si>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</si>
  <si>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</si>
  <si>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</si>
  <si>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</si>
  <si>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</si>
  <si>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</si>
  <si>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</si>
  <si>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</si>
  <si>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</si>
  <si>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</si>
  <si>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</si>
  <si>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</si>
  <si>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</si>
  <si>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</si>
  <si>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</si>
  <si>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</si>
  <si>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</si>
  <si>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</si>
  <si>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</si>
  <si>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</si>
  <si>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</si>
  <si>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</si>
  <si>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</si>
  <si>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</si>
  <si>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</si>
  <si>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</si>
  <si>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</si>
  <si>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</si>
  <si>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</si>
  <si>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</si>
  <si>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</si>
  <si>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</si>
  <si>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</si>
  <si>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</si>
  <si>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</si>
  <si>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</si>
  <si>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</si>
  <si>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</si>
  <si>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</si>
  <si>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</si>
  <si>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</si>
  <si>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</si>
  <si>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</si>
  <si>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</si>
  <si>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</si>
  <si>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</si>
  <si>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</si>
  <si>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</si>
  <si>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</si>
  <si>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</si>
  <si>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</si>
  <si>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</si>
  <si>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</si>
  <si>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</si>
  <si>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</si>
  <si>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</si>
  <si>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</si>
  <si>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</si>
  <si>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</si>
  <si>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</si>
  <si>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</si>
  <si>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</si>
  <si>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</si>
  <si>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</si>
  <si>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</si>
  <si>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</si>
  <si>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</si>
  <si>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</si>
  <si>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</si>
  <si>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</si>
  <si>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</si>
  <si>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</si>
  <si>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</si>
  <si>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</si>
  <si>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</si>
  <si>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</si>
  <si>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</si>
  <si>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</si>
  <si>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</si>
  <si>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</si>
  <si>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</si>
  <si>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</si>
  <si>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</si>
  <si>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</si>
  <si>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</si>
  <si>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</si>
  <si>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</si>
  <si>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</si>
  <si>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</si>
  <si>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</si>
  <si>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</si>
  <si>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</si>
  <si>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</si>
  <si>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</si>
  <si>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</si>
  <si>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</si>
  <si>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</si>
  <si>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</si>
  <si>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</si>
  <si>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</si>
  <si>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</si>
  <si>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</si>
  <si>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</si>
  <si>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</si>
  <si>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</si>
  <si>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</si>
  <si>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</si>
  <si>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</si>
  <si>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</si>
  <si>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</si>
  <si>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</si>
  <si>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</si>
  <si>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</si>
  <si>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</si>
  <si>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</si>
  <si>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</si>
  <si>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</si>
  <si>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</si>
  <si>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</si>
  <si>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</si>
  <si>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</si>
  <si>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</si>
  <si>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</si>
  <si>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</si>
  <si>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</si>
  <si>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</si>
  <si>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</si>
  <si>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</si>
  <si>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</si>
  <si>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</si>
  <si>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</si>
  <si>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</si>
  <si>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</si>
  <si>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</si>
  <si>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</si>
  <si>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</si>
  <si>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</si>
  <si>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</si>
  <si>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</si>
  <si>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</si>
  <si>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</si>
  <si>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</si>
  <si>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</si>
  <si>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</si>
  <si>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</si>
  <si>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</si>
  <si>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</si>
  <si>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</si>
  <si>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</si>
  <si>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</si>
  <si>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</si>
  <si>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</si>
  <si>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</si>
  <si>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</si>
  <si>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</si>
  <si>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</si>
  <si>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</si>
  <si>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</si>
  <si>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</si>
  <si>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</si>
  <si>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</si>
  <si>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</si>
  <si>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</si>
  <si>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</si>
  <si>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</si>
  <si>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</si>
  <si>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</si>
  <si>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</si>
  <si>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</si>
  <si>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</si>
  <si>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</si>
  <si>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</si>
  <si>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</si>
  <si>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</si>
  <si>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</si>
  <si>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</si>
  <si>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</si>
  <si>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</si>
  <si>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</si>
  <si>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</si>
  <si>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</si>
  <si>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</si>
  <si>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</si>
  <si>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</si>
  <si>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</si>
  <si>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</si>
  <si>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</si>
  <si>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</si>
  <si>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</si>
  <si>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</si>
  <si>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</si>
  <si>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</si>
  <si>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</si>
  <si>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</si>
  <si>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</si>
  <si>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</si>
  <si>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</si>
  <si>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</si>
  <si>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</si>
  <si>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</si>
  <si>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</si>
  <si>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</si>
  <si>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</si>
  <si>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</si>
  <si>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</si>
  <si>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</si>
  <si>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</si>
  <si>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</si>
  <si>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</si>
  <si>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</si>
  <si>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</si>
  <si>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</si>
  <si>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</si>
  <si>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</si>
  <si>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</si>
  <si>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</si>
  <si>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</si>
  <si>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</si>
  <si>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</si>
  <si>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</si>
  <si>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</si>
  <si>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</si>
  <si>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</si>
  <si>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</si>
  <si>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</si>
  <si>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</si>
  <si>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</si>
  <si>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</si>
  <si>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</si>
  <si>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</si>
  <si>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</si>
  <si>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</si>
  <si>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</si>
  <si>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</si>
  <si>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</si>
  <si>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</si>
  <si>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</si>
  <si>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</si>
  <si>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</si>
  <si>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</si>
  <si>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</si>
  <si>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</si>
  <si>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</si>
  <si>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</si>
  <si>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</si>
  <si>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</si>
  <si>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</si>
  <si>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</si>
  <si>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</si>
  <si>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</si>
  <si>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</si>
  <si>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</si>
  <si>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</si>
  <si>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</si>
  <si>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</si>
  <si>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</si>
  <si>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</si>
  <si>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</si>
  <si>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</si>
  <si>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</si>
  <si>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</si>
  <si>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</si>
  <si>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</si>
  <si>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</si>
  <si>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</si>
  <si>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</si>
  <si>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</si>
  <si>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</si>
  <si>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</si>
  <si>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</si>
  <si>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</si>
  <si>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</si>
  <si>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</si>
  <si>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</si>
  <si>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</si>
  <si>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</si>
  <si>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</si>
  <si>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</si>
  <si>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</si>
  <si>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</si>
  <si>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</si>
  <si>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</si>
  <si>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</si>
  <si>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</si>
  <si>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</si>
  <si>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</si>
  <si>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</si>
  <si>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</si>
  <si>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</si>
  <si>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</si>
  <si>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</si>
  <si>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</si>
  <si>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</si>
  <si>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</si>
  <si>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</si>
  <si>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</si>
  <si>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</si>
  <si>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</si>
  <si>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</si>
  <si>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</si>
  <si>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</si>
  <si>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</si>
  <si>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</si>
  <si>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</si>
  <si>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</si>
  <si>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</si>
  <si>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</si>
  <si>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</si>
  <si>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</si>
  <si>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</si>
  <si>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</si>
  <si>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</si>
  <si>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</si>
  <si>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</si>
  <si>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</si>
  <si>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</si>
  <si>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</si>
  <si>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</si>
  <si>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</si>
  <si>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</si>
  <si>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</si>
  <si>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</si>
  <si>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</si>
  <si>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</si>
  <si>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</si>
  <si>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</si>
  <si>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</si>
  <si>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</si>
  <si>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</si>
  <si>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</si>
  <si>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</si>
  <si>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</si>
  <si>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</si>
  <si>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</si>
  <si>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</si>
  <si>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</si>
  <si>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</si>
  <si>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</si>
  <si>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</si>
  <si>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</si>
  <si>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</si>
  <si>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</si>
  <si>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</si>
  <si>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</si>
  <si>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</si>
  <si>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</si>
  <si>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</si>
  <si>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</si>
  <si>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</si>
  <si>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</si>
  <si>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</si>
  <si>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</si>
  <si>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</si>
  <si>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</si>
  <si>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</si>
  <si>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</si>
  <si>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</si>
  <si>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</si>
  <si>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</si>
  <si>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</si>
  <si>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</si>
  <si>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</si>
  <si>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</si>
  <si>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</si>
  <si>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</si>
  <si>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</si>
  <si>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</si>
  <si>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</si>
  <si>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</si>
  <si>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</si>
  <si>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</si>
  <si>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</si>
  <si>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</si>
  <si>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</si>
  <si>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</si>
  <si>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</si>
  <si>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</si>
  <si>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</si>
  <si>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</si>
  <si>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</si>
  <si>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</si>
  <si>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</si>
  <si>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</si>
  <si>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</si>
  <si>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</si>
  <si>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</si>
  <si>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</si>
  <si>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</si>
  <si>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</si>
  <si>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</si>
  <si>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</si>
  <si>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</si>
  <si>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</si>
  <si>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</si>
  <si>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</si>
  <si>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</si>
  <si>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</si>
  <si>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</si>
  <si>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</si>
  <si>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</si>
  <si>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</si>
  <si>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</si>
  <si>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</si>
  <si>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</si>
  <si>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</si>
  <si>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</si>
  <si>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</si>
  <si>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</si>
  <si>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</si>
  <si>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</si>
  <si>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</si>
  <si>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</si>
  <si>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</si>
  <si>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</si>
  <si>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</si>
  <si>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</si>
  <si>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</si>
  <si>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</si>
  <si>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</si>
  <si>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</si>
  <si>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</si>
  <si>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</si>
  <si>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</si>
  <si>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</si>
  <si>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</si>
  <si>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</si>
  <si>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</si>
  <si>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</si>
  <si>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</si>
  <si>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</si>
  <si>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</si>
  <si>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</si>
  <si>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</si>
  <si>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</si>
  <si>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</si>
  <si>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</si>
  <si>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</si>
  <si>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</si>
  <si>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</si>
  <si>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</si>
  <si>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</si>
  <si>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</si>
  <si>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</si>
  <si>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</si>
  <si>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</si>
  <si>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</si>
  <si>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</si>
  <si>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</si>
  <si>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</si>
  <si>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</si>
  <si>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</si>
  <si>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</si>
  <si>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</si>
  <si>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</si>
  <si>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</si>
  <si>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</si>
  <si>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</si>
  <si>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</si>
  <si>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</si>
  <si>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</si>
  <si>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</si>
  <si>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</si>
  <si>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</si>
  <si>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</si>
  <si>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</si>
  <si>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</si>
  <si>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</si>
  <si>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</si>
  <si>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</si>
  <si>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</si>
  <si>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</si>
  <si>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</si>
  <si>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</si>
  <si>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</si>
  <si>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</si>
  <si>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</si>
  <si>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</si>
  <si>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</si>
  <si>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</si>
  <si>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</si>
  <si>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</si>
  <si>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</si>
  <si>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</si>
  <si>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</si>
  <si>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</si>
  <si>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</si>
  <si>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</si>
  <si>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</si>
  <si>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</si>
  <si>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</si>
  <si>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</si>
  <si>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</si>
  <si>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</si>
  <si>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</si>
  <si>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</si>
  <si>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</si>
  <si>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</si>
  <si>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</si>
  <si>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</si>
  <si>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</si>
  <si>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</si>
  <si>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</si>
  <si>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</si>
  <si>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</si>
  <si>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</si>
  <si>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</si>
  <si>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</si>
  <si>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</si>
  <si>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</si>
  <si>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</si>
  <si>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</si>
  <si>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</si>
  <si>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</si>
  <si>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</si>
  <si>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</si>
  <si>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</si>
  <si>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</si>
  <si>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</si>
  <si>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</si>
  <si>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</si>
  <si>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</si>
  <si>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</si>
  <si>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</si>
  <si>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</si>
  <si>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</si>
  <si>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</si>
  <si>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</si>
  <si>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</si>
  <si>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</si>
  <si>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</si>
  <si>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</si>
  <si>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</si>
  <si>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</si>
  <si>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</si>
  <si>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</si>
  <si>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</si>
  <si>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</si>
  <si>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</si>
  <si>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</si>
  <si>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</si>
  <si>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</si>
  <si>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</si>
  <si>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</si>
  <si>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</si>
  <si>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</si>
  <si>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</si>
  <si>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</si>
  <si>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</si>
  <si>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</si>
  <si>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</si>
  <si>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</si>
  <si>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</si>
  <si>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</si>
  <si>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</si>
  <si>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</si>
  <si>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</si>
  <si>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</si>
  <si>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</si>
  <si>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</si>
  <si>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</si>
  <si>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</si>
  <si>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</si>
  <si>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</si>
  <si>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</si>
  <si>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</si>
  <si>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</si>
  <si>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</si>
  <si>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</si>
  <si>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</si>
  <si>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</si>
  <si>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</si>
  <si>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</si>
  <si>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</si>
  <si>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</si>
  <si>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</si>
  <si>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</si>
  <si>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</si>
  <si>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</si>
  <si>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</si>
  <si>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</si>
  <si>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</si>
  <si>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</si>
  <si>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</si>
  <si>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</si>
  <si>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</si>
  <si>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</si>
  <si>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</si>
  <si>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</si>
  <si>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</si>
  <si>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</si>
  <si>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</si>
  <si>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</si>
  <si>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</si>
  <si>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</si>
  <si>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</si>
  <si>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</si>
  <si>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</si>
  <si>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</si>
  <si>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</si>
  <si>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</si>
  <si>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</si>
  <si>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</si>
  <si>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</si>
  <si>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</si>
  <si>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</si>
  <si>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</si>
  <si>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</si>
  <si>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</si>
  <si>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</si>
  <si>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</si>
  <si>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</si>
  <si>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</si>
  <si>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</si>
  <si>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</si>
  <si>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</si>
  <si>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</si>
  <si>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</si>
  <si>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</si>
  <si>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</si>
  <si>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</si>
  <si>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</si>
  <si>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</si>
  <si>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</si>
  <si>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</si>
  <si>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</si>
  <si>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</si>
  <si>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</si>
  <si>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</si>
  <si>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</si>
  <si>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</si>
  <si>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</si>
  <si>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</si>
  <si>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</si>
  <si>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</si>
  <si>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</si>
  <si>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</si>
  <si>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</si>
  <si>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</si>
  <si>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</si>
  <si>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</si>
  <si>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</si>
  <si>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</si>
  <si>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</si>
  <si>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</si>
  <si>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</si>
  <si>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</si>
  <si>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</si>
  <si>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</si>
  <si>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</si>
  <si>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</si>
  <si>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</si>
  <si>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</si>
  <si>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</si>
  <si>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</si>
  <si>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</si>
  <si>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</si>
  <si>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</si>
  <si>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</si>
  <si>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</si>
  <si>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</si>
  <si>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</si>
  <si>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</si>
  <si>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</si>
  <si>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</si>
  <si>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</si>
  <si>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</si>
  <si>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</si>
  <si>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</si>
  <si>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</si>
  <si>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</si>
  <si>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</si>
  <si>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</si>
  <si>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</si>
  <si>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</si>
  <si>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</si>
  <si>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</si>
  <si>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</si>
  <si>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</si>
  <si>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</si>
  <si>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</si>
  <si>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</si>
  <si>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</si>
  <si>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</si>
  <si>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</si>
  <si>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</si>
  <si>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</si>
  <si>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</si>
  <si>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</si>
  <si>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</si>
  <si>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</si>
  <si>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</si>
  <si>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</si>
  <si>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</si>
  <si>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</si>
  <si>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</si>
  <si>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</si>
  <si>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</si>
  <si>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</si>
  <si>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</si>
  <si>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</si>
  <si>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</si>
  <si>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</si>
  <si>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</si>
  <si>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</si>
  <si>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</si>
  <si>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</si>
  <si>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</si>
  <si>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</si>
  <si>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</si>
  <si>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</si>
  <si>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</si>
  <si>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</si>
  <si>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</si>
  <si>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</si>
  <si>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</si>
  <si>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</si>
  <si>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</si>
  <si>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</si>
  <si>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</si>
  <si>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</si>
  <si>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</si>
  <si>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</si>
  <si>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</si>
  <si>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</si>
  <si>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</si>
  <si>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</si>
  <si>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</si>
  <si>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</si>
  <si>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</si>
  <si>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</si>
  <si>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</si>
  <si>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</si>
  <si>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</si>
  <si>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</si>
  <si>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</si>
  <si>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</si>
  <si>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</si>
  <si>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</si>
  <si>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</si>
  <si>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</si>
  <si>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</si>
  <si>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</si>
  <si>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</si>
  <si>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</si>
  <si>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</si>
  <si>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</si>
  <si>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</si>
  <si>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</si>
  <si>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</si>
  <si>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</si>
  <si>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</si>
  <si>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</si>
  <si>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</si>
  <si>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</si>
  <si>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</si>
  <si>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</si>
  <si>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</si>
  <si>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</si>
  <si>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</si>
  <si>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</si>
  <si>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</si>
  <si>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</si>
  <si>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</si>
  <si>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</si>
  <si>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</si>
  <si>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</si>
  <si>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</si>
  <si>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</si>
  <si>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</si>
  <si>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</si>
  <si>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</si>
  <si>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</si>
  <si>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</si>
  <si>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</si>
  <si>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</si>
  <si>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</si>
  <si>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</si>
  <si>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</si>
  <si>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</si>
  <si>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</si>
  <si>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</si>
  <si>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</si>
  <si>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</si>
  <si>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</si>
  <si>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</si>
  <si>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</si>
  <si>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</si>
  <si>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</si>
  <si>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</si>
  <si>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</si>
  <si>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</si>
  <si>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</si>
  <si>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</si>
  <si>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</si>
  <si>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</si>
  <si>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</si>
  <si>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</si>
  <si>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</si>
  <si>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</si>
  <si>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</si>
  <si>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</si>
  <si>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</si>
  <si>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</si>
  <si>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</si>
  <si>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</si>
  <si>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</si>
  <si>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</si>
  <si>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</si>
  <si>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</si>
  <si>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</si>
  <si>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</si>
  <si>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</si>
  <si>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</si>
  <si>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</si>
  <si>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</si>
  <si>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</si>
  <si>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</si>
  <si>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</si>
  <si>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</si>
  <si>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</si>
  <si>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</si>
  <si>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</si>
  <si>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</si>
  <si>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</si>
  <si>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</si>
  <si>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</si>
  <si>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</si>
  <si>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</si>
  <si>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</si>
  <si>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</si>
  <si>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</si>
  <si>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</si>
  <si>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</si>
  <si>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</si>
  <si>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</si>
  <si>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</si>
  <si>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</si>
  <si>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</si>
  <si>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</si>
  <si>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</si>
  <si>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</si>
  <si>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</si>
  <si>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</si>
  <si>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</si>
  <si>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</si>
  <si>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</si>
  <si>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</si>
  <si>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</si>
  <si>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</si>
  <si>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</si>
  <si>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</si>
  <si>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</si>
  <si>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</si>
  <si>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</si>
  <si>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</si>
  <si>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</si>
  <si>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</si>
  <si>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</si>
  <si>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</si>
  <si>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</si>
  <si>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</si>
  <si>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</si>
  <si>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</si>
  <si>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</si>
  <si>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</si>
  <si>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</si>
  <si>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</si>
  <si>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</si>
  <si>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</si>
  <si>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</si>
  <si>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</si>
  <si>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</si>
  <si>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</si>
  <si>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</si>
  <si>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</si>
  <si>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</si>
  <si>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</si>
  <si>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</si>
  <si>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</si>
  <si>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</si>
  <si>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</si>
  <si>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</si>
  <si>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</si>
  <si>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</si>
  <si>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</si>
  <si>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</si>
  <si>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</si>
  <si>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</si>
  <si>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</si>
  <si>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</si>
  <si>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</si>
  <si>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</si>
  <si>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</si>
  <si>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</si>
  <si>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</si>
  <si>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</si>
  <si>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</si>
  <si>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</si>
  <si>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</si>
  <si>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</si>
  <si>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</si>
  <si>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</si>
  <si>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</si>
  <si>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</si>
  <si>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</si>
  <si>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</si>
  <si>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</si>
  <si>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</si>
  <si>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</si>
  <si>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</si>
  <si>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</si>
  <si>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</si>
  <si>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</si>
  <si>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</si>
  <si>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</si>
  <si>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</si>
  <si>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</si>
  <si>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</si>
  <si>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</si>
  <si>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</si>
  <si>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</si>
  <si>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</si>
  <si>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</si>
  <si>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</si>
  <si>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</si>
  <si>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</si>
  <si>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</si>
  <si>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</si>
  <si>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</si>
  <si>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</si>
  <si>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</si>
  <si>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</si>
  <si>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</si>
  <si>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</si>
  <si>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</si>
  <si>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</si>
  <si>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</si>
  <si>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</si>
  <si>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</si>
  <si>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</si>
  <si>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</si>
  <si>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</si>
  <si>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</si>
  <si>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</si>
  <si>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</si>
  <si>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</si>
  <si>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</si>
  <si>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</si>
  <si>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</si>
  <si>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</si>
  <si>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</si>
  <si>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</si>
  <si>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</si>
  <si>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</si>
  <si>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</si>
  <si>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</si>
  <si>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</si>
  <si>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</si>
  <si>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 Total</t>
  </si>
  <si>
    <t>food Total</t>
  </si>
  <si>
    <t>games Total</t>
  </si>
  <si>
    <t>music Total</t>
  </si>
  <si>
    <t>photography Total</t>
  </si>
  <si>
    <t>publishing Total</t>
  </si>
  <si>
    <t>technology Total</t>
  </si>
  <si>
    <t>theater Total</t>
  </si>
  <si>
    <t>(Multiple Items)</t>
  </si>
  <si>
    <t>avg. % funded</t>
  </si>
  <si>
    <t>var % funded</t>
  </si>
  <si>
    <t>% funded max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</si>
  <si>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</si>
  <si>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</si>
  <si>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</si>
  <si>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</si>
  <si>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</si>
  <si>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</si>
  <si>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</si>
  <si>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</si>
  <si>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</si>
  <si>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</si>
  <si>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</si>
  <si>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or equal to 50000</t>
  </si>
  <si>
    <t xml:space="preserve">Number Successful </t>
  </si>
  <si>
    <t>Number failed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</si>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</sst>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2100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C-4CA2-BD51-C5BE7FA5BBC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1C-4CA2-BD51-C5BE7FA5B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908191"/>
        <c:axId val="714962575"/>
      </c:lineChart>
      <c:catAx>
        <c:axId val="8789081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62575"/>
        <c:crosses val="autoZero"/>
        <c:auto val="1"/>
        <c:lblAlgn val="ctr"/>
        <c:lblOffset val="100"/>
        <c:noMultiLvlLbl val="0"/>
      </c:catAx>
      <c:valAx>
        <c:axId val="71496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0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69.848156182212591</c:v>
                </c:pt>
                <c:pt idx="1">
                  <c:v>65.403508771929822</c:v>
                </c:pt>
                <c:pt idx="2">
                  <c:v>52.770083102493068</c:v>
                </c:pt>
                <c:pt idx="3">
                  <c:v>46.53739612188366</c:v>
                </c:pt>
                <c:pt idx="4">
                  <c:v>45.853658536585371</c:v>
                </c:pt>
                <c:pt idx="5">
                  <c:v>41.61073825503356</c:v>
                </c:pt>
                <c:pt idx="6">
                  <c:v>39.855072463768117</c:v>
                </c:pt>
                <c:pt idx="7">
                  <c:v>38.095238095238095</c:v>
                </c:pt>
                <c:pt idx="8">
                  <c:v>47.272727272727273</c:v>
                </c:pt>
                <c:pt idx="9">
                  <c:v>47.727272727272727</c:v>
                </c:pt>
                <c:pt idx="10">
                  <c:v>28.571428571428569</c:v>
                </c:pt>
                <c:pt idx="11">
                  <c:v>19.153674832962139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5-4877-B64D-E27CACEC2B4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24.511930585683299</c:v>
                </c:pt>
                <c:pt idx="1">
                  <c:v>29.473684210526311</c:v>
                </c:pt>
                <c:pt idx="2">
                  <c:v>39.196675900277008</c:v>
                </c:pt>
                <c:pt idx="3">
                  <c:v>39.88919667590028</c:v>
                </c:pt>
                <c:pt idx="4">
                  <c:v>43.902439024390247</c:v>
                </c:pt>
                <c:pt idx="5">
                  <c:v>48.322147651006716</c:v>
                </c:pt>
                <c:pt idx="6">
                  <c:v>46.376811594202898</c:v>
                </c:pt>
                <c:pt idx="7">
                  <c:v>44.047619047619044</c:v>
                </c:pt>
                <c:pt idx="8">
                  <c:v>40</c:v>
                </c:pt>
                <c:pt idx="9">
                  <c:v>36.363636363636367</c:v>
                </c:pt>
                <c:pt idx="10">
                  <c:v>52.380952380952387</c:v>
                </c:pt>
                <c:pt idx="11">
                  <c:v>57.461024498886417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25-4877-B64D-E27CACEC2B4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3.9045553145336225</c:v>
                </c:pt>
                <c:pt idx="1">
                  <c:v>4.2105263157894735</c:v>
                </c:pt>
                <c:pt idx="2">
                  <c:v>7.202216066481995</c:v>
                </c:pt>
                <c:pt idx="3">
                  <c:v>11.080332409972298</c:v>
                </c:pt>
                <c:pt idx="4">
                  <c:v>8.2926829268292686</c:v>
                </c:pt>
                <c:pt idx="5">
                  <c:v>9.3959731543624159</c:v>
                </c:pt>
                <c:pt idx="6">
                  <c:v>13.043478260869565</c:v>
                </c:pt>
                <c:pt idx="7">
                  <c:v>15.476190476190476</c:v>
                </c:pt>
                <c:pt idx="8">
                  <c:v>12.727272727272727</c:v>
                </c:pt>
                <c:pt idx="9">
                  <c:v>13.636363636363635</c:v>
                </c:pt>
                <c:pt idx="10">
                  <c:v>19.047619047619047</c:v>
                </c:pt>
                <c:pt idx="11">
                  <c:v>22.271714922049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25-4877-B64D-E27CACEC2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849152"/>
        <c:axId val="1325582288"/>
      </c:lineChart>
      <c:catAx>
        <c:axId val="132484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582288"/>
        <c:crosses val="autoZero"/>
        <c:auto val="1"/>
        <c:lblAlgn val="ctr"/>
        <c:lblOffset val="100"/>
        <c:noMultiLvlLbl val="0"/>
      </c:catAx>
      <c:valAx>
        <c:axId val="132558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4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2</xdr:row>
      <xdr:rowOff>66675</xdr:rowOff>
    </xdr:from>
    <xdr:to>
      <xdr:col>15</xdr:col>
      <xdr:colOff>371475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687A7-1315-4F51-A611-3810E6E66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2</xdr:row>
      <xdr:rowOff>14287</xdr:rowOff>
    </xdr:from>
    <xdr:to>
      <xdr:col>16</xdr:col>
      <xdr:colOff>409575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9E910-9796-4F9B-BF6B-7A223CDE1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moxley" refreshedDate="43892.608320949075" createdVersion="6" refreshedVersion="6" minRefreshableVersion="3" recordCount="4114" xr:uid="{A0863F73-66BE-4723-8B58-51E3A2C010B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moxley" refreshedDate="43892.664212268515" createdVersion="6" refreshedVersion="6" minRefreshableVersion="3" recordCount="4114" xr:uid="{42817165-0384-40D3-AB6A-C694D1EE1A2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1CAE5-4DF0-476B-9788-E0A7654F4C7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Z7" firstHeaderRow="1" firstDataRow="3" firstDataCol="1" rowPageCount="1" colPageCount="1"/>
  <pivotFields count="18">
    <pivotField showAll="0"/>
    <pivotField showAll="0"/>
    <pivotField showAll="0"/>
    <pivotField numFmtId="49" showAll="0" countA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countA"/>
      </items>
    </pivotField>
    <pivotField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Items count="1">
    <i/>
  </rowItems>
  <colFields count="2">
    <field x="16"/>
    <field x="5"/>
  </colFields>
  <colItems count="25">
    <i>
      <x/>
      <x v="1"/>
    </i>
    <i r="1">
      <x v="3"/>
    </i>
    <i t="default">
      <x/>
    </i>
    <i>
      <x v="1"/>
      <x v="1"/>
    </i>
    <i r="1">
      <x v="3"/>
    </i>
    <i t="default">
      <x v="1"/>
    </i>
    <i>
      <x v="2"/>
      <x v="1"/>
    </i>
    <i r="1">
      <x v="3"/>
    </i>
    <i t="default">
      <x v="2"/>
    </i>
    <i>
      <x v="4"/>
      <x v="1"/>
    </i>
    <i r="1">
      <x v="3"/>
    </i>
    <i t="default">
      <x v="4"/>
    </i>
    <i>
      <x v="5"/>
      <x v="1"/>
    </i>
    <i r="1">
      <x v="3"/>
    </i>
    <i t="default">
      <x v="5"/>
    </i>
    <i>
      <x v="6"/>
      <x v="1"/>
    </i>
    <i r="1">
      <x v="3"/>
    </i>
    <i t="default">
      <x v="6"/>
    </i>
    <i>
      <x v="7"/>
      <x v="1"/>
    </i>
    <i r="1">
      <x v="3"/>
    </i>
    <i t="default">
      <x v="7"/>
    </i>
    <i>
      <x v="8"/>
      <x v="1"/>
    </i>
    <i r="1">
      <x v="3"/>
    </i>
    <i t="default"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3360A-09DB-415C-B18E-29618DAC11E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AM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17"/>
  </colFields>
  <col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3">
    <pageField fld="16" hier="-1"/>
    <pageField fld="6" hier="-1"/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7530B-AC66-467F-9557-F0E88058CDC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5" zoomScaleNormal="95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19.7109375" customWidth="1"/>
    <col min="17" max="17" width="22.42578125" customWidth="1"/>
    <col min="18" max="18" width="23.42578125" customWidth="1"/>
    <col min="19" max="19" width="26.42578125" customWidth="1"/>
    <col min="20" max="20" width="22.28515625" customWidth="1"/>
    <col min="22" max="22" width="1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2100EA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2795-1220-4910-95DA-783FD7CAC40D}">
  <sheetPr codeName="Sheet2"/>
  <dimension ref="A2:Z7"/>
  <sheetViews>
    <sheetView workbookViewId="0">
      <selection activeCell="C4" sqref="C4"/>
      <pivotSelection pane="bottomRight" click="1" r:id="rId1">
        <pivotArea field="5" type="button" dataOnly="0" labelOnly="1" outline="0" axis="axisCol" fieldPosition="1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17" bestFit="1" customWidth="1"/>
    <col min="5" max="5" width="7" bestFit="1" customWidth="1"/>
    <col min="6" max="7" width="10" bestFit="1" customWidth="1"/>
    <col min="8" max="8" width="8.5703125" bestFit="1" customWidth="1"/>
    <col min="9" max="9" width="10" bestFit="1" customWidth="1"/>
    <col min="10" max="10" width="11.5703125" bestFit="1" customWidth="1"/>
    <col min="11" max="11" width="8" bestFit="1" customWidth="1"/>
    <col min="12" max="12" width="10" bestFit="1" customWidth="1"/>
    <col min="13" max="13" width="11" bestFit="1" customWidth="1"/>
    <col min="14" max="14" width="14.140625" bestFit="1" customWidth="1"/>
    <col min="15" max="15" width="10" bestFit="1" customWidth="1"/>
    <col min="16" max="16" width="17.42578125" bestFit="1" customWidth="1"/>
    <col min="17" max="17" width="12.140625" bestFit="1" customWidth="1"/>
    <col min="18" max="18" width="10" bestFit="1" customWidth="1"/>
    <col min="19" max="19" width="15.28515625" bestFit="1" customWidth="1"/>
    <col min="20" max="20" width="12.7109375" bestFit="1" customWidth="1"/>
    <col min="21" max="21" width="10" bestFit="1" customWidth="1"/>
    <col min="22" max="22" width="15.85546875" bestFit="1" customWidth="1"/>
    <col min="23" max="23" width="9.42578125" bestFit="1" customWidth="1"/>
    <col min="24" max="24" width="10" bestFit="1" customWidth="1"/>
    <col min="25" max="25" width="12.42578125" bestFit="1" customWidth="1"/>
    <col min="26" max="26" width="11.28515625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38" width="3.42578125" bestFit="1" customWidth="1"/>
    <col min="39" max="39" width="3.28515625" bestFit="1" customWidth="1"/>
    <col min="40" max="40" width="3.42578125" bestFit="1" customWidth="1"/>
    <col min="41" max="41" width="3.5703125" bestFit="1" customWidth="1"/>
    <col min="42" max="43" width="2.5703125" bestFit="1" customWidth="1"/>
    <col min="44" max="44" width="3.28515625" bestFit="1" customWidth="1"/>
    <col min="45" max="45" width="3.85546875" bestFit="1" customWidth="1"/>
    <col min="46" max="46" width="3" bestFit="1" customWidth="1"/>
    <col min="47" max="47" width="3.42578125" bestFit="1" customWidth="1"/>
    <col min="48" max="48" width="17.42578125" bestFit="1" customWidth="1"/>
    <col min="49" max="49" width="12.140625" bestFit="1" customWidth="1"/>
    <col min="50" max="50" width="3.42578125" bestFit="1" customWidth="1"/>
    <col min="51" max="51" width="3.5703125" bestFit="1" customWidth="1"/>
    <col min="52" max="52" width="3.28515625" bestFit="1" customWidth="1"/>
    <col min="53" max="53" width="3.42578125" bestFit="1" customWidth="1"/>
    <col min="54" max="54" width="15.28515625" bestFit="1" customWidth="1"/>
    <col min="55" max="55" width="12.7109375" bestFit="1" customWidth="1"/>
    <col min="56" max="56" width="3.7109375" bestFit="1" customWidth="1"/>
    <col min="57" max="57" width="3.42578125" bestFit="1" customWidth="1"/>
    <col min="58" max="58" width="3.28515625" bestFit="1" customWidth="1"/>
    <col min="59" max="59" width="3.42578125" bestFit="1" customWidth="1"/>
    <col min="60" max="60" width="3" bestFit="1" customWidth="1"/>
    <col min="61" max="61" width="3.140625" bestFit="1" customWidth="1"/>
    <col min="62" max="62" width="3.5703125" bestFit="1" customWidth="1"/>
    <col min="63" max="64" width="2.5703125" bestFit="1" customWidth="1"/>
    <col min="65" max="65" width="3.28515625" bestFit="1" customWidth="1"/>
    <col min="66" max="66" width="3" bestFit="1" customWidth="1"/>
    <col min="67" max="67" width="4" bestFit="1" customWidth="1"/>
    <col min="68" max="68" width="15.85546875" bestFit="1" customWidth="1"/>
    <col min="69" max="69" width="9.42578125" bestFit="1" customWidth="1"/>
    <col min="70" max="71" width="3.42578125" bestFit="1" customWidth="1"/>
    <col min="72" max="72" width="3.28515625" bestFit="1" customWidth="1"/>
    <col min="73" max="73" width="3.42578125" bestFit="1" customWidth="1"/>
    <col min="74" max="74" width="3" bestFit="1" customWidth="1"/>
    <col min="75" max="75" width="3.140625" bestFit="1" customWidth="1"/>
    <col min="76" max="76" width="4" bestFit="1" customWidth="1"/>
    <col min="77" max="78" width="2.5703125" bestFit="1" customWidth="1"/>
    <col min="79" max="79" width="3.28515625" bestFit="1" customWidth="1"/>
    <col min="80" max="80" width="3.85546875" bestFit="1" customWidth="1"/>
    <col min="81" max="81" width="3.42578125" bestFit="1" customWidth="1"/>
    <col min="82" max="82" width="3" bestFit="1" customWidth="1"/>
    <col min="83" max="83" width="3.42578125" bestFit="1" customWidth="1"/>
    <col min="84" max="84" width="4" bestFit="1" customWidth="1"/>
    <col min="85" max="85" width="12.42578125" bestFit="1" customWidth="1"/>
    <col min="86" max="86" width="11.28515625" bestFit="1" customWidth="1"/>
    <col min="87" max="87" width="2.5703125" bestFit="1" customWidth="1"/>
    <col min="88" max="88" width="4" bestFit="1" customWidth="1"/>
    <col min="89" max="89" width="3.28515625" bestFit="1" customWidth="1"/>
    <col min="90" max="90" width="3.85546875" bestFit="1" customWidth="1"/>
    <col min="91" max="91" width="3.42578125" bestFit="1" customWidth="1"/>
    <col min="92" max="92" width="3" bestFit="1" customWidth="1"/>
    <col min="93" max="93" width="4" bestFit="1" customWidth="1"/>
    <col min="94" max="94" width="12.42578125" bestFit="1" customWidth="1"/>
    <col min="95" max="95" width="11.28515625" bestFit="1" customWidth="1"/>
  </cols>
  <sheetData>
    <row r="2" spans="1:26" x14ac:dyDescent="0.25">
      <c r="A2" s="6" t="s">
        <v>8223</v>
      </c>
      <c r="B2" t="s">
        <v>8224</v>
      </c>
    </row>
    <row r="4" spans="1:26" x14ac:dyDescent="0.25">
      <c r="B4" s="6" t="s">
        <v>8360</v>
      </c>
    </row>
    <row r="5" spans="1:26" x14ac:dyDescent="0.25">
      <c r="B5" t="s">
        <v>8310</v>
      </c>
      <c r="D5" t="s">
        <v>8380</v>
      </c>
      <c r="E5" t="s">
        <v>8336</v>
      </c>
      <c r="G5" t="s">
        <v>8381</v>
      </c>
      <c r="H5" t="s">
        <v>8333</v>
      </c>
      <c r="J5" t="s">
        <v>8382</v>
      </c>
      <c r="K5" t="s">
        <v>8325</v>
      </c>
      <c r="M5" t="s">
        <v>8383</v>
      </c>
      <c r="N5" t="s">
        <v>8338</v>
      </c>
      <c r="P5" t="s">
        <v>8384</v>
      </c>
      <c r="Q5" t="s">
        <v>8322</v>
      </c>
      <c r="S5" t="s">
        <v>8385</v>
      </c>
      <c r="T5" t="s">
        <v>8319</v>
      </c>
      <c r="V5" t="s">
        <v>8386</v>
      </c>
      <c r="W5" t="s">
        <v>8317</v>
      </c>
      <c r="Y5" t="s">
        <v>8387</v>
      </c>
      <c r="Z5" t="s">
        <v>8361</v>
      </c>
    </row>
    <row r="6" spans="1:26" x14ac:dyDescent="0.25">
      <c r="B6" t="s">
        <v>8221</v>
      </c>
      <c r="C6" t="s">
        <v>8219</v>
      </c>
      <c r="E6" t="s">
        <v>8221</v>
      </c>
      <c r="F6" t="s">
        <v>8219</v>
      </c>
      <c r="H6" t="s">
        <v>8221</v>
      </c>
      <c r="I6" t="s">
        <v>8219</v>
      </c>
      <c r="K6" t="s">
        <v>8221</v>
      </c>
      <c r="L6" t="s">
        <v>8219</v>
      </c>
      <c r="N6" t="s">
        <v>8221</v>
      </c>
      <c r="O6" t="s">
        <v>8219</v>
      </c>
      <c r="Q6" t="s">
        <v>8221</v>
      </c>
      <c r="R6" t="s">
        <v>8219</v>
      </c>
      <c r="T6" t="s">
        <v>8221</v>
      </c>
      <c r="U6" t="s">
        <v>8219</v>
      </c>
      <c r="W6" t="s">
        <v>8221</v>
      </c>
      <c r="X6" t="s">
        <v>8219</v>
      </c>
    </row>
    <row r="7" spans="1:26" x14ac:dyDescent="0.25">
      <c r="A7" t="s">
        <v>8362</v>
      </c>
      <c r="B7" s="7">
        <v>130</v>
      </c>
      <c r="C7" s="7">
        <v>261</v>
      </c>
      <c r="D7" s="7">
        <v>391</v>
      </c>
      <c r="E7" s="7">
        <v>115</v>
      </c>
      <c r="F7" s="7">
        <v>34</v>
      </c>
      <c r="G7" s="7">
        <v>149</v>
      </c>
      <c r="H7" s="7">
        <v>96</v>
      </c>
      <c r="I7" s="7">
        <v>52</v>
      </c>
      <c r="J7" s="7">
        <v>148</v>
      </c>
      <c r="K7" s="7">
        <v>110</v>
      </c>
      <c r="L7" s="7">
        <v>490</v>
      </c>
      <c r="M7" s="7">
        <v>600</v>
      </c>
      <c r="N7" s="7">
        <v>72</v>
      </c>
      <c r="O7" s="7">
        <v>62</v>
      </c>
      <c r="P7" s="7">
        <v>134</v>
      </c>
      <c r="Q7" s="7">
        <v>87</v>
      </c>
      <c r="R7" s="7">
        <v>69</v>
      </c>
      <c r="S7" s="7">
        <v>156</v>
      </c>
      <c r="T7" s="7">
        <v>138</v>
      </c>
      <c r="U7" s="7">
        <v>158</v>
      </c>
      <c r="V7" s="7">
        <v>296</v>
      </c>
      <c r="W7" s="7">
        <v>349</v>
      </c>
      <c r="X7" s="7">
        <v>525</v>
      </c>
      <c r="Y7" s="7">
        <v>874</v>
      </c>
      <c r="Z7" s="7">
        <v>2748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9FF57-4424-4E3D-A6B9-B481661CC2DC}">
  <sheetPr codeName="Sheet3"/>
  <dimension ref="A1:AM7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15.5703125" bestFit="1" customWidth="1"/>
    <col min="4" max="4" width="13.85546875" bestFit="1" customWidth="1"/>
    <col min="5" max="5" width="12.7109375" bestFit="1" customWidth="1"/>
    <col min="6" max="6" width="6.5703125" bestFit="1" customWidth="1"/>
    <col min="7" max="7" width="15.5703125" bestFit="1" customWidth="1"/>
    <col min="8" max="8" width="5.140625" bestFit="1" customWidth="1"/>
    <col min="9" max="9" width="6.7109375" bestFit="1" customWidth="1"/>
    <col min="10" max="10" width="10.85546875" bestFit="1" customWidth="1"/>
    <col min="11" max="11" width="7.85546875" bestFit="1" customWidth="1"/>
    <col min="12" max="12" width="9.42578125" bestFit="1" customWidth="1"/>
    <col min="13" max="13" width="9.7109375" bestFit="1" customWidth="1"/>
    <col min="14" max="14" width="4.28515625" bestFit="1" customWidth="1"/>
    <col min="15" max="15" width="12.42578125" bestFit="1" customWidth="1"/>
    <col min="16" max="16" width="6.140625" bestFit="1" customWidth="1"/>
    <col min="17" max="17" width="13.5703125" bestFit="1" customWidth="1"/>
    <col min="18" max="18" width="7.7109375" bestFit="1" customWidth="1"/>
    <col min="19" max="19" width="6.85546875" bestFit="1" customWidth="1"/>
    <col min="20" max="20" width="10.140625" bestFit="1" customWidth="1"/>
    <col min="21" max="21" width="7.28515625" bestFit="1" customWidth="1"/>
    <col min="22" max="22" width="11.5703125" bestFit="1" customWidth="1"/>
    <col min="23" max="23" width="6.5703125" bestFit="1" customWidth="1"/>
    <col min="24" max="24" width="5.5703125" bestFit="1" customWidth="1"/>
    <col min="25" max="25" width="4.42578125" bestFit="1" customWidth="1"/>
    <col min="26" max="26" width="15.85546875" bestFit="1" customWidth="1"/>
    <col min="27" max="27" width="11" bestFit="1" customWidth="1"/>
    <col min="28" max="28" width="4.7109375" bestFit="1" customWidth="1"/>
    <col min="29" max="29" width="6.42578125" bestFit="1" customWidth="1"/>
    <col min="30" max="30" width="11" bestFit="1" customWidth="1"/>
    <col min="31" max="31" width="16.85546875" bestFit="1" customWidth="1"/>
    <col min="32" max="32" width="6.85546875" bestFit="1" customWidth="1"/>
    <col min="33" max="33" width="14.85546875" bestFit="1" customWidth="1"/>
    <col min="34" max="34" width="9.85546875" bestFit="1" customWidth="1"/>
    <col min="35" max="35" width="11.42578125" bestFit="1" customWidth="1"/>
    <col min="36" max="36" width="12.140625" bestFit="1" customWidth="1"/>
    <col min="37" max="37" width="10.140625" bestFit="1" customWidth="1"/>
    <col min="38" max="38" width="4.85546875" bestFit="1" customWidth="1"/>
    <col min="39" max="39" width="11.28515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0" max="50" width="9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4" max="294" width="11.28515625" bestFit="1" customWidth="1"/>
  </cols>
  <sheetData>
    <row r="1" spans="1:39" x14ac:dyDescent="0.25">
      <c r="A1" s="6" t="s">
        <v>8308</v>
      </c>
      <c r="B1" t="s">
        <v>8363</v>
      </c>
    </row>
    <row r="2" spans="1:39" x14ac:dyDescent="0.25">
      <c r="A2" s="6" t="s">
        <v>8223</v>
      </c>
      <c r="B2" t="s">
        <v>8363</v>
      </c>
    </row>
    <row r="3" spans="1:39" x14ac:dyDescent="0.25">
      <c r="A3" s="6" t="s">
        <v>8218</v>
      </c>
      <c r="B3" t="s">
        <v>8388</v>
      </c>
    </row>
    <row r="5" spans="1:39" x14ac:dyDescent="0.25">
      <c r="B5" s="6" t="s">
        <v>8360</v>
      </c>
    </row>
    <row r="6" spans="1:39" x14ac:dyDescent="0.25">
      <c r="B6" t="s">
        <v>8316</v>
      </c>
      <c r="C6" t="s">
        <v>8358</v>
      </c>
      <c r="D6" t="s">
        <v>8354</v>
      </c>
      <c r="E6" t="s">
        <v>8315</v>
      </c>
      <c r="F6" t="s">
        <v>8314</v>
      </c>
      <c r="G6" t="s">
        <v>8330</v>
      </c>
      <c r="H6" t="s">
        <v>8347</v>
      </c>
      <c r="I6" t="s">
        <v>8324</v>
      </c>
      <c r="J6" t="s">
        <v>8337</v>
      </c>
      <c r="K6" t="s">
        <v>8348</v>
      </c>
      <c r="L6" t="s">
        <v>8349</v>
      </c>
      <c r="M6" t="s">
        <v>8329</v>
      </c>
      <c r="N6" t="s">
        <v>8328</v>
      </c>
      <c r="O6" t="s">
        <v>8356</v>
      </c>
      <c r="P6" t="s">
        <v>8327</v>
      </c>
      <c r="Q6" t="s">
        <v>8335</v>
      </c>
      <c r="R6" t="s">
        <v>8359</v>
      </c>
      <c r="S6" t="s">
        <v>8343</v>
      </c>
      <c r="T6" t="s">
        <v>8323</v>
      </c>
      <c r="U6" t="s">
        <v>8350</v>
      </c>
      <c r="V6" t="s">
        <v>8339</v>
      </c>
      <c r="W6" t="s">
        <v>8345</v>
      </c>
      <c r="X6" t="s">
        <v>8318</v>
      </c>
      <c r="Y6" t="s">
        <v>8346</v>
      </c>
      <c r="Z6" t="s">
        <v>8342</v>
      </c>
      <c r="AA6" t="s">
        <v>8353</v>
      </c>
      <c r="AB6" t="s">
        <v>8326</v>
      </c>
      <c r="AC6" t="s">
        <v>8312</v>
      </c>
      <c r="AD6" t="s">
        <v>8352</v>
      </c>
      <c r="AE6" t="s">
        <v>8355</v>
      </c>
      <c r="AF6" t="s">
        <v>8357</v>
      </c>
      <c r="AG6" t="s">
        <v>8351</v>
      </c>
      <c r="AH6" t="s">
        <v>8311</v>
      </c>
      <c r="AI6" t="s">
        <v>8341</v>
      </c>
      <c r="AJ6" t="s">
        <v>8334</v>
      </c>
      <c r="AK6" t="s">
        <v>8321</v>
      </c>
      <c r="AL6" t="s">
        <v>8320</v>
      </c>
      <c r="AM6" t="s">
        <v>8361</v>
      </c>
    </row>
    <row r="7" spans="1:39" x14ac:dyDescent="0.25">
      <c r="A7" t="s">
        <v>8362</v>
      </c>
      <c r="B7" s="7">
        <v>100</v>
      </c>
      <c r="C7" s="7">
        <v>40</v>
      </c>
      <c r="D7" s="7">
        <v>40</v>
      </c>
      <c r="E7" s="7">
        <v>180</v>
      </c>
      <c r="F7" s="7">
        <v>80</v>
      </c>
      <c r="G7" s="7">
        <v>40</v>
      </c>
      <c r="H7" s="7">
        <v>40</v>
      </c>
      <c r="I7" s="7">
        <v>40</v>
      </c>
      <c r="J7" s="7">
        <v>120</v>
      </c>
      <c r="K7" s="7">
        <v>20</v>
      </c>
      <c r="L7" s="7">
        <v>140</v>
      </c>
      <c r="M7" s="7">
        <v>160</v>
      </c>
      <c r="N7" s="7">
        <v>60</v>
      </c>
      <c r="O7" s="7">
        <v>20</v>
      </c>
      <c r="P7" s="7">
        <v>20</v>
      </c>
      <c r="Q7" s="7">
        <v>40</v>
      </c>
      <c r="R7" s="7">
        <v>120</v>
      </c>
      <c r="S7" s="7">
        <v>20</v>
      </c>
      <c r="T7" s="7">
        <v>60</v>
      </c>
      <c r="U7" s="7">
        <v>20</v>
      </c>
      <c r="V7" s="7">
        <v>160</v>
      </c>
      <c r="W7" s="7">
        <v>20</v>
      </c>
      <c r="X7" s="7">
        <v>1047</v>
      </c>
      <c r="Y7" s="7">
        <v>40</v>
      </c>
      <c r="Z7" s="7">
        <v>20</v>
      </c>
      <c r="AA7" s="7">
        <v>20</v>
      </c>
      <c r="AB7" s="7">
        <v>260</v>
      </c>
      <c r="AC7" s="7">
        <v>60</v>
      </c>
      <c r="AD7" s="7">
        <v>34</v>
      </c>
      <c r="AE7" s="7">
        <v>42</v>
      </c>
      <c r="AF7" s="7">
        <v>165</v>
      </c>
      <c r="AG7" s="7">
        <v>80</v>
      </c>
      <c r="AH7" s="7">
        <v>60</v>
      </c>
      <c r="AI7" s="7">
        <v>47</v>
      </c>
      <c r="AJ7" s="7">
        <v>100</v>
      </c>
      <c r="AK7" s="7">
        <v>140</v>
      </c>
      <c r="AL7" s="7">
        <v>60</v>
      </c>
      <c r="AM7" s="7">
        <v>3715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44A4-DB2D-4F1E-B408-8D6B08ADEA9D}">
  <sheetPr codeName="Sheet4"/>
  <dimension ref="A1:G18"/>
  <sheetViews>
    <sheetView workbookViewId="0">
      <selection activeCell="G3" sqref="G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3.7109375" customWidth="1"/>
    <col min="6" max="6" width="11.28515625" bestFit="1" customWidth="1"/>
  </cols>
  <sheetData>
    <row r="1" spans="1:7" x14ac:dyDescent="0.25">
      <c r="A1" s="6" t="s">
        <v>8308</v>
      </c>
      <c r="B1" t="s">
        <v>8333</v>
      </c>
      <c r="E1" t="s">
        <v>8389</v>
      </c>
      <c r="F1" t="s">
        <v>8390</v>
      </c>
      <c r="G1" t="s">
        <v>8391</v>
      </c>
    </row>
    <row r="2" spans="1:7" x14ac:dyDescent="0.25">
      <c r="A2" s="6" t="s">
        <v>8379</v>
      </c>
      <c r="B2" t="s">
        <v>8363</v>
      </c>
      <c r="E2">
        <f>AVERAGE(Percent_funded)</f>
        <v>946.40573409042179</v>
      </c>
      <c r="F2">
        <f>_xlfn.VAR.P(Percent_funded)</f>
        <v>1473905035.8611763</v>
      </c>
      <c r="G2">
        <f>MAX(Percent_funded)</f>
        <v>2260300</v>
      </c>
    </row>
    <row r="4" spans="1:7" x14ac:dyDescent="0.25">
      <c r="A4" s="6" t="s">
        <v>8362</v>
      </c>
      <c r="B4" s="6" t="s">
        <v>8360</v>
      </c>
    </row>
    <row r="5" spans="1:7" x14ac:dyDescent="0.25">
      <c r="A5" s="6" t="s">
        <v>8364</v>
      </c>
      <c r="B5" t="s">
        <v>8221</v>
      </c>
      <c r="C5" t="s">
        <v>8219</v>
      </c>
      <c r="D5" t="s">
        <v>8361</v>
      </c>
    </row>
    <row r="6" spans="1:7" x14ac:dyDescent="0.25">
      <c r="A6" s="9" t="s">
        <v>8373</v>
      </c>
      <c r="B6" s="7">
        <v>15</v>
      </c>
      <c r="C6" s="7">
        <v>13</v>
      </c>
      <c r="D6" s="7">
        <v>28</v>
      </c>
    </row>
    <row r="7" spans="1:7" x14ac:dyDescent="0.25">
      <c r="A7" s="9" t="s">
        <v>8374</v>
      </c>
      <c r="B7" s="7">
        <v>9</v>
      </c>
      <c r="C7" s="7">
        <v>11</v>
      </c>
      <c r="D7" s="7">
        <v>20</v>
      </c>
    </row>
    <row r="8" spans="1:7" x14ac:dyDescent="0.25">
      <c r="A8" s="9" t="s">
        <v>8375</v>
      </c>
      <c r="B8" s="7">
        <v>15</v>
      </c>
      <c r="C8" s="7">
        <v>6</v>
      </c>
      <c r="D8" s="7">
        <v>21</v>
      </c>
    </row>
    <row r="9" spans="1:7" x14ac:dyDescent="0.25">
      <c r="A9" s="9" t="s">
        <v>8376</v>
      </c>
      <c r="B9" s="7">
        <v>9</v>
      </c>
      <c r="C9" s="7">
        <v>3</v>
      </c>
      <c r="D9" s="7">
        <v>12</v>
      </c>
    </row>
    <row r="10" spans="1:7" x14ac:dyDescent="0.25">
      <c r="A10" s="9" t="s">
        <v>8367</v>
      </c>
      <c r="B10" s="7">
        <v>11</v>
      </c>
      <c r="C10" s="7">
        <v>5</v>
      </c>
      <c r="D10" s="7">
        <v>16</v>
      </c>
    </row>
    <row r="11" spans="1:7" x14ac:dyDescent="0.25">
      <c r="A11" s="9" t="s">
        <v>8377</v>
      </c>
      <c r="B11" s="7">
        <v>15</v>
      </c>
      <c r="C11" s="7">
        <v>2</v>
      </c>
      <c r="D11" s="7">
        <v>17</v>
      </c>
    </row>
    <row r="12" spans="1:7" x14ac:dyDescent="0.25">
      <c r="A12" s="9" t="s">
        <v>8368</v>
      </c>
      <c r="B12" s="7">
        <v>14</v>
      </c>
      <c r="C12" s="7">
        <v>6</v>
      </c>
      <c r="D12" s="7">
        <v>20</v>
      </c>
    </row>
    <row r="13" spans="1:7" x14ac:dyDescent="0.25">
      <c r="A13" s="9" t="s">
        <v>8369</v>
      </c>
      <c r="B13" s="7">
        <v>2</v>
      </c>
      <c r="C13" s="7">
        <v>5</v>
      </c>
      <c r="D13" s="7">
        <v>7</v>
      </c>
    </row>
    <row r="14" spans="1:7" x14ac:dyDescent="0.25">
      <c r="A14" s="9" t="s">
        <v>8370</v>
      </c>
      <c r="B14" s="7">
        <v>9</v>
      </c>
      <c r="C14" s="7">
        <v>2</v>
      </c>
      <c r="D14" s="7">
        <v>11</v>
      </c>
    </row>
    <row r="15" spans="1:7" x14ac:dyDescent="0.25">
      <c r="A15" s="9" t="s">
        <v>8371</v>
      </c>
      <c r="B15" s="7">
        <v>14</v>
      </c>
      <c r="C15" s="7">
        <v>10</v>
      </c>
      <c r="D15" s="7">
        <v>24</v>
      </c>
    </row>
    <row r="16" spans="1:7" x14ac:dyDescent="0.25">
      <c r="A16" s="9" t="s">
        <v>8372</v>
      </c>
      <c r="B16" s="7">
        <v>12</v>
      </c>
      <c r="C16" s="7">
        <v>13</v>
      </c>
      <c r="D16" s="7">
        <v>25</v>
      </c>
    </row>
    <row r="17" spans="1:4" x14ac:dyDescent="0.25">
      <c r="A17" s="9" t="s">
        <v>8378</v>
      </c>
      <c r="B17" s="7">
        <v>15</v>
      </c>
      <c r="C17" s="7">
        <v>4</v>
      </c>
      <c r="D17" s="7">
        <v>19</v>
      </c>
    </row>
    <row r="18" spans="1:4" x14ac:dyDescent="0.25">
      <c r="A18" s="9" t="s">
        <v>8361</v>
      </c>
      <c r="B18" s="7">
        <v>140</v>
      </c>
      <c r="C18" s="7">
        <v>80</v>
      </c>
      <c r="D18" s="7">
        <v>220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F4929-530D-432C-BBD8-2A23104FE899}">
  <sheetPr codeName="Sheet5"/>
  <dimension ref="A1:H13"/>
  <sheetViews>
    <sheetView tabSelected="1" workbookViewId="0">
      <selection activeCell="T13" sqref="T13"/>
    </sheetView>
  </sheetViews>
  <sheetFormatPr defaultRowHeight="15" x14ac:dyDescent="0.25"/>
  <cols>
    <col min="1" max="1" width="29.140625" customWidth="1"/>
    <col min="2" max="2" width="20.7109375" customWidth="1"/>
    <col min="5" max="5" width="15.85546875" customWidth="1"/>
    <col min="6" max="6" width="14.42578125" customWidth="1"/>
    <col min="7" max="7" width="19.42578125" customWidth="1"/>
    <col min="8" max="8" width="20" customWidth="1"/>
  </cols>
  <sheetData>
    <row r="1" spans="1:8" x14ac:dyDescent="0.25">
      <c r="A1" t="s">
        <v>8216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5">
      <c r="A2" t="s">
        <v>8392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COUNTIFS(Goal, "&lt;1000")</f>
        <v>461</v>
      </c>
      <c r="F2">
        <f>(B2/E2)*100</f>
        <v>69.848156182212591</v>
      </c>
      <c r="G2">
        <f>(C2/E2)*100</f>
        <v>24.511930585683299</v>
      </c>
      <c r="H2">
        <f>(D2/E2)*100</f>
        <v>3.9045553145336225</v>
      </c>
    </row>
    <row r="3" spans="1:8" x14ac:dyDescent="0.25">
      <c r="A3" t="s">
        <v>8393</v>
      </c>
      <c r="B3">
        <f>COUNTIFS(Goal, "&gt;=1000", Goal, "&lt;=4999", State, "=Successful")</f>
        <v>932</v>
      </c>
      <c r="C3">
        <f>COUNTIFS(Goal, "&gt;=1000", Goal, "&lt;=4999", State, "=failed")</f>
        <v>420</v>
      </c>
      <c r="D3">
        <f>COUNTIFS(Goal, "&gt;=1000", Goal, "&lt;=4999", State, "=canceled")</f>
        <v>60</v>
      </c>
      <c r="E3">
        <f>COUNTIFS(Goal, "&gt;=1000", Goal, "&lt;=4999")</f>
        <v>1425</v>
      </c>
      <c r="F3">
        <f t="shared" ref="F3:F13" si="0">(B3/E3)*100</f>
        <v>65.403508771929822</v>
      </c>
      <c r="G3">
        <f t="shared" ref="G3:G13" si="1">(C3/E3)*100</f>
        <v>29.473684210526311</v>
      </c>
      <c r="H3">
        <f t="shared" ref="H3:H13" si="2">(D3/E3)*100</f>
        <v>4.2105263157894735</v>
      </c>
    </row>
    <row r="4" spans="1:8" x14ac:dyDescent="0.25">
      <c r="A4" t="s">
        <v>8394</v>
      </c>
      <c r="B4">
        <f>COUNTIFS(Goal, "&gt;=5000", Goal, "&lt;=9999", State, "=Successful")</f>
        <v>381</v>
      </c>
      <c r="C4">
        <f>COUNTIFS(Goal, "&gt;=5000", Goal, "&lt;=9999", State, "=failed")</f>
        <v>283</v>
      </c>
      <c r="D4">
        <f>COUNTIFS(Goal, "&gt;=5000", Goal, "&lt;=9999", State, "=canceled")</f>
        <v>52</v>
      </c>
      <c r="E4">
        <f>COUNTIFS(Goal, "&gt;=5000", Goal, "&lt;=9999")</f>
        <v>722</v>
      </c>
      <c r="F4">
        <f t="shared" si="0"/>
        <v>52.770083102493068</v>
      </c>
      <c r="G4">
        <f t="shared" si="1"/>
        <v>39.196675900277008</v>
      </c>
      <c r="H4">
        <f t="shared" si="2"/>
        <v>7.202216066481995</v>
      </c>
    </row>
    <row r="5" spans="1:8" x14ac:dyDescent="0.25">
      <c r="A5" t="s">
        <v>8395</v>
      </c>
      <c r="B5">
        <f>COUNTIFS(Goal, "&gt;=10000", Goal, "&lt;=14999", State, "=Successful")</f>
        <v>168</v>
      </c>
      <c r="C5">
        <f>COUNTIFS(Goal, "&gt;=10000", Goal, "&lt;=14999", State, "=failed")</f>
        <v>144</v>
      </c>
      <c r="D5">
        <f>COUNTIFS(Goal, "&gt;=10000", Goal, "&lt;=14999", State, "=canceled")</f>
        <v>40</v>
      </c>
      <c r="E5">
        <f>COUNTIFS(Goal, "&gt;=10000", Goal, "&lt;=14999")</f>
        <v>361</v>
      </c>
      <c r="F5">
        <f t="shared" si="0"/>
        <v>46.53739612188366</v>
      </c>
      <c r="G5">
        <f t="shared" si="1"/>
        <v>39.88919667590028</v>
      </c>
      <c r="H5">
        <f t="shared" si="2"/>
        <v>11.080332409972298</v>
      </c>
    </row>
    <row r="6" spans="1:8" x14ac:dyDescent="0.25">
      <c r="A6" t="s">
        <v>8396</v>
      </c>
      <c r="B6">
        <f>COUNTIFS(Goal, "&gt;=15000",Goal, "&lt;=19999", State, "=Successful")</f>
        <v>94</v>
      </c>
      <c r="C6">
        <f>COUNTIFS(Goal, "&gt;=15000",Goal, "&lt;=19999", State, "=failed")</f>
        <v>90</v>
      </c>
      <c r="D6">
        <f>COUNTIFS(Goal, "&gt;=15000",Goal, "&lt;=19999", State, "=canceled")</f>
        <v>17</v>
      </c>
      <c r="E6">
        <f>COUNTIFS(Goal, "&gt;=15000",Goal, "&lt;=19999")</f>
        <v>205</v>
      </c>
      <c r="F6">
        <f t="shared" si="0"/>
        <v>45.853658536585371</v>
      </c>
      <c r="G6">
        <f t="shared" si="1"/>
        <v>43.902439024390247</v>
      </c>
      <c r="H6">
        <f t="shared" si="2"/>
        <v>8.2926829268292686</v>
      </c>
    </row>
    <row r="7" spans="1:8" x14ac:dyDescent="0.25">
      <c r="A7" t="s">
        <v>8397</v>
      </c>
      <c r="B7">
        <f>COUNTIFS(Goal, "&gt;=20000", Goal, "&lt;=24999", State, "=Successful")</f>
        <v>62</v>
      </c>
      <c r="C7">
        <f>COUNTIFS(Goal, "&gt;=20000", Goal, "&lt;=24999", State, "=failed")</f>
        <v>72</v>
      </c>
      <c r="D7">
        <f>COUNTIFS(Goal, "&gt;=20000", Goal, "&lt;=24999", State, "=canceled")</f>
        <v>14</v>
      </c>
      <c r="E7">
        <f>COUNTIFS(Goal, "&gt;=20000", Goal, "&lt;=24999")</f>
        <v>149</v>
      </c>
      <c r="F7">
        <f t="shared" si="0"/>
        <v>41.61073825503356</v>
      </c>
      <c r="G7">
        <f t="shared" si="1"/>
        <v>48.322147651006716</v>
      </c>
      <c r="H7">
        <f t="shared" si="2"/>
        <v>9.3959731543624159</v>
      </c>
    </row>
    <row r="8" spans="1:8" x14ac:dyDescent="0.25">
      <c r="A8" t="s">
        <v>8398</v>
      </c>
      <c r="B8">
        <f>COUNTIFS(Goal, "&gt;=25000", Goal, "&lt;=29999", State, "=Successful")</f>
        <v>55</v>
      </c>
      <c r="C8">
        <f>COUNTIFS(Goal, "&gt;=25000", Goal, "&lt;=29999", State, "=failed")</f>
        <v>64</v>
      </c>
      <c r="D8">
        <f>COUNTIFS(Goal, "&gt;=25000", Goal, "&lt;=29999", State, "=canceled")</f>
        <v>18</v>
      </c>
      <c r="E8">
        <f>COUNTIFS(Goal, "&gt;=25000", Goal, "&lt;=29999")</f>
        <v>138</v>
      </c>
      <c r="F8">
        <f t="shared" si="0"/>
        <v>39.855072463768117</v>
      </c>
      <c r="G8">
        <f t="shared" si="1"/>
        <v>46.376811594202898</v>
      </c>
      <c r="H8">
        <f t="shared" si="2"/>
        <v>13.043478260869565</v>
      </c>
    </row>
    <row r="9" spans="1:8" x14ac:dyDescent="0.25">
      <c r="A9" t="s">
        <v>8399</v>
      </c>
      <c r="B9">
        <f>COUNTIFS(Goal, "&gt;=30000", Goal, "&lt;=34999", State, "=Successful")</f>
        <v>32</v>
      </c>
      <c r="C9">
        <f>COUNTIFS(Goal, "&gt;=30000", Goal, "&lt;=34999", State, "=failed")</f>
        <v>37</v>
      </c>
      <c r="D9">
        <f>COUNTIFS(Goal, "&gt;=30000", Goal, "&lt;=34999", State, "=canceled")</f>
        <v>13</v>
      </c>
      <c r="E9">
        <f>COUNTIFS(Goal, "&gt;=30000", Goal, "&lt;=34999")</f>
        <v>84</v>
      </c>
      <c r="F9">
        <f t="shared" si="0"/>
        <v>38.095238095238095</v>
      </c>
      <c r="G9">
        <f t="shared" si="1"/>
        <v>44.047619047619044</v>
      </c>
      <c r="H9">
        <f t="shared" si="2"/>
        <v>15.476190476190476</v>
      </c>
    </row>
    <row r="10" spans="1:8" x14ac:dyDescent="0.25">
      <c r="A10" t="s">
        <v>8400</v>
      </c>
      <c r="B10">
        <f>COUNTIFS(Goal, "&gt;=35000", Goal, "&lt;=39999", State, "=Successful")</f>
        <v>26</v>
      </c>
      <c r="C10">
        <f>COUNTIFS(Goal, "&gt;=35000", Goal, "&lt;=39999", State, "=failed")</f>
        <v>22</v>
      </c>
      <c r="D10">
        <f>COUNTIFS(Goal, "&gt;=35000", Goal, "&lt;=39999", State, "=canceled")</f>
        <v>7</v>
      </c>
      <c r="E10">
        <f>COUNTIFS(Goal, "&gt;=35000", Goal, "&lt;=39999")</f>
        <v>55</v>
      </c>
      <c r="F10">
        <f t="shared" si="0"/>
        <v>47.272727272727273</v>
      </c>
      <c r="G10">
        <f t="shared" si="1"/>
        <v>40</v>
      </c>
      <c r="H10">
        <f t="shared" si="2"/>
        <v>12.727272727272727</v>
      </c>
    </row>
    <row r="11" spans="1:8" x14ac:dyDescent="0.25">
      <c r="A11" t="s">
        <v>8401</v>
      </c>
      <c r="B11">
        <f>COUNTIFS(Goal,"&gt;=40000", Goal, "&lt;=44999", State, "=Successful")</f>
        <v>21</v>
      </c>
      <c r="C11">
        <f>COUNTIFS(Goal,"&gt;=40000", Goal, "&lt;=44999", State, "=failed")</f>
        <v>16</v>
      </c>
      <c r="D11">
        <f>COUNTIFS(Goal,"&gt;=40000", Goal, "&lt;=44999", State, "=canceled")</f>
        <v>6</v>
      </c>
      <c r="E11">
        <f>COUNTIFS(Goal,"&gt;=40000", Goal, "&lt;=44999")</f>
        <v>44</v>
      </c>
      <c r="F11">
        <f t="shared" si="0"/>
        <v>47.727272727272727</v>
      </c>
      <c r="G11">
        <f t="shared" si="1"/>
        <v>36.363636363636367</v>
      </c>
      <c r="H11">
        <f t="shared" si="2"/>
        <v>13.636363636363635</v>
      </c>
    </row>
    <row r="12" spans="1:8" x14ac:dyDescent="0.25">
      <c r="A12" t="s">
        <v>8402</v>
      </c>
      <c r="B12">
        <f>COUNTIFS(Goal, "&gt;=45000", Goal, "&lt;=49999", State, "=Successful")</f>
        <v>6</v>
      </c>
      <c r="C12">
        <f>COUNTIFS(Goal, "&gt;=45000", Goal, "&lt;=49999", State, "=failed")</f>
        <v>11</v>
      </c>
      <c r="D12">
        <f>COUNTIFS(Goal, "&gt;=45000", Goal, "&lt;=49999", State, "=canceled")</f>
        <v>4</v>
      </c>
      <c r="E12">
        <f>COUNTIFS(Goal, "&gt;=45000", Goal, "&lt;=49999")</f>
        <v>21</v>
      </c>
      <c r="F12">
        <f t="shared" si="0"/>
        <v>28.571428571428569</v>
      </c>
      <c r="G12">
        <f t="shared" si="1"/>
        <v>52.380952380952387</v>
      </c>
      <c r="H12">
        <f t="shared" si="2"/>
        <v>19.047619047619047</v>
      </c>
    </row>
    <row r="13" spans="1:8" x14ac:dyDescent="0.25">
      <c r="A13" t="s">
        <v>8403</v>
      </c>
      <c r="B13">
        <f>COUNTIFS(Goal, "&gt;=50000", State, "=Successful")</f>
        <v>86</v>
      </c>
      <c r="C13">
        <f>COUNTIFS(Goal,"&gt;=50000",State,"=failed")</f>
        <v>258</v>
      </c>
      <c r="D13">
        <f>COUNTIFS(Goal,"&gt;=50000",State,"=canceled")</f>
        <v>100</v>
      </c>
      <c r="E13">
        <f>COUNTIFS(Goal,"&gt;=50000")</f>
        <v>449</v>
      </c>
      <c r="F13">
        <f t="shared" si="0"/>
        <v>19.153674832962139</v>
      </c>
      <c r="G13">
        <f t="shared" si="1"/>
        <v>57.461024498886417</v>
      </c>
      <c r="H13">
        <f t="shared" si="2"/>
        <v>22.271714922049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Category pivot</vt:lpstr>
      <vt:lpstr>sub-category pivot</vt:lpstr>
      <vt:lpstr>Launch Date Outcomes</vt:lpstr>
      <vt:lpstr>Bonus</vt:lpstr>
      <vt:lpstr>Goal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yuta moxley</cp:lastModifiedBy>
  <dcterms:created xsi:type="dcterms:W3CDTF">2017-04-20T15:17:24Z</dcterms:created>
  <dcterms:modified xsi:type="dcterms:W3CDTF">2020-03-07T15:07:49Z</dcterms:modified>
</cp:coreProperties>
</file>