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03EB9452-10E1-4A64-AD8B-FCF0EBA1A114}" xr6:coauthVersionLast="47" xr6:coauthVersionMax="47" xr10:uidLastSave="{00000000-0000-0000-0000-000000000000}"/>
  <bookViews>
    <workbookView xWindow="-51720" yWindow="-120" windowWidth="51840" windowHeight="21120" activeTab="1" xr2:uid="{AE04E6E4-A652-4DFB-A34B-BE287D9B2752}"/>
  </bookViews>
  <sheets>
    <sheet name="Main" sheetId="1" r:id="rId1"/>
    <sheet name="Mode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B38" i="2" l="1"/>
  <c r="AB37" i="2"/>
  <c r="AB36" i="2"/>
  <c r="AB41" i="2" s="1"/>
  <c r="AB26" i="2"/>
  <c r="AB32" i="2" s="1"/>
  <c r="Z51" i="2"/>
  <c r="Z50" i="2"/>
  <c r="Z52" i="2"/>
  <c r="AA52" i="2"/>
  <c r="AA51" i="2"/>
  <c r="AA50" i="2"/>
  <c r="AB51" i="2"/>
  <c r="AB50" i="2"/>
  <c r="AB52" i="2" s="1"/>
  <c r="AB6" i="2"/>
  <c r="AB5" i="2"/>
  <c r="U7" i="2"/>
  <c r="U23" i="2"/>
  <c r="AB7" i="2"/>
  <c r="AA7" i="2"/>
  <c r="AB66" i="2"/>
  <c r="AA66" i="2"/>
  <c r="AB3" i="2"/>
  <c r="AA3" i="2"/>
  <c r="O61" i="2"/>
  <c r="O55" i="2"/>
  <c r="O56" i="2" s="1"/>
  <c r="O51" i="2"/>
  <c r="O52" i="2" s="1"/>
  <c r="O17" i="2"/>
  <c r="O38" i="2"/>
  <c r="O37" i="2"/>
  <c r="O36" i="2"/>
  <c r="O41" i="2" s="1"/>
  <c r="O26" i="2"/>
  <c r="O32" i="2" s="1"/>
  <c r="P36" i="2"/>
  <c r="P38" i="2"/>
  <c r="P37" i="2"/>
  <c r="P26" i="2"/>
  <c r="P32" i="2"/>
  <c r="L15" i="2"/>
  <c r="L9" i="2"/>
  <c r="P23" i="2"/>
  <c r="P17" i="2"/>
  <c r="P15" i="2"/>
  <c r="P13" i="2"/>
  <c r="P9" i="2"/>
  <c r="P14" i="2" s="1"/>
  <c r="Q38" i="2"/>
  <c r="Q37" i="2"/>
  <c r="Q36" i="2"/>
  <c r="Q41" i="2" s="1"/>
  <c r="Q26" i="2"/>
  <c r="Q32" i="2" s="1"/>
  <c r="Q17" i="2"/>
  <c r="Q15" i="2"/>
  <c r="Q13" i="2"/>
  <c r="Q9" i="2"/>
  <c r="Q24" i="2" s="1"/>
  <c r="R38" i="2"/>
  <c r="R37" i="2"/>
  <c r="R36" i="2"/>
  <c r="R41" i="2"/>
  <c r="R26" i="2"/>
  <c r="R32" i="2" s="1"/>
  <c r="N17" i="2"/>
  <c r="N15" i="2"/>
  <c r="N9" i="2"/>
  <c r="R17" i="2"/>
  <c r="R15" i="2"/>
  <c r="R13" i="2"/>
  <c r="R7" i="2"/>
  <c r="R9" i="2" s="1"/>
  <c r="R24" i="2" s="1"/>
  <c r="T24" i="2"/>
  <c r="T23" i="2"/>
  <c r="S61" i="2"/>
  <c r="S55" i="2"/>
  <c r="S56" i="2" s="1"/>
  <c r="S51" i="2"/>
  <c r="S52" i="2" s="1"/>
  <c r="S38" i="2"/>
  <c r="S37" i="2"/>
  <c r="S36" i="2"/>
  <c r="S26" i="2"/>
  <c r="S32" i="2" s="1"/>
  <c r="O15" i="2"/>
  <c r="O13" i="2"/>
  <c r="S17" i="2"/>
  <c r="S15" i="2"/>
  <c r="S13" i="2"/>
  <c r="O23" i="2"/>
  <c r="O9" i="2"/>
  <c r="O24" i="2" s="1"/>
  <c r="S23" i="2"/>
  <c r="S9" i="2"/>
  <c r="L4" i="1"/>
  <c r="L7" i="1" s="1"/>
  <c r="AA12" i="2"/>
  <c r="AB12" i="2" s="1"/>
  <c r="AC12" i="2" s="1"/>
  <c r="AD12" i="2" s="1"/>
  <c r="AE12" i="2" s="1"/>
  <c r="AF12" i="2" s="1"/>
  <c r="AG12" i="2" s="1"/>
  <c r="AA11" i="2"/>
  <c r="AB11" i="2" s="1"/>
  <c r="AC11" i="2" s="1"/>
  <c r="AD11" i="2" s="1"/>
  <c r="AE11" i="2" s="1"/>
  <c r="AF11" i="2" s="1"/>
  <c r="AG11" i="2" s="1"/>
  <c r="AA10" i="2"/>
  <c r="M12" i="2"/>
  <c r="M11" i="2"/>
  <c r="M10" i="2"/>
  <c r="N23" i="2"/>
  <c r="M9" i="2"/>
  <c r="L23" i="2"/>
  <c r="D17" i="2"/>
  <c r="D15" i="2"/>
  <c r="D13" i="2"/>
  <c r="D9" i="2"/>
  <c r="D24" i="2" s="1"/>
  <c r="H15" i="2"/>
  <c r="H23" i="2"/>
  <c r="H13" i="2"/>
  <c r="H9" i="2"/>
  <c r="E15" i="2"/>
  <c r="E13" i="2"/>
  <c r="E9" i="2"/>
  <c r="E24" i="2" s="1"/>
  <c r="I23" i="2"/>
  <c r="I15" i="2"/>
  <c r="I13" i="2"/>
  <c r="I9" i="2"/>
  <c r="I24" i="2" s="1"/>
  <c r="Z23" i="2"/>
  <c r="Y15" i="2"/>
  <c r="Z15" i="2"/>
  <c r="Z13" i="2"/>
  <c r="Y13" i="2"/>
  <c r="Y9" i="2"/>
  <c r="Z9" i="2"/>
  <c r="Z24" i="2" s="1"/>
  <c r="Z2" i="2"/>
  <c r="AA2" i="2" s="1"/>
  <c r="AB2" i="2" s="1"/>
  <c r="AC2" i="2" s="1"/>
  <c r="AD2" i="2" s="1"/>
  <c r="AE2" i="2" s="1"/>
  <c r="AF2" i="2" s="1"/>
  <c r="AG2" i="2" s="1"/>
  <c r="AH2" i="2" s="1"/>
  <c r="AI2" i="2" s="1"/>
  <c r="J23" i="2"/>
  <c r="F15" i="2"/>
  <c r="F13" i="2"/>
  <c r="F9" i="2"/>
  <c r="F24" i="2" s="1"/>
  <c r="J15" i="2"/>
  <c r="J13" i="2"/>
  <c r="J9" i="2"/>
  <c r="J24" i="2" s="1"/>
  <c r="M20" i="2"/>
  <c r="K38" i="2"/>
  <c r="K37" i="2"/>
  <c r="K36" i="2"/>
  <c r="K26" i="2"/>
  <c r="K32" i="2" s="1"/>
  <c r="K23" i="2"/>
  <c r="K15" i="2"/>
  <c r="G15" i="2"/>
  <c r="G13" i="2"/>
  <c r="G9" i="2"/>
  <c r="G24" i="2" s="1"/>
  <c r="K13" i="2"/>
  <c r="K9" i="2"/>
  <c r="K14" i="2" s="1"/>
  <c r="V7" i="2" l="1"/>
  <c r="P41" i="2"/>
  <c r="P24" i="2"/>
  <c r="R23" i="2"/>
  <c r="Q14" i="2"/>
  <c r="Q16" i="2" s="1"/>
  <c r="Q18" i="2" s="1"/>
  <c r="Q19" i="2" s="1"/>
  <c r="O63" i="2"/>
  <c r="P16" i="2"/>
  <c r="P18" i="2" s="1"/>
  <c r="P19" i="2" s="1"/>
  <c r="Q23" i="2"/>
  <c r="R14" i="2"/>
  <c r="R16" i="2" s="1"/>
  <c r="R18" i="2" s="1"/>
  <c r="R19" i="2" s="1"/>
  <c r="S63" i="2"/>
  <c r="S41" i="2"/>
  <c r="O14" i="2"/>
  <c r="O16" i="2" s="1"/>
  <c r="O18" i="2" s="1"/>
  <c r="S14" i="2"/>
  <c r="S16" i="2" s="1"/>
  <c r="S18" i="2" s="1"/>
  <c r="Y14" i="2"/>
  <c r="S24" i="2"/>
  <c r="Y16" i="2"/>
  <c r="Y18" i="2" s="1"/>
  <c r="Y19" i="2" s="1"/>
  <c r="K24" i="2"/>
  <c r="AA13" i="2"/>
  <c r="Y24" i="2"/>
  <c r="AA9" i="2"/>
  <c r="AA24" i="2" s="1"/>
  <c r="M8" i="2"/>
  <c r="M24" i="2"/>
  <c r="AA20" i="2"/>
  <c r="N13" i="2"/>
  <c r="M13" i="2"/>
  <c r="M14" i="2" s="1"/>
  <c r="M16" i="2" s="1"/>
  <c r="M18" i="2" s="1"/>
  <c r="M19" i="2" s="1"/>
  <c r="K16" i="2"/>
  <c r="K18" i="2" s="1"/>
  <c r="K19" i="2" s="1"/>
  <c r="Z14" i="2"/>
  <c r="Z16" i="2" s="1"/>
  <c r="Z18" i="2" s="1"/>
  <c r="M23" i="2"/>
  <c r="K41" i="2"/>
  <c r="L13" i="2"/>
  <c r="L14" i="2" s="1"/>
  <c r="L16" i="2" s="1"/>
  <c r="L18" i="2" s="1"/>
  <c r="L19" i="2" s="1"/>
  <c r="AB10" i="2"/>
  <c r="D14" i="2"/>
  <c r="D16" i="2" s="1"/>
  <c r="D18" i="2" s="1"/>
  <c r="D19" i="2" s="1"/>
  <c r="H14" i="2"/>
  <c r="H16" i="2" s="1"/>
  <c r="H18" i="2" s="1"/>
  <c r="H19" i="2" s="1"/>
  <c r="H24" i="2"/>
  <c r="E14" i="2"/>
  <c r="E16" i="2" s="1"/>
  <c r="E18" i="2" s="1"/>
  <c r="E19" i="2" s="1"/>
  <c r="I14" i="2"/>
  <c r="I16" i="2" s="1"/>
  <c r="I18" i="2" s="1"/>
  <c r="I19" i="2" s="1"/>
  <c r="L24" i="2"/>
  <c r="F14" i="2"/>
  <c r="F16" i="2" s="1"/>
  <c r="F18" i="2" s="1"/>
  <c r="F19" i="2" s="1"/>
  <c r="J14" i="2"/>
  <c r="J16" i="2" s="1"/>
  <c r="J18" i="2" s="1"/>
  <c r="J19" i="2" s="1"/>
  <c r="G14" i="2"/>
  <c r="G16" i="2" s="1"/>
  <c r="G18" i="2" s="1"/>
  <c r="G19" i="2" s="1"/>
  <c r="Z19" i="2" l="1"/>
  <c r="Z43" i="2"/>
  <c r="V23" i="2"/>
  <c r="AC7" i="2"/>
  <c r="O19" i="2"/>
  <c r="O43" i="2"/>
  <c r="S19" i="2"/>
  <c r="S43" i="2"/>
  <c r="N14" i="2"/>
  <c r="AA14" i="2"/>
  <c r="AA16" i="2" s="1"/>
  <c r="AA18" i="2" s="1"/>
  <c r="N24" i="2"/>
  <c r="AA23" i="2"/>
  <c r="AA8" i="2"/>
  <c r="AB20" i="2"/>
  <c r="AC20" i="2" s="1"/>
  <c r="AD20" i="2" s="1"/>
  <c r="AE20" i="2" s="1"/>
  <c r="AF20" i="2" s="1"/>
  <c r="AG20" i="2" s="1"/>
  <c r="AC10" i="2"/>
  <c r="AB13" i="2"/>
  <c r="AA19" i="2" l="1"/>
  <c r="AA43" i="2"/>
  <c r="N16" i="2"/>
  <c r="N18" i="2" s="1"/>
  <c r="N19" i="2" s="1"/>
  <c r="AB23" i="2"/>
  <c r="AB9" i="2"/>
  <c r="AB24" i="2" s="1"/>
  <c r="AD10" i="2"/>
  <c r="AC13" i="2"/>
  <c r="AC9" i="2"/>
  <c r="AC24" i="2" s="1"/>
  <c r="AC23" i="2"/>
  <c r="AD7" i="2"/>
  <c r="AB8" i="2" l="1"/>
  <c r="AB14" i="2"/>
  <c r="AB16" i="2" s="1"/>
  <c r="AB18" i="2" s="1"/>
  <c r="AE7" i="2"/>
  <c r="AD23" i="2"/>
  <c r="AD9" i="2"/>
  <c r="AD24" i="2" s="1"/>
  <c r="AC14" i="2"/>
  <c r="AC16" i="2" s="1"/>
  <c r="AC18" i="2" s="1"/>
  <c r="AC19" i="2" s="1"/>
  <c r="AC8" i="2"/>
  <c r="AD13" i="2"/>
  <c r="AE10" i="2"/>
  <c r="AB19" i="2" l="1"/>
  <c r="AB43" i="2"/>
  <c r="AD14" i="2"/>
  <c r="AD16" i="2" s="1"/>
  <c r="AD17" i="2" s="1"/>
  <c r="AD18" i="2" s="1"/>
  <c r="AD19" i="2" s="1"/>
  <c r="AD8" i="2"/>
  <c r="AE13" i="2"/>
  <c r="AF10" i="2"/>
  <c r="AE23" i="2"/>
  <c r="AF7" i="2"/>
  <c r="AE9" i="2"/>
  <c r="AE8" i="2" l="1"/>
  <c r="AE24" i="2"/>
  <c r="AE14" i="2"/>
  <c r="AE16" i="2" s="1"/>
  <c r="AE17" i="2" s="1"/>
  <c r="AE18" i="2" s="1"/>
  <c r="AE19" i="2" s="1"/>
  <c r="AF23" i="2"/>
  <c r="AF9" i="2"/>
  <c r="AG7" i="2"/>
  <c r="AF13" i="2"/>
  <c r="AG10" i="2"/>
  <c r="AG13" i="2" s="1"/>
  <c r="AF14" i="2" l="1"/>
  <c r="AF16" i="2" s="1"/>
  <c r="AF17" i="2" s="1"/>
  <c r="AF18" i="2" s="1"/>
  <c r="AF19" i="2" s="1"/>
  <c r="AF24" i="2"/>
  <c r="AG23" i="2"/>
  <c r="AG9" i="2"/>
  <c r="AF8" i="2"/>
  <c r="AG24" i="2" l="1"/>
  <c r="AG14" i="2"/>
  <c r="AG16" i="2" s="1"/>
  <c r="AG17" i="2" s="1"/>
  <c r="AG18" i="2" s="1"/>
  <c r="AG19" i="2" s="1"/>
  <c r="AG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tc={977846F7-C7A8-FB40-A05C-AFA5BB1512B9}</author>
  </authors>
  <commentList>
    <comment ref="T7" authorId="0" shapeId="0" xr:uid="{977846F7-C7A8-FB40-A05C-AFA5BB1512B9}">
      <text>
        <t>[Threaded comment]
Your version of Excel allows you to read this threaded comment; however, any edits to it will get removed if the file is opened in a newer version of Excel. Learn more: https://go.microsoft.com/fwlink/?linkid=870924
Comment:
    Q1 guidance: 649-653m</t>
      </text>
    </comment>
  </commentList>
</comments>
</file>

<file path=xl/sharedStrings.xml><?xml version="1.0" encoding="utf-8"?>
<sst xmlns="http://schemas.openxmlformats.org/spreadsheetml/2006/main" count="102" uniqueCount="92">
  <si>
    <t>Price</t>
  </si>
  <si>
    <t>Shares</t>
  </si>
  <si>
    <t>MC</t>
  </si>
  <si>
    <t>Cash</t>
  </si>
  <si>
    <t>Debt</t>
  </si>
  <si>
    <t>EV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</si>
  <si>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</si>
  <si>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</si>
  <si>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</si>
  <si>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</si>
  <si>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</si>
  <si>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</si>
  <si>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</si>
  <si>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</si>
  <si>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</si>
  <si>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</si>
  <si>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</si>
  <si>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</si>
  <si>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</si>
  <si>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</si>
  <si>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COGS</t>
  </si>
  <si>
    <t>Gross Profit</t>
  </si>
  <si>
    <t>S&amp;M</t>
  </si>
  <si>
    <t>R&amp;D</t>
  </si>
  <si>
    <t>G&amp;A</t>
  </si>
  <si>
    <t>OpEx</t>
  </si>
  <si>
    <t>OpInc</t>
  </si>
  <si>
    <t>IntInc</t>
  </si>
  <si>
    <t>Pretax Income</t>
  </si>
  <si>
    <t>S/O</t>
  </si>
  <si>
    <t>Taxes</t>
  </si>
  <si>
    <t>Net Income</t>
  </si>
  <si>
    <t>Revenue Growth</t>
  </si>
  <si>
    <t>Gross Margin</t>
  </si>
  <si>
    <t>AR</t>
  </si>
  <si>
    <t>Prepaids</t>
  </si>
  <si>
    <t>PP&amp;E</t>
  </si>
  <si>
    <t>Lease</t>
  </si>
  <si>
    <t>Other</t>
  </si>
  <si>
    <t>Assets</t>
  </si>
  <si>
    <t>AP</t>
  </si>
  <si>
    <t>AL</t>
  </si>
  <si>
    <t>DR</t>
  </si>
  <si>
    <t>Customer</t>
  </si>
  <si>
    <t>SE</t>
  </si>
  <si>
    <t>L+SE</t>
  </si>
  <si>
    <t>ONCL</t>
  </si>
  <si>
    <t>CFFO</t>
  </si>
  <si>
    <t>Q123</t>
  </si>
  <si>
    <t>Q223</t>
  </si>
  <si>
    <t>Q323</t>
  </si>
  <si>
    <t>Q423</t>
  </si>
  <si>
    <t>Q124</t>
  </si>
  <si>
    <t>Q224</t>
  </si>
  <si>
    <t>Q324</t>
  </si>
  <si>
    <t>Q424</t>
  </si>
  <si>
    <t>Model NI</t>
  </si>
  <si>
    <t>Reported NI</t>
  </si>
  <si>
    <t>D&amp;A</t>
  </si>
  <si>
    <t>SBC</t>
  </si>
  <si>
    <t>Loss on Stocks</t>
  </si>
  <si>
    <t>Noncash Consideration</t>
  </si>
  <si>
    <t>WC</t>
  </si>
  <si>
    <t>CFFI</t>
  </si>
  <si>
    <t>Investments</t>
  </si>
  <si>
    <t>CIC</t>
  </si>
  <si>
    <t>FX</t>
  </si>
  <si>
    <t>CFFF</t>
  </si>
  <si>
    <t>ESOP</t>
  </si>
  <si>
    <t>Buyback</t>
  </si>
  <si>
    <t>Commercial</t>
  </si>
  <si>
    <t>Government</t>
  </si>
  <si>
    <t>Gotham, Foundry, Apollo, and AIP</t>
  </si>
  <si>
    <t>Founded</t>
  </si>
  <si>
    <t>Started in counterterrorism</t>
  </si>
  <si>
    <t>Gotham</t>
  </si>
  <si>
    <t>Foundry</t>
  </si>
  <si>
    <t>AIP</t>
  </si>
  <si>
    <t>AI + big data</t>
  </si>
  <si>
    <t>Apollo</t>
  </si>
  <si>
    <t>big data for industry</t>
  </si>
  <si>
    <t>cloud</t>
  </si>
  <si>
    <t>55% of revenue is gov</t>
  </si>
  <si>
    <t>45% of revenue is industrial</t>
  </si>
  <si>
    <t>Customers</t>
  </si>
  <si>
    <t>US</t>
  </si>
  <si>
    <t>ExUS</t>
  </si>
  <si>
    <t>Gov</t>
  </si>
  <si>
    <t>Industry</t>
  </si>
  <si>
    <t>Top 3 18% of revenue: CIA? FBI?</t>
  </si>
  <si>
    <t>big data for government: CDC, NIH, FDA</t>
  </si>
  <si>
    <t>TRDV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</si>
</sst>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0" fontId="1" fillId="0" borderId="0" xfId="0" applyFont="1" applyAlignment="1">
      <alignment horizontal="right"/>
    </xf>
    <xf numFmtId="9" fontId="1" fillId="0" borderId="0" xfId="0" applyNumberFormat="1" applyFont="1" applyAlignment="1">
      <alignment horizontal="right"/>
    </xf>
    <xf numFmtId="0" fontId="1" fillId="0" borderId="0" xfId="0" applyFont="1"/>
    <xf numFmtId="9" fontId="1" fillId="0" borderId="0" xfId="0" applyNumberFormat="1" applyFont="1"/>
    <xf numFmtId="3" fontId="0" fillId="2" borderId="0" xfId="0" applyNumberFormat="1" applyFill="1" applyAlignment="1">
      <alignment horizontal="right"/>
    </xf>
    <xf numFmtId="0" fontId="2" fillId="0" borderId="0" xfId="1"/>
    <xf numFmtId="0" fontId="3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471E834B-9263-403B-91D8-EE7D3E40F710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46718</xdr:colOff>
      <xdr:row>0</xdr:row>
      <xdr:rowOff>0</xdr:rowOff>
    </xdr:from>
    <xdr:to>
      <xdr:col>19</xdr:col>
      <xdr:colOff>46718</xdr:colOff>
      <xdr:row>69</xdr:row>
      <xdr:rowOff>108857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CEB399B2-013D-A4CD-A207-5FB2DC044CED}"/>
            </a:ext>
          </a:extLst>
        </xdr:cNvPr>
        <xdr:cNvCxnSpPr/>
      </xdr:nvCxnSpPr>
      <xdr:spPr>
        <a:xfrm>
          <a:off x="13463361" y="0"/>
          <a:ext cx="0" cy="1088571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28</xdr:col>
      <xdr:colOff>43542</xdr:colOff>
      <xdr:row>0</xdr:row>
      <xdr:rowOff>0</xdr:rowOff>
    </xdr:from>
    <xdr:to>
      <xdr:col>28</xdr:col>
      <xdr:colOff>43542</xdr:colOff>
      <xdr:row>52</xdr:row>
      <xdr:rowOff>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A6B83D77-2A6D-4552-92D1-6D2821526D10}"/>
            </a:ext>
          </a:extLst>
        </xdr:cNvPr>
        <xdr:cNvCxnSpPr/>
      </xdr:nvCxnSpPr>
      <xdr:spPr>
        <a:xfrm>
          <a:off x="17147721" y="0"/>
          <a:ext cx="0" cy="865414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74D2DF0D-14E1-8C43-8A69-0402CB2F2E09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T7" dT="2024-06-03T23:15:47.24" personId="{74D2DF0D-14E1-8C43-8A69-0402CB2F2E09}" id="{977846F7-C7A8-FB40-A05C-AFA5BB1512B9}">
    <text>Q1 guidance: 649-653m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E9D3E-317D-4992-A1EC-7C2CA7695A60}">
  <dimension ref="B2:M9"/>
  <sheetViews>
    <sheetView zoomScale="190" zoomScaleNormal="190" workbookViewId="0">
      <selection activeCell="L7" sqref="L7"/>
    </sheetView>
  </sheetViews>
  <sheetFormatPr defaultColWidth="8.85546875" defaultRowHeight="12.75" x14ac:dyDescent="0.2"/>
  <sheetData>
    <row r="2" spans="2:13" x14ac:dyDescent="0.2">
      <c r="B2" s="15" t="s">
        <v>72</v>
      </c>
      <c r="K2" t="s">
        <v>0</v>
      </c>
      <c r="L2" s="1">
        <v>27</v>
      </c>
    </row>
    <row r="3" spans="2:13" x14ac:dyDescent="0.2">
      <c r="B3" t="s">
        <v>74</v>
      </c>
      <c r="K3" t="s">
        <v>1</v>
      </c>
      <c r="L3" s="3">
        <v>2400.107</v>
      </c>
      <c r="M3" s="2" t="s">
        <v>52</v>
      </c>
    </row>
    <row r="4" spans="2:13" x14ac:dyDescent="0.2">
      <c r="K4" t="s">
        <v>2</v>
      </c>
      <c r="L4" s="3">
        <f>L3*L2</f>
        <v>64802.888999999996</v>
      </c>
    </row>
    <row r="5" spans="2:13" x14ac:dyDescent="0.2">
      <c r="K5" t="s">
        <v>3</v>
      </c>
      <c r="L5" s="3">
        <v>2585</v>
      </c>
      <c r="M5" s="2" t="s">
        <v>52</v>
      </c>
    </row>
    <row r="6" spans="2:13" x14ac:dyDescent="0.2">
      <c r="B6" t="s">
        <v>75</v>
      </c>
      <c r="C6" t="s">
        <v>90</v>
      </c>
      <c r="F6" t="s">
        <v>82</v>
      </c>
      <c r="K6" t="s">
        <v>4</v>
      </c>
      <c r="L6" s="3">
        <v>0</v>
      </c>
      <c r="M6" s="2" t="s">
        <v>52</v>
      </c>
    </row>
    <row r="7" spans="2:13" x14ac:dyDescent="0.2">
      <c r="B7" t="s">
        <v>76</v>
      </c>
      <c r="C7" t="s">
        <v>80</v>
      </c>
      <c r="F7" t="s">
        <v>83</v>
      </c>
      <c r="K7" t="s">
        <v>5</v>
      </c>
      <c r="L7" s="3">
        <f>L4-L5+L6</f>
        <v>62217.888999999996</v>
      </c>
    </row>
    <row r="8" spans="2:13" x14ac:dyDescent="0.2">
      <c r="B8" t="s">
        <v>77</v>
      </c>
      <c r="C8" t="s">
        <v>78</v>
      </c>
    </row>
    <row r="9" spans="2:13" x14ac:dyDescent="0.2">
      <c r="B9" t="s">
        <v>79</v>
      </c>
      <c r="C9" t="s">
        <v>81</v>
      </c>
      <c r="F9" t="s">
        <v>89</v>
      </c>
      <c r="K9" t="s">
        <v>73</v>
      </c>
      <c r="L9">
        <v>2003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E0236-0D83-41C7-BB37-83829D679D7F}">
  <dimension ref="A1:AI70"/>
  <sheetViews>
    <sheetView tabSelected="1" zoomScale="140" zoomScaleNormal="140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D4" sqref="D4"/>
    </sheetView>
  </sheetViews>
  <sheetFormatPr defaultColWidth="8.85546875" defaultRowHeight="12.75" x14ac:dyDescent="0.2"/>
  <cols>
    <col min="1" max="1" width="5" bestFit="1" customWidth="1"/>
    <col min="2" max="2" width="17" customWidth="1"/>
    <col min="3" max="14" width="9.140625" style="2"/>
    <col min="15" max="20" width="8.85546875" style="2"/>
  </cols>
  <sheetData>
    <row r="1" spans="1:35" x14ac:dyDescent="0.2">
      <c r="A1" s="14" t="s">
        <v>6</v>
      </c>
    </row>
    <row r="2" spans="1:35" x14ac:dyDescent="0.2">
      <c r="C2" s="2" t="s">
        <v>8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18</v>
      </c>
      <c r="N2" s="2" t="s">
        <v>19</v>
      </c>
      <c r="O2" s="2" t="s">
        <v>48</v>
      </c>
      <c r="P2" s="2" t="s">
        <v>49</v>
      </c>
      <c r="Q2" s="2" t="s">
        <v>50</v>
      </c>
      <c r="R2" s="2" t="s">
        <v>51</v>
      </c>
      <c r="S2" s="2" t="s">
        <v>52</v>
      </c>
      <c r="T2" s="2" t="s">
        <v>53</v>
      </c>
      <c r="U2" s="2" t="s">
        <v>54</v>
      </c>
      <c r="V2" s="2" t="s">
        <v>55</v>
      </c>
      <c r="Y2">
        <v>2020</v>
      </c>
      <c r="Z2">
        <f>Y2+1</f>
        <v>2021</v>
      </c>
      <c r="AA2">
        <f>Z2+1</f>
        <v>2022</v>
      </c>
      <c r="AB2">
        <f t="shared" ref="AB2:AI2" si="0">AA2+1</f>
        <v>2023</v>
      </c>
      <c r="AC2">
        <f t="shared" si="0"/>
        <v>2024</v>
      </c>
      <c r="AD2">
        <f t="shared" si="0"/>
        <v>2025</v>
      </c>
      <c r="AE2">
        <f t="shared" si="0"/>
        <v>2026</v>
      </c>
      <c r="AF2">
        <f t="shared" si="0"/>
        <v>2027</v>
      </c>
      <c r="AG2">
        <f t="shared" si="0"/>
        <v>2028</v>
      </c>
      <c r="AH2">
        <f t="shared" si="0"/>
        <v>2029</v>
      </c>
      <c r="AI2">
        <f t="shared" si="0"/>
        <v>2030</v>
      </c>
    </row>
    <row r="3" spans="1:35" x14ac:dyDescent="0.2">
      <c r="B3" t="s">
        <v>91</v>
      </c>
      <c r="N3" s="4">
        <v>3700</v>
      </c>
      <c r="O3" s="4"/>
      <c r="P3" s="4"/>
      <c r="Q3" s="4"/>
      <c r="R3" s="4">
        <v>3900</v>
      </c>
      <c r="U3" s="2"/>
      <c r="V3" s="2"/>
      <c r="AA3" s="3">
        <f>+N3</f>
        <v>3700</v>
      </c>
      <c r="AB3" s="3">
        <f>+R3</f>
        <v>3900</v>
      </c>
    </row>
    <row r="4" spans="1:35" x14ac:dyDescent="0.2">
      <c r="U4" s="2"/>
      <c r="V4" s="2"/>
    </row>
    <row r="5" spans="1:35" x14ac:dyDescent="0.2">
      <c r="B5" t="s">
        <v>70</v>
      </c>
      <c r="O5" s="2">
        <v>236</v>
      </c>
      <c r="P5" s="2">
        <v>232</v>
      </c>
      <c r="Q5" s="2">
        <v>251</v>
      </c>
      <c r="R5" s="2">
        <v>284</v>
      </c>
      <c r="U5" s="2"/>
      <c r="V5" s="2"/>
      <c r="AA5" s="3">
        <v>834</v>
      </c>
      <c r="AB5" s="3">
        <f>SUM(O5:R5)</f>
        <v>1003</v>
      </c>
    </row>
    <row r="6" spans="1:35" x14ac:dyDescent="0.2">
      <c r="B6" t="s">
        <v>71</v>
      </c>
      <c r="O6" s="2">
        <v>289</v>
      </c>
      <c r="P6" s="2">
        <v>302</v>
      </c>
      <c r="Q6" s="2">
        <v>308</v>
      </c>
      <c r="R6" s="2">
        <v>324</v>
      </c>
      <c r="U6" s="2"/>
      <c r="V6" s="2"/>
      <c r="AA6" s="3">
        <v>1071.7760000000001</v>
      </c>
      <c r="AB6" s="3">
        <f>SUM(O6:R6)</f>
        <v>1223</v>
      </c>
    </row>
    <row r="7" spans="1:35" s="5" customFormat="1" x14ac:dyDescent="0.2">
      <c r="B7" s="5" t="s">
        <v>7</v>
      </c>
      <c r="C7" s="6"/>
      <c r="D7" s="6">
        <v>251.88900000000001</v>
      </c>
      <c r="E7" s="6">
        <v>289.36599999999999</v>
      </c>
      <c r="F7" s="6">
        <v>322.09100000000001</v>
      </c>
      <c r="G7" s="6">
        <v>341.23399999999998</v>
      </c>
      <c r="H7" s="6">
        <v>375.642</v>
      </c>
      <c r="I7" s="6">
        <v>392.14600000000002</v>
      </c>
      <c r="J7" s="6">
        <v>432.86700000000002</v>
      </c>
      <c r="K7" s="6">
        <v>446.35700000000003</v>
      </c>
      <c r="L7" s="6">
        <v>473.01</v>
      </c>
      <c r="M7" s="6">
        <v>477.88</v>
      </c>
      <c r="N7" s="6">
        <v>508.62400000000002</v>
      </c>
      <c r="O7" s="6">
        <v>525.18600000000004</v>
      </c>
      <c r="P7" s="6">
        <v>533.31700000000001</v>
      </c>
      <c r="Q7" s="6">
        <v>558.15899999999999</v>
      </c>
      <c r="R7" s="6">
        <f>+R6+R5</f>
        <v>608</v>
      </c>
      <c r="S7" s="6">
        <v>634.33799999999997</v>
      </c>
      <c r="T7" s="6">
        <v>655</v>
      </c>
      <c r="U7" s="5">
        <f>+Q7*1.2</f>
        <v>669.79079999999999</v>
      </c>
      <c r="V7" s="5">
        <f>+R7*1.2</f>
        <v>729.6</v>
      </c>
      <c r="Y7" s="5">
        <v>1092.673</v>
      </c>
      <c r="Z7" s="5">
        <v>1541.8889999999999</v>
      </c>
      <c r="AA7" s="5">
        <f>SUM(K7:N7)</f>
        <v>1905.8709999999999</v>
      </c>
      <c r="AB7" s="5">
        <f>SUM(O7:R7)</f>
        <v>2224.6620000000003</v>
      </c>
      <c r="AC7" s="5">
        <f>SUM(S7:V7)</f>
        <v>2688.7287999999999</v>
      </c>
      <c r="AD7" s="5">
        <f t="shared" ref="AD7" si="1">AC7*1.2</f>
        <v>3226.4745599999997</v>
      </c>
      <c r="AE7" s="5">
        <f t="shared" ref="AE7" si="2">AD7*1.2</f>
        <v>3871.7694719999995</v>
      </c>
      <c r="AF7" s="5">
        <f t="shared" ref="AF7:AG7" si="3">AE7*1.2</f>
        <v>4646.1233663999992</v>
      </c>
      <c r="AG7" s="5">
        <f t="shared" si="3"/>
        <v>5575.3480396799987</v>
      </c>
    </row>
    <row r="8" spans="1:35" s="3" customFormat="1" x14ac:dyDescent="0.2">
      <c r="B8" s="3" t="s">
        <v>20</v>
      </c>
      <c r="C8" s="4"/>
      <c r="D8" s="4">
        <v>68.41</v>
      </c>
      <c r="E8" s="13">
        <v>149.34</v>
      </c>
      <c r="F8" s="4">
        <v>70.503</v>
      </c>
      <c r="G8" s="4">
        <v>74.111000000000004</v>
      </c>
      <c r="H8" s="4">
        <v>90.926000000000002</v>
      </c>
      <c r="I8" s="4">
        <v>86.804000000000002</v>
      </c>
      <c r="J8" s="4">
        <v>87.563000000000002</v>
      </c>
      <c r="K8" s="4">
        <v>94.403000000000006</v>
      </c>
      <c r="L8" s="4">
        <v>102.224</v>
      </c>
      <c r="M8" s="4">
        <f t="shared" ref="M8" si="4">M7-M9</f>
        <v>95.575999999999965</v>
      </c>
      <c r="N8" s="4">
        <v>104.31100000000001</v>
      </c>
      <c r="O8" s="4">
        <v>107.645</v>
      </c>
      <c r="P8" s="4">
        <v>106.899</v>
      </c>
      <c r="Q8" s="4">
        <v>107.922</v>
      </c>
      <c r="R8" s="4">
        <v>108.639</v>
      </c>
      <c r="S8" s="4">
        <v>116.256</v>
      </c>
      <c r="T8" s="4"/>
      <c r="Y8" s="3">
        <v>352.54700000000003</v>
      </c>
      <c r="Z8" s="3">
        <v>339.404</v>
      </c>
      <c r="AA8" s="3">
        <f>AA7-AA9</f>
        <v>381.17419999999993</v>
      </c>
      <c r="AB8" s="3">
        <f t="shared" ref="AB8:AD8" si="5">AB7-AB9</f>
        <v>444.93239999999992</v>
      </c>
      <c r="AC8" s="3">
        <f t="shared" si="5"/>
        <v>537.74575999999979</v>
      </c>
      <c r="AD8" s="3">
        <f t="shared" si="5"/>
        <v>645.29491199999984</v>
      </c>
      <c r="AE8" s="3">
        <f t="shared" ref="AE8" si="6">AE7-AE9</f>
        <v>774.35389439999972</v>
      </c>
      <c r="AF8" s="3">
        <f t="shared" ref="AF8" si="7">AF7-AF9</f>
        <v>929.22467327999948</v>
      </c>
      <c r="AG8" s="3">
        <f t="shared" ref="AG8" si="8">AG7-AG9</f>
        <v>1115.0696079359996</v>
      </c>
    </row>
    <row r="9" spans="1:35" s="3" customFormat="1" x14ac:dyDescent="0.2">
      <c r="B9" s="3" t="s">
        <v>21</v>
      </c>
      <c r="C9" s="4"/>
      <c r="D9" s="4">
        <f t="shared" ref="D9:K9" si="9">D7-D8</f>
        <v>183.47900000000001</v>
      </c>
      <c r="E9" s="4">
        <f t="shared" si="9"/>
        <v>140.02599999999998</v>
      </c>
      <c r="F9" s="4">
        <f t="shared" si="9"/>
        <v>251.58800000000002</v>
      </c>
      <c r="G9" s="4">
        <f t="shared" si="9"/>
        <v>267.12299999999999</v>
      </c>
      <c r="H9" s="4">
        <f t="shared" si="9"/>
        <v>284.71600000000001</v>
      </c>
      <c r="I9" s="4">
        <f t="shared" si="9"/>
        <v>305.34199999999998</v>
      </c>
      <c r="J9" s="4">
        <f t="shared" si="9"/>
        <v>345.30400000000003</v>
      </c>
      <c r="K9" s="4">
        <f t="shared" si="9"/>
        <v>351.95400000000001</v>
      </c>
      <c r="L9" s="4">
        <f>+L7-L8</f>
        <v>370.786</v>
      </c>
      <c r="M9" s="4">
        <f t="shared" ref="M9" si="10">M7*0.8</f>
        <v>382.30400000000003</v>
      </c>
      <c r="N9" s="4">
        <f t="shared" ref="N9:S9" si="11">+N7-N8</f>
        <v>404.31299999999999</v>
      </c>
      <c r="O9" s="4">
        <f t="shared" si="11"/>
        <v>417.54100000000005</v>
      </c>
      <c r="P9" s="4">
        <f t="shared" si="11"/>
        <v>426.41800000000001</v>
      </c>
      <c r="Q9" s="4">
        <f t="shared" si="11"/>
        <v>450.23699999999997</v>
      </c>
      <c r="R9" s="4">
        <f t="shared" si="11"/>
        <v>499.36099999999999</v>
      </c>
      <c r="S9" s="4">
        <f t="shared" si="11"/>
        <v>518.08199999999999</v>
      </c>
      <c r="T9" s="4"/>
      <c r="Y9" s="3">
        <f>Y7-Y8</f>
        <v>740.12599999999998</v>
      </c>
      <c r="Z9" s="3">
        <f>Z7-Z8</f>
        <v>1202.4849999999999</v>
      </c>
      <c r="AA9" s="3">
        <f>AA7*0.8</f>
        <v>1524.6967999999999</v>
      </c>
      <c r="AB9" s="3">
        <f t="shared" ref="AB9:AD9" si="12">AB7*0.8</f>
        <v>1779.7296000000003</v>
      </c>
      <c r="AC9" s="3">
        <f t="shared" si="12"/>
        <v>2150.9830400000001</v>
      </c>
      <c r="AD9" s="3">
        <f t="shared" si="12"/>
        <v>2581.1796479999998</v>
      </c>
      <c r="AE9" s="3">
        <f t="shared" ref="AE9" si="13">AE7*0.8</f>
        <v>3097.4155775999998</v>
      </c>
      <c r="AF9" s="3">
        <f t="shared" ref="AF9:AG9" si="14">AF7*0.8</f>
        <v>3716.8986931199997</v>
      </c>
      <c r="AG9" s="3">
        <f t="shared" si="14"/>
        <v>4460.2784317439991</v>
      </c>
    </row>
    <row r="10" spans="1:35" s="3" customFormat="1" x14ac:dyDescent="0.2">
      <c r="B10" s="3" t="s">
        <v>22</v>
      </c>
      <c r="C10" s="4"/>
      <c r="D10" s="4">
        <v>102.518</v>
      </c>
      <c r="E10" s="4">
        <v>334.911</v>
      </c>
      <c r="F10" s="4">
        <v>147.619</v>
      </c>
      <c r="G10" s="4">
        <v>136.09700000000001</v>
      </c>
      <c r="H10" s="4">
        <v>162.37899999999999</v>
      </c>
      <c r="I10" s="4">
        <v>153.44300000000001</v>
      </c>
      <c r="J10" s="4">
        <v>162.59299999999999</v>
      </c>
      <c r="K10" s="4">
        <v>160.48500000000001</v>
      </c>
      <c r="L10" s="4">
        <v>168.875</v>
      </c>
      <c r="M10" s="4">
        <f t="shared" ref="M10" si="15">L10+1</f>
        <v>169.875</v>
      </c>
      <c r="N10" s="4">
        <v>190.233</v>
      </c>
      <c r="O10" s="4">
        <v>187.09299999999999</v>
      </c>
      <c r="P10" s="4">
        <v>184.16300000000001</v>
      </c>
      <c r="Q10" s="4">
        <v>176.37299999999999</v>
      </c>
      <c r="R10" s="4">
        <v>197.363</v>
      </c>
      <c r="S10" s="4">
        <v>193.17699999999999</v>
      </c>
      <c r="T10" s="4"/>
      <c r="Y10" s="3">
        <v>683.70100000000002</v>
      </c>
      <c r="Z10" s="3">
        <v>614.51199999999994</v>
      </c>
      <c r="AA10" s="3">
        <f>Z10*1.1</f>
        <v>675.96320000000003</v>
      </c>
      <c r="AB10" s="3">
        <f t="shared" ref="AB10:AD10" si="16">AA10*1.1</f>
        <v>743.55952000000013</v>
      </c>
      <c r="AC10" s="3">
        <f t="shared" si="16"/>
        <v>817.91547200000025</v>
      </c>
      <c r="AD10" s="3">
        <f t="shared" si="16"/>
        <v>899.70701920000033</v>
      </c>
      <c r="AE10" s="3">
        <f t="shared" ref="AE10" si="17">AD10*1.1</f>
        <v>989.67772112000046</v>
      </c>
      <c r="AF10" s="3">
        <f t="shared" ref="AF10:AG10" si="18">AE10*1.1</f>
        <v>1088.6454932320005</v>
      </c>
      <c r="AG10" s="3">
        <f t="shared" si="18"/>
        <v>1197.5100425552007</v>
      </c>
    </row>
    <row r="11" spans="1:35" s="3" customFormat="1" x14ac:dyDescent="0.2">
      <c r="B11" s="3" t="s">
        <v>23</v>
      </c>
      <c r="C11" s="4"/>
      <c r="D11" s="4">
        <v>86.814999999999998</v>
      </c>
      <c r="E11" s="4">
        <v>313.91500000000002</v>
      </c>
      <c r="F11" s="4">
        <v>94.13</v>
      </c>
      <c r="G11" s="4">
        <v>98.471000000000004</v>
      </c>
      <c r="H11" s="4">
        <v>110.524</v>
      </c>
      <c r="I11" s="4">
        <v>94.316000000000003</v>
      </c>
      <c r="J11" s="4">
        <v>84.176000000000002</v>
      </c>
      <c r="K11" s="4">
        <v>88.600999999999999</v>
      </c>
      <c r="L11" s="4">
        <v>88.171000000000006</v>
      </c>
      <c r="M11" s="4">
        <f t="shared" ref="M11" si="19">L11+1</f>
        <v>89.171000000000006</v>
      </c>
      <c r="N11" s="4">
        <v>82.043999999999997</v>
      </c>
      <c r="O11" s="4">
        <v>90.1</v>
      </c>
      <c r="P11" s="4">
        <v>99.533000000000001</v>
      </c>
      <c r="Q11" s="4">
        <v>105.708</v>
      </c>
      <c r="R11" s="4">
        <v>109.283</v>
      </c>
      <c r="S11" s="4">
        <v>110.04</v>
      </c>
      <c r="T11" s="4"/>
      <c r="Y11" s="3">
        <v>560.66</v>
      </c>
      <c r="Z11" s="3">
        <v>387.48700000000002</v>
      </c>
      <c r="AA11" s="3">
        <f t="shared" ref="AA11:AD11" si="20">Z11*1.1</f>
        <v>426.23570000000007</v>
      </c>
      <c r="AB11" s="3">
        <f t="shared" si="20"/>
        <v>468.85927000000009</v>
      </c>
      <c r="AC11" s="3">
        <f t="shared" si="20"/>
        <v>515.74519700000019</v>
      </c>
      <c r="AD11" s="3">
        <f t="shared" si="20"/>
        <v>567.3197167000003</v>
      </c>
      <c r="AE11" s="3">
        <f t="shared" ref="AE11" si="21">AD11*1.1</f>
        <v>624.05168837000042</v>
      </c>
      <c r="AF11" s="3">
        <f t="shared" ref="AF11:AG11" si="22">AE11*1.1</f>
        <v>686.45685720700055</v>
      </c>
      <c r="AG11" s="3">
        <f t="shared" si="22"/>
        <v>755.10254292770071</v>
      </c>
    </row>
    <row r="12" spans="1:35" s="3" customFormat="1" x14ac:dyDescent="0.2">
      <c r="B12" s="3" t="s">
        <v>24</v>
      </c>
      <c r="C12" s="4"/>
      <c r="D12" s="4">
        <v>93.290999999999997</v>
      </c>
      <c r="E12" s="4">
        <v>338.97699999999998</v>
      </c>
      <c r="F12" s="4">
        <v>166.411</v>
      </c>
      <c r="G12" s="4">
        <v>146.56899999999999</v>
      </c>
      <c r="H12" s="4">
        <v>157.96100000000001</v>
      </c>
      <c r="I12" s="4">
        <v>149.524</v>
      </c>
      <c r="J12" s="4">
        <v>157.47800000000001</v>
      </c>
      <c r="K12" s="4">
        <v>142.30699999999999</v>
      </c>
      <c r="L12" s="4">
        <v>155.48500000000001</v>
      </c>
      <c r="M12" s="4">
        <f t="shared" ref="M12" si="23">L12+1</f>
        <v>156.48500000000001</v>
      </c>
      <c r="N12" s="4">
        <v>149.86199999999999</v>
      </c>
      <c r="O12" s="4">
        <v>136.233</v>
      </c>
      <c r="P12" s="4">
        <v>132.648</v>
      </c>
      <c r="Q12" s="4">
        <v>128.173</v>
      </c>
      <c r="R12" s="4">
        <v>127.271</v>
      </c>
      <c r="S12" s="4">
        <v>133.98400000000001</v>
      </c>
      <c r="T12" s="4"/>
      <c r="Y12" s="3">
        <v>669.44399999999996</v>
      </c>
      <c r="Z12" s="3">
        <v>611.53200000000004</v>
      </c>
      <c r="AA12" s="3">
        <f t="shared" ref="AA12:AD12" si="24">Z12*1.1</f>
        <v>672.68520000000012</v>
      </c>
      <c r="AB12" s="3">
        <f t="shared" si="24"/>
        <v>739.9537200000002</v>
      </c>
      <c r="AC12" s="3">
        <f t="shared" si="24"/>
        <v>813.94909200000029</v>
      </c>
      <c r="AD12" s="3">
        <f t="shared" si="24"/>
        <v>895.34400120000043</v>
      </c>
      <c r="AE12" s="3">
        <f t="shared" ref="AE12" si="25">AD12*1.1</f>
        <v>984.87840132000053</v>
      </c>
      <c r="AF12" s="3">
        <f t="shared" ref="AF12:AG12" si="26">AE12*1.1</f>
        <v>1083.3662414520006</v>
      </c>
      <c r="AG12" s="3">
        <f t="shared" si="26"/>
        <v>1191.7028655972008</v>
      </c>
    </row>
    <row r="13" spans="1:35" s="3" customFormat="1" x14ac:dyDescent="0.2">
      <c r="B13" s="3" t="s">
        <v>25</v>
      </c>
      <c r="C13" s="4"/>
      <c r="D13" s="4">
        <f t="shared" ref="D13:L13" si="27">SUM(D10:D12)</f>
        <v>282.62400000000002</v>
      </c>
      <c r="E13" s="4">
        <f t="shared" si="27"/>
        <v>987.803</v>
      </c>
      <c r="F13" s="4">
        <f t="shared" si="27"/>
        <v>408.15999999999997</v>
      </c>
      <c r="G13" s="4">
        <f t="shared" si="27"/>
        <v>381.137</v>
      </c>
      <c r="H13" s="4">
        <f t="shared" si="27"/>
        <v>430.86400000000003</v>
      </c>
      <c r="I13" s="4">
        <f t="shared" si="27"/>
        <v>397.28300000000002</v>
      </c>
      <c r="J13" s="4">
        <f t="shared" si="27"/>
        <v>404.24700000000001</v>
      </c>
      <c r="K13" s="4">
        <f t="shared" si="27"/>
        <v>391.39300000000003</v>
      </c>
      <c r="L13" s="4">
        <f t="shared" si="27"/>
        <v>412.53100000000001</v>
      </c>
      <c r="M13" s="4">
        <f t="shared" ref="M13:N13" si="28">SUM(M10:M12)</f>
        <v>415.53100000000001</v>
      </c>
      <c r="N13" s="4">
        <f t="shared" si="28"/>
        <v>422.13900000000001</v>
      </c>
      <c r="O13" s="4">
        <f>+O10+O11+O12</f>
        <v>413.42599999999999</v>
      </c>
      <c r="P13" s="4">
        <f>+P10+P11+P12</f>
        <v>416.34400000000005</v>
      </c>
      <c r="Q13" s="4">
        <f>+Q10+Q11+Q12</f>
        <v>410.25400000000002</v>
      </c>
      <c r="R13" s="4">
        <f>+R10+R11+R12</f>
        <v>433.91700000000003</v>
      </c>
      <c r="S13" s="4">
        <f>+S10+S11+S12</f>
        <v>437.20100000000002</v>
      </c>
      <c r="T13" s="4"/>
      <c r="Y13" s="3">
        <f>SUM(Y10:Y12)</f>
        <v>1913.8049999999998</v>
      </c>
      <c r="Z13" s="3">
        <f t="shared" ref="Z13" si="29">SUM(Z10:Z12)</f>
        <v>1613.5309999999999</v>
      </c>
      <c r="AA13" s="3">
        <f t="shared" ref="AA13" si="30">SUM(AA10:AA12)</f>
        <v>1774.8841000000002</v>
      </c>
      <c r="AB13" s="3">
        <f t="shared" ref="AB13" si="31">SUM(AB10:AB12)</f>
        <v>1952.3725100000004</v>
      </c>
      <c r="AC13" s="3">
        <f t="shared" ref="AC13" si="32">SUM(AC10:AC12)</f>
        <v>2147.6097610000006</v>
      </c>
      <c r="AD13" s="3">
        <f t="shared" ref="AD13" si="33">SUM(AD10:AD12)</f>
        <v>2362.370737100001</v>
      </c>
      <c r="AE13" s="3">
        <f t="shared" ref="AE13" si="34">SUM(AE10:AE12)</f>
        <v>2598.6078108100014</v>
      </c>
      <c r="AF13" s="3">
        <f t="shared" ref="AF13" si="35">SUM(AF10:AF12)</f>
        <v>2858.4685918910018</v>
      </c>
      <c r="AG13" s="3">
        <f t="shared" ref="AG13" si="36">SUM(AG10:AG12)</f>
        <v>3144.3154510801023</v>
      </c>
    </row>
    <row r="14" spans="1:35" s="3" customFormat="1" x14ac:dyDescent="0.2">
      <c r="B14" s="3" t="s">
        <v>26</v>
      </c>
      <c r="C14" s="4"/>
      <c r="D14" s="4">
        <f t="shared" ref="D14:L14" si="37">D9-D13</f>
        <v>-99.14500000000001</v>
      </c>
      <c r="E14" s="4">
        <f t="shared" si="37"/>
        <v>-847.77700000000004</v>
      </c>
      <c r="F14" s="4">
        <f t="shared" si="37"/>
        <v>-156.57199999999995</v>
      </c>
      <c r="G14" s="4">
        <f t="shared" si="37"/>
        <v>-114.01400000000001</v>
      </c>
      <c r="H14" s="4">
        <f t="shared" si="37"/>
        <v>-146.14800000000002</v>
      </c>
      <c r="I14" s="4">
        <f t="shared" si="37"/>
        <v>-91.941000000000031</v>
      </c>
      <c r="J14" s="4">
        <f t="shared" si="37"/>
        <v>-58.942999999999984</v>
      </c>
      <c r="K14" s="4">
        <f t="shared" si="37"/>
        <v>-39.439000000000021</v>
      </c>
      <c r="L14" s="4">
        <f t="shared" si="37"/>
        <v>-41.745000000000005</v>
      </c>
      <c r="M14" s="4">
        <f t="shared" ref="M14:N14" si="38">M9-M13</f>
        <v>-33.226999999999975</v>
      </c>
      <c r="N14" s="4">
        <f t="shared" si="38"/>
        <v>-17.826000000000022</v>
      </c>
      <c r="O14" s="4">
        <f>+O9-O13</f>
        <v>4.1150000000000659</v>
      </c>
      <c r="P14" s="4">
        <f>+P9-P13</f>
        <v>10.073999999999955</v>
      </c>
      <c r="Q14" s="4">
        <f>+Q9-Q13</f>
        <v>39.982999999999947</v>
      </c>
      <c r="R14" s="4">
        <f>+R9-R13</f>
        <v>65.44399999999996</v>
      </c>
      <c r="S14" s="4">
        <f>+S9-S13</f>
        <v>80.880999999999972</v>
      </c>
      <c r="T14" s="4"/>
      <c r="Y14" s="3">
        <f>Y9-Y13</f>
        <v>-1173.6789999999999</v>
      </c>
      <c r="Z14" s="3">
        <f t="shared" ref="Z14" si="39">Z9-Z13</f>
        <v>-411.04600000000005</v>
      </c>
      <c r="AA14" s="3">
        <f t="shared" ref="AA14" si="40">AA9-AA13</f>
        <v>-250.18730000000028</v>
      </c>
      <c r="AB14" s="3">
        <f t="shared" ref="AB14" si="41">AB9-AB13</f>
        <v>-172.64291000000003</v>
      </c>
      <c r="AC14" s="3">
        <f t="shared" ref="AC14" si="42">AC9-AC13</f>
        <v>3.3732789999994566</v>
      </c>
      <c r="AD14" s="3">
        <f t="shared" ref="AD14" si="43">AD9-AD13</f>
        <v>218.80891089999886</v>
      </c>
      <c r="AE14" s="3">
        <f t="shared" ref="AE14" si="44">AE9-AE13</f>
        <v>498.80776678999837</v>
      </c>
      <c r="AF14" s="3">
        <f t="shared" ref="AF14" si="45">AF9-AF13</f>
        <v>858.43010122899796</v>
      </c>
      <c r="AG14" s="3">
        <f t="shared" ref="AG14" si="46">AG9-AG13</f>
        <v>1315.9629806638968</v>
      </c>
    </row>
    <row r="15" spans="1:35" s="3" customFormat="1" x14ac:dyDescent="0.2">
      <c r="B15" s="3" t="s">
        <v>27</v>
      </c>
      <c r="C15" s="4"/>
      <c r="D15" s="4">
        <f>0.551-5.646</f>
        <v>-5.0949999999999998</v>
      </c>
      <c r="E15" s="4">
        <f>0.494-2.085</f>
        <v>-1.591</v>
      </c>
      <c r="F15" s="4">
        <f>0.368-1.814</f>
        <v>-1.4460000000000002</v>
      </c>
      <c r="G15" s="4">
        <f>0.376-1.84</f>
        <v>-1.464</v>
      </c>
      <c r="H15" s="4">
        <f>0.372-0.59</f>
        <v>-0.21799999999999997</v>
      </c>
      <c r="I15" s="4">
        <f>0.379-0.609</f>
        <v>-0.22999999999999998</v>
      </c>
      <c r="J15" s="4">
        <f>0.48-0.601</f>
        <v>-0.121</v>
      </c>
      <c r="K15" s="4">
        <f>0.547-0.594</f>
        <v>-4.6999999999999931E-2</v>
      </c>
      <c r="L15" s="4">
        <f>1.472-0.67</f>
        <v>0.80199999999999994</v>
      </c>
      <c r="M15" s="4">
        <v>0</v>
      </c>
      <c r="N15" s="4">
        <f>12.75-1.712+44.637</f>
        <v>55.674999999999997</v>
      </c>
      <c r="O15" s="4">
        <f>20.853-4.136</f>
        <v>16.717000000000002</v>
      </c>
      <c r="P15" s="4">
        <f>30.31-1.317-9.024</f>
        <v>19.969000000000001</v>
      </c>
      <c r="Q15" s="4">
        <f>36.864-0.742+3.864</f>
        <v>39.985999999999997</v>
      </c>
      <c r="R15" s="4">
        <f>44.545-0.136-3.956</f>
        <v>40.452999999999996</v>
      </c>
      <c r="S15" s="4">
        <f>43.352-13.507</f>
        <v>29.844999999999999</v>
      </c>
      <c r="T15" s="4"/>
      <c r="Y15" s="3">
        <f>4.68-14.139</f>
        <v>-9.4589999999999996</v>
      </c>
      <c r="Z15" s="3">
        <f>1.607-3.64</f>
        <v>-2.0330000000000004</v>
      </c>
      <c r="AA15" s="3">
        <v>0</v>
      </c>
      <c r="AB15" s="3">
        <v>0</v>
      </c>
      <c r="AC15" s="3">
        <v>0</v>
      </c>
      <c r="AD15" s="3">
        <v>0</v>
      </c>
      <c r="AE15" s="3">
        <v>0</v>
      </c>
      <c r="AF15" s="3">
        <v>0</v>
      </c>
      <c r="AG15" s="3">
        <v>0</v>
      </c>
    </row>
    <row r="16" spans="1:35" s="3" customFormat="1" x14ac:dyDescent="0.2">
      <c r="B16" s="3" t="s">
        <v>28</v>
      </c>
      <c r="C16" s="4"/>
      <c r="D16" s="4">
        <f t="shared" ref="D16:L16" si="47">D14-D15</f>
        <v>-94.050000000000011</v>
      </c>
      <c r="E16" s="4">
        <f t="shared" si="47"/>
        <v>-846.18600000000004</v>
      </c>
      <c r="F16" s="4">
        <f t="shared" si="47"/>
        <v>-155.12599999999995</v>
      </c>
      <c r="G16" s="4">
        <f t="shared" si="47"/>
        <v>-112.55000000000001</v>
      </c>
      <c r="H16" s="4">
        <f t="shared" si="47"/>
        <v>-145.93000000000004</v>
      </c>
      <c r="I16" s="4">
        <f t="shared" si="47"/>
        <v>-91.711000000000027</v>
      </c>
      <c r="J16" s="4">
        <f t="shared" si="47"/>
        <v>-58.821999999999981</v>
      </c>
      <c r="K16" s="4">
        <f t="shared" si="47"/>
        <v>-39.392000000000024</v>
      </c>
      <c r="L16" s="4">
        <f t="shared" si="47"/>
        <v>-42.547000000000004</v>
      </c>
      <c r="M16" s="4">
        <f t="shared" ref="M16" si="48">M14-M15</f>
        <v>-33.226999999999975</v>
      </c>
      <c r="N16" s="4">
        <f t="shared" ref="N16:S16" si="49">+N14+N15</f>
        <v>37.848999999999975</v>
      </c>
      <c r="O16" s="4">
        <f t="shared" si="49"/>
        <v>20.832000000000068</v>
      </c>
      <c r="P16" s="4">
        <f t="shared" si="49"/>
        <v>30.042999999999957</v>
      </c>
      <c r="Q16" s="4">
        <f t="shared" si="49"/>
        <v>79.968999999999937</v>
      </c>
      <c r="R16" s="4">
        <f t="shared" si="49"/>
        <v>105.89699999999996</v>
      </c>
      <c r="S16" s="4">
        <f t="shared" si="49"/>
        <v>110.72599999999997</v>
      </c>
      <c r="T16" s="4"/>
      <c r="Y16" s="3">
        <f t="shared" ref="Y16:AD16" si="50">Y14+Y15</f>
        <v>-1183.1379999999999</v>
      </c>
      <c r="Z16" s="3">
        <f t="shared" si="50"/>
        <v>-413.07900000000006</v>
      </c>
      <c r="AA16" s="3">
        <f t="shared" si="50"/>
        <v>-250.18730000000028</v>
      </c>
      <c r="AB16" s="3">
        <f t="shared" si="50"/>
        <v>-172.64291000000003</v>
      </c>
      <c r="AC16" s="3">
        <f t="shared" si="50"/>
        <v>3.3732789999994566</v>
      </c>
      <c r="AD16" s="3">
        <f t="shared" si="50"/>
        <v>218.80891089999886</v>
      </c>
      <c r="AE16" s="3">
        <f t="shared" ref="AE16" si="51">AE14+AE15</f>
        <v>498.80776678999837</v>
      </c>
      <c r="AF16" s="3">
        <f t="shared" ref="AF16" si="52">AF14+AF15</f>
        <v>858.43010122899796</v>
      </c>
      <c r="AG16" s="3">
        <f t="shared" ref="AG16" si="53">AG14+AG15</f>
        <v>1315.9629806638968</v>
      </c>
    </row>
    <row r="17" spans="2:33" s="3" customFormat="1" x14ac:dyDescent="0.2">
      <c r="B17" s="3" t="s">
        <v>30</v>
      </c>
      <c r="C17" s="4"/>
      <c r="D17" s="4">
        <f>0.943</f>
        <v>0.94299999999999995</v>
      </c>
      <c r="E17" s="4">
        <v>-8.5429999999999993</v>
      </c>
      <c r="F17" s="4">
        <v>-7.593</v>
      </c>
      <c r="G17" s="4">
        <v>3.1019999999999999</v>
      </c>
      <c r="H17" s="4">
        <v>-5.6609999999999996</v>
      </c>
      <c r="I17" s="4">
        <v>1.4379999999999999</v>
      </c>
      <c r="J17" s="4">
        <v>33.006</v>
      </c>
      <c r="K17" s="4">
        <v>2.0230000000000001</v>
      </c>
      <c r="L17" s="4">
        <v>2.5880000000000001</v>
      </c>
      <c r="M17" s="4">
        <v>0</v>
      </c>
      <c r="N17" s="4">
        <f>4.36+2.611</f>
        <v>6.9710000000000001</v>
      </c>
      <c r="O17" s="4">
        <f>1.681+2.349</f>
        <v>4.03</v>
      </c>
      <c r="P17" s="4">
        <f>2.171-0.255</f>
        <v>1.9159999999999999</v>
      </c>
      <c r="Q17" s="4">
        <f>6.53+1.934</f>
        <v>8.4640000000000004</v>
      </c>
      <c r="R17" s="4">
        <f>9.334+3.522</f>
        <v>12.856</v>
      </c>
      <c r="S17" s="4">
        <f>4.655+0.541</f>
        <v>5.1960000000000006</v>
      </c>
      <c r="T17" s="4"/>
      <c r="Y17" s="3">
        <v>-12.635999999999999</v>
      </c>
      <c r="Z17" s="3">
        <v>31.885000000000002</v>
      </c>
      <c r="AA17" s="3">
        <v>0</v>
      </c>
      <c r="AB17" s="3">
        <v>0</v>
      </c>
      <c r="AC17" s="3">
        <v>0</v>
      </c>
      <c r="AD17" s="3">
        <f>AD16*0.1</f>
        <v>21.880891089999889</v>
      </c>
      <c r="AE17" s="3">
        <f t="shared" ref="AE17" si="54">AE16*0.1</f>
        <v>49.880776678999837</v>
      </c>
      <c r="AF17" s="3">
        <f t="shared" ref="AF17" si="55">AF16*0.1</f>
        <v>85.843010122899798</v>
      </c>
      <c r="AG17" s="3">
        <f t="shared" ref="AG17" si="56">AG16*0.1</f>
        <v>131.59629806638969</v>
      </c>
    </row>
    <row r="18" spans="2:33" s="3" customFormat="1" x14ac:dyDescent="0.2">
      <c r="B18" s="3" t="s">
        <v>31</v>
      </c>
      <c r="C18" s="4"/>
      <c r="D18" s="4">
        <f t="shared" ref="D18:L18" si="57">D16-D17</f>
        <v>-94.993000000000009</v>
      </c>
      <c r="E18" s="4">
        <f t="shared" si="57"/>
        <v>-837.64300000000003</v>
      </c>
      <c r="F18" s="4">
        <f t="shared" si="57"/>
        <v>-147.53299999999996</v>
      </c>
      <c r="G18" s="4">
        <f t="shared" si="57"/>
        <v>-115.65200000000002</v>
      </c>
      <c r="H18" s="4">
        <f t="shared" si="57"/>
        <v>-140.26900000000003</v>
      </c>
      <c r="I18" s="4">
        <f t="shared" si="57"/>
        <v>-93.149000000000029</v>
      </c>
      <c r="J18" s="4">
        <f t="shared" si="57"/>
        <v>-91.827999999999975</v>
      </c>
      <c r="K18" s="4">
        <f t="shared" si="57"/>
        <v>-41.415000000000028</v>
      </c>
      <c r="L18" s="4">
        <f t="shared" si="57"/>
        <v>-45.135000000000005</v>
      </c>
      <c r="M18" s="4">
        <f t="shared" ref="M18:N18" si="58">M16-M17</f>
        <v>-33.226999999999975</v>
      </c>
      <c r="N18" s="4">
        <f t="shared" si="58"/>
        <v>30.877999999999975</v>
      </c>
      <c r="O18" s="4">
        <f>+O16-O17</f>
        <v>16.802000000000067</v>
      </c>
      <c r="P18" s="4">
        <f>+P16-P17</f>
        <v>28.126999999999956</v>
      </c>
      <c r="Q18" s="4">
        <f>+Q16-Q17</f>
        <v>71.504999999999939</v>
      </c>
      <c r="R18" s="4">
        <f>+R16-R17</f>
        <v>93.040999999999968</v>
      </c>
      <c r="S18" s="4">
        <f>+S16-S17</f>
        <v>105.52999999999997</v>
      </c>
      <c r="T18" s="4"/>
      <c r="Y18" s="3">
        <f>Y16-Y17</f>
        <v>-1170.502</v>
      </c>
      <c r="Z18" s="3">
        <f>Z16-Z17</f>
        <v>-444.96400000000006</v>
      </c>
      <c r="AA18" s="3">
        <f t="shared" ref="AA18:AD18" si="59">AA16-AA17</f>
        <v>-250.18730000000028</v>
      </c>
      <c r="AB18" s="3">
        <f t="shared" si="59"/>
        <v>-172.64291000000003</v>
      </c>
      <c r="AC18" s="3">
        <f t="shared" si="59"/>
        <v>3.3732789999994566</v>
      </c>
      <c r="AD18" s="3">
        <f t="shared" si="59"/>
        <v>196.92801980999897</v>
      </c>
      <c r="AE18" s="3">
        <f t="shared" ref="AE18" si="60">AE16-AE17</f>
        <v>448.92699011099853</v>
      </c>
      <c r="AF18" s="3">
        <f t="shared" ref="AF18" si="61">AF16-AF17</f>
        <v>772.58709110609811</v>
      </c>
      <c r="AG18" s="3">
        <f t="shared" ref="AG18" si="62">AG16-AG17</f>
        <v>1184.3666825975072</v>
      </c>
    </row>
    <row r="19" spans="2:33" x14ac:dyDescent="0.2">
      <c r="B19" s="3" t="s">
        <v>1</v>
      </c>
      <c r="D19" s="7">
        <f t="shared" ref="D19:L19" si="63">D18/D20</f>
        <v>-0.14827157237200492</v>
      </c>
      <c r="E19" s="7">
        <f t="shared" si="63"/>
        <v>-0.92510011463761044</v>
      </c>
      <c r="F19" s="7">
        <f t="shared" si="63"/>
        <v>-8.3658536308756248E-2</v>
      </c>
      <c r="G19" s="7">
        <f t="shared" si="63"/>
        <v>-6.3504649239659608E-2</v>
      </c>
      <c r="H19" s="7">
        <f t="shared" si="63"/>
        <v>-7.4035973706406522E-2</v>
      </c>
      <c r="I19" s="7">
        <f t="shared" si="63"/>
        <v>-4.7418670888492401E-2</v>
      </c>
      <c r="J19" s="7">
        <f t="shared" si="63"/>
        <v>-4.5645513091992884E-2</v>
      </c>
      <c r="K19" s="7">
        <f t="shared" si="63"/>
        <v>-2.0338288872945007E-2</v>
      </c>
      <c r="L19" s="7">
        <f t="shared" si="63"/>
        <v>-2.1965652114878394E-2</v>
      </c>
      <c r="M19" s="7">
        <f t="shared" ref="M19:N19" si="64">M18/M20</f>
        <v>-1.6170438081778302E-2</v>
      </c>
      <c r="N19" s="7">
        <f t="shared" si="64"/>
        <v>1.4011679273305783E-2</v>
      </c>
      <c r="O19" s="7">
        <f>+O18/O20</f>
        <v>7.5772095647276289E-3</v>
      </c>
      <c r="P19" s="7">
        <f>+P18/P20</f>
        <v>1.2346394341034721E-2</v>
      </c>
      <c r="Q19" s="7">
        <f>+Q18/Q20</f>
        <v>3.0746904024767777E-2</v>
      </c>
      <c r="R19" s="7">
        <f>+R18/R20</f>
        <v>3.9461908894187728E-2</v>
      </c>
      <c r="S19" s="7">
        <f>+S18/S20</f>
        <v>4.3968873054409649E-2</v>
      </c>
      <c r="T19" s="7"/>
      <c r="Y19" s="1">
        <f>Y18/Y20</f>
        <v>-1.1952069271849119</v>
      </c>
      <c r="Z19" s="1">
        <f>Z18/Z20</f>
        <v>-0.23131631712549852</v>
      </c>
      <c r="AA19" s="1">
        <f t="shared" ref="AA19:AD19" si="65">AA18/AA20</f>
        <v>-0.11985539971912569</v>
      </c>
      <c r="AB19" s="1">
        <f t="shared" si="65"/>
        <v>-8.2706776030290197E-2</v>
      </c>
      <c r="AC19" s="1">
        <f t="shared" si="65"/>
        <v>1.6160120953744137E-3</v>
      </c>
      <c r="AD19" s="1">
        <f t="shared" si="65"/>
        <v>9.4340865944127869E-2</v>
      </c>
      <c r="AE19" s="1">
        <f t="shared" ref="AE19" si="66">AE18/AE20</f>
        <v>0.21506416930218944</v>
      </c>
      <c r="AF19" s="1">
        <f t="shared" ref="AF19" si="67">AF18/AF20</f>
        <v>0.37011764634878697</v>
      </c>
      <c r="AG19" s="1">
        <f t="shared" ref="AG19" si="68">AG18/AG20</f>
        <v>0.56738588312331972</v>
      </c>
    </row>
    <row r="20" spans="2:33" s="3" customFormat="1" x14ac:dyDescent="0.2">
      <c r="B20" s="3" t="s">
        <v>29</v>
      </c>
      <c r="C20" s="4"/>
      <c r="D20" s="4">
        <v>640.66899999999998</v>
      </c>
      <c r="E20" s="4">
        <v>905.46199999999999</v>
      </c>
      <c r="F20" s="4">
        <v>1763.5139999999999</v>
      </c>
      <c r="G20" s="4">
        <v>1821.1579999999999</v>
      </c>
      <c r="H20" s="4">
        <v>1894.606</v>
      </c>
      <c r="I20" s="4">
        <v>1964.395</v>
      </c>
      <c r="J20" s="4">
        <v>2011.7639999999999</v>
      </c>
      <c r="K20" s="4">
        <v>2036.307</v>
      </c>
      <c r="L20" s="4">
        <v>2054.799</v>
      </c>
      <c r="M20" s="4">
        <f t="shared" ref="M20" si="69">L20</f>
        <v>2054.799</v>
      </c>
      <c r="N20" s="4">
        <v>2203.7330000000002</v>
      </c>
      <c r="O20" s="4">
        <v>2217.4389999999999</v>
      </c>
      <c r="P20" s="4">
        <v>2278.1550000000002</v>
      </c>
      <c r="Q20" s="4">
        <v>2325.6</v>
      </c>
      <c r="R20" s="4">
        <v>2357.7420000000002</v>
      </c>
      <c r="S20" s="4">
        <v>2400.107</v>
      </c>
      <c r="T20" s="4"/>
      <c r="Y20" s="3">
        <v>979.33</v>
      </c>
      <c r="Z20" s="3">
        <v>1923.617</v>
      </c>
      <c r="AA20" s="3">
        <f>AVERAGE(K20:N20)</f>
        <v>2087.4094999999998</v>
      </c>
      <c r="AB20" s="3">
        <f>AA20</f>
        <v>2087.4094999999998</v>
      </c>
      <c r="AC20" s="3">
        <f>AB20</f>
        <v>2087.4094999999998</v>
      </c>
      <c r="AD20" s="3">
        <f>AC20</f>
        <v>2087.4094999999998</v>
      </c>
      <c r="AE20" s="3">
        <f t="shared" ref="AE20" si="70">AD20</f>
        <v>2087.4094999999998</v>
      </c>
      <c r="AF20" s="3">
        <f t="shared" ref="AF20:AG20" si="71">AE20</f>
        <v>2087.4094999999998</v>
      </c>
      <c r="AG20" s="3">
        <f t="shared" si="71"/>
        <v>2087.4094999999998</v>
      </c>
    </row>
    <row r="23" spans="2:33" s="11" customFormat="1" x14ac:dyDescent="0.2">
      <c r="B23" s="5" t="s">
        <v>32</v>
      </c>
      <c r="C23" s="9"/>
      <c r="D23" s="9"/>
      <c r="E23" s="9"/>
      <c r="F23" s="9"/>
      <c r="G23" s="9"/>
      <c r="H23" s="10">
        <f>H7/D7-1</f>
        <v>0.49129973917082514</v>
      </c>
      <c r="I23" s="10">
        <f>I7/E7-1</f>
        <v>0.35519031261447442</v>
      </c>
      <c r="J23" s="10">
        <f>J7/F7-1</f>
        <v>0.34392764777656004</v>
      </c>
      <c r="K23" s="10">
        <f>K7/G7-1</f>
        <v>0.30806719142875583</v>
      </c>
      <c r="L23" s="10">
        <f>L7/H7-1</f>
        <v>0.25920424233711881</v>
      </c>
      <c r="M23" s="10">
        <f t="shared" ref="M23:O23" si="72">M7/I7-1</f>
        <v>0.21862775598884077</v>
      </c>
      <c r="N23" s="10">
        <f t="shared" si="72"/>
        <v>0.17501218619113956</v>
      </c>
      <c r="O23" s="10">
        <f t="shared" si="72"/>
        <v>0.1766052733574246</v>
      </c>
      <c r="P23" s="10">
        <f t="shared" ref="P23:T23" si="73">P7/L7-1</f>
        <v>0.12749624743662924</v>
      </c>
      <c r="Q23" s="10">
        <f t="shared" si="73"/>
        <v>0.16798987193437687</v>
      </c>
      <c r="R23" s="10">
        <f t="shared" si="73"/>
        <v>0.19538205039479051</v>
      </c>
      <c r="S23" s="10">
        <f t="shared" si="73"/>
        <v>0.20783493847893864</v>
      </c>
      <c r="T23" s="10">
        <f t="shared" si="73"/>
        <v>0.22816261248000713</v>
      </c>
      <c r="U23" s="10">
        <f t="shared" ref="U23" si="74">U7/Q7-1</f>
        <v>0.19999999999999996</v>
      </c>
      <c r="V23" s="10">
        <f t="shared" ref="V23" si="75">V7/R7-1</f>
        <v>0.19999999999999996</v>
      </c>
      <c r="Z23" s="12">
        <f>Z7/Y7-1</f>
        <v>0.41111659206368234</v>
      </c>
      <c r="AA23" s="12">
        <f>AA7/Z7-1</f>
        <v>0.23606238840798532</v>
      </c>
      <c r="AB23" s="12">
        <f>AB7/AA7-1</f>
        <v>0.16726787909569985</v>
      </c>
      <c r="AC23" s="12">
        <f>AC7/AB7-1</f>
        <v>0.20860103692156362</v>
      </c>
      <c r="AD23" s="12">
        <f>AD7/AC7-1</f>
        <v>0.19999999999999996</v>
      </c>
      <c r="AE23" s="12">
        <f t="shared" ref="AE23" si="76">AE7/AD7-1</f>
        <v>0.19999999999999996</v>
      </c>
      <c r="AF23" s="12">
        <f t="shared" ref="AF23:AG23" si="77">AF7/AE7-1</f>
        <v>0.19999999999999996</v>
      </c>
      <c r="AG23" s="12">
        <f t="shared" si="77"/>
        <v>0.19999999999999996</v>
      </c>
    </row>
    <row r="24" spans="2:33" x14ac:dyDescent="0.2">
      <c r="B24" t="s">
        <v>33</v>
      </c>
      <c r="D24" s="8">
        <f t="shared" ref="D24:K24" si="78">D9/D7</f>
        <v>0.72841211803611916</v>
      </c>
      <c r="E24" s="8">
        <f t="shared" si="78"/>
        <v>0.48390619492269304</v>
      </c>
      <c r="F24" s="8">
        <f t="shared" si="78"/>
        <v>0.78110844450791861</v>
      </c>
      <c r="G24" s="8">
        <f t="shared" si="78"/>
        <v>0.78281472537906538</v>
      </c>
      <c r="H24" s="8">
        <f t="shared" si="78"/>
        <v>0.75794506471587308</v>
      </c>
      <c r="I24" s="8">
        <f t="shared" si="78"/>
        <v>0.77864366842961541</v>
      </c>
      <c r="J24" s="8">
        <f t="shared" si="78"/>
        <v>0.79771384744043783</v>
      </c>
      <c r="K24" s="8">
        <f t="shared" si="78"/>
        <v>0.78850337286073702</v>
      </c>
      <c r="L24" s="8">
        <f t="shared" ref="L24:P24" si="79">L9/L7</f>
        <v>0.78388617576795416</v>
      </c>
      <c r="M24" s="8">
        <f t="shared" si="79"/>
        <v>0.8</v>
      </c>
      <c r="N24" s="8">
        <f t="shared" si="79"/>
        <v>0.79491530089024498</v>
      </c>
      <c r="O24" s="8">
        <f t="shared" si="79"/>
        <v>0.79503452110299977</v>
      </c>
      <c r="P24" s="8">
        <f t="shared" si="79"/>
        <v>0.79955823647099189</v>
      </c>
      <c r="Q24" s="8">
        <f t="shared" ref="Q24:R24" si="80">Q9/Q7</f>
        <v>0.80664649320354953</v>
      </c>
      <c r="R24" s="8">
        <f t="shared" si="80"/>
        <v>0.82131743421052628</v>
      </c>
      <c r="S24" s="8">
        <f t="shared" ref="S24:T24" si="81">S9/S7</f>
        <v>0.81672862101907817</v>
      </c>
      <c r="T24" s="8">
        <f t="shared" si="81"/>
        <v>0</v>
      </c>
      <c r="Y24" s="8">
        <f t="shared" ref="Y24:AD24" si="82">Y9/Y7</f>
        <v>0.67735360899372454</v>
      </c>
      <c r="Z24" s="8">
        <f t="shared" si="82"/>
        <v>0.77987779924495215</v>
      </c>
      <c r="AA24" s="8">
        <f t="shared" si="82"/>
        <v>0.8</v>
      </c>
      <c r="AB24" s="8">
        <f t="shared" si="82"/>
        <v>0.8</v>
      </c>
      <c r="AC24" s="8">
        <f t="shared" si="82"/>
        <v>0.8</v>
      </c>
      <c r="AD24" s="8">
        <f t="shared" si="82"/>
        <v>0.8</v>
      </c>
      <c r="AE24" s="8">
        <f t="shared" ref="AE24" si="83">AE9/AE7</f>
        <v>0.8</v>
      </c>
      <c r="AF24" s="8">
        <f t="shared" ref="AF24:AG24" si="84">AF9/AF7</f>
        <v>0.8</v>
      </c>
      <c r="AG24" s="8">
        <f t="shared" si="84"/>
        <v>0.8</v>
      </c>
    </row>
    <row r="26" spans="2:33" s="3" customFormat="1" x14ac:dyDescent="0.2">
      <c r="B26" s="3" t="s">
        <v>3</v>
      </c>
      <c r="C26" s="4"/>
      <c r="D26" s="4"/>
      <c r="E26" s="4"/>
      <c r="F26" s="4"/>
      <c r="G26" s="4"/>
      <c r="H26" s="4"/>
      <c r="I26" s="4"/>
      <c r="J26" s="4"/>
      <c r="K26" s="4">
        <f>2269.411+33.804+252.563+29.222</f>
        <v>2585.0000000000005</v>
      </c>
      <c r="L26" s="4"/>
      <c r="M26" s="4"/>
      <c r="N26" s="4"/>
      <c r="O26" s="4">
        <f>1264.738+1639.797+11.946+12.095</f>
        <v>2928.5759999999996</v>
      </c>
      <c r="P26" s="4">
        <f>1055.923+2047.329</f>
        <v>3103.252</v>
      </c>
      <c r="Q26" s="4">
        <f>1040.31+2243.264</f>
        <v>3283.5740000000001</v>
      </c>
      <c r="R26" s="4">
        <f>831.047+2843.132</f>
        <v>3674.1790000000001</v>
      </c>
      <c r="S26" s="4">
        <f>520.388+3347.512</f>
        <v>3867.9</v>
      </c>
      <c r="T26" s="4"/>
      <c r="AB26" s="4">
        <f>831.047+2843.132</f>
        <v>3674.1790000000001</v>
      </c>
    </row>
    <row r="27" spans="2:33" s="3" customFormat="1" x14ac:dyDescent="0.2">
      <c r="B27" s="3" t="s">
        <v>34</v>
      </c>
      <c r="C27" s="4"/>
      <c r="D27" s="4"/>
      <c r="E27" s="4"/>
      <c r="F27" s="4"/>
      <c r="G27" s="4"/>
      <c r="H27" s="4"/>
      <c r="I27" s="4"/>
      <c r="J27" s="4"/>
      <c r="K27" s="4">
        <v>256.55399999999997</v>
      </c>
      <c r="L27" s="4"/>
      <c r="M27" s="4"/>
      <c r="N27" s="4"/>
      <c r="O27" s="4">
        <v>254.041</v>
      </c>
      <c r="P27" s="4">
        <v>375.75599999999997</v>
      </c>
      <c r="Q27" s="4">
        <v>430.26900000000001</v>
      </c>
      <c r="R27" s="4">
        <v>364.78399999999999</v>
      </c>
      <c r="S27" s="4">
        <v>486.98599999999999</v>
      </c>
      <c r="T27" s="4"/>
      <c r="AB27" s="4">
        <v>364.78399999999999</v>
      </c>
    </row>
    <row r="28" spans="2:33" s="3" customFormat="1" x14ac:dyDescent="0.2">
      <c r="B28" s="3" t="s">
        <v>35</v>
      </c>
      <c r="C28" s="4"/>
      <c r="D28" s="4"/>
      <c r="E28" s="4"/>
      <c r="F28" s="4"/>
      <c r="G28" s="4"/>
      <c r="H28" s="4"/>
      <c r="I28" s="4"/>
      <c r="J28" s="4"/>
      <c r="K28" s="4">
        <v>115.042</v>
      </c>
      <c r="L28" s="4"/>
      <c r="M28" s="4"/>
      <c r="N28" s="4"/>
      <c r="O28" s="4">
        <v>85.625</v>
      </c>
      <c r="P28" s="4">
        <v>97.906000000000006</v>
      </c>
      <c r="Q28" s="4">
        <v>95.554000000000002</v>
      </c>
      <c r="R28" s="4">
        <v>99.655000000000001</v>
      </c>
      <c r="S28" s="4">
        <v>81.177999999999997</v>
      </c>
      <c r="T28" s="4"/>
      <c r="AB28" s="4">
        <v>99.655000000000001</v>
      </c>
    </row>
    <row r="29" spans="2:33" s="3" customFormat="1" x14ac:dyDescent="0.2">
      <c r="B29" s="3" t="s">
        <v>36</v>
      </c>
      <c r="C29" s="4"/>
      <c r="D29" s="4"/>
      <c r="E29" s="4"/>
      <c r="F29" s="4"/>
      <c r="G29" s="4"/>
      <c r="H29" s="4"/>
      <c r="I29" s="4"/>
      <c r="J29" s="4"/>
      <c r="K29" s="4">
        <v>41.866</v>
      </c>
      <c r="L29" s="4"/>
      <c r="M29" s="4"/>
      <c r="N29" s="4"/>
      <c r="O29" s="4">
        <v>63.115000000000002</v>
      </c>
      <c r="P29" s="4">
        <v>54.097000000000001</v>
      </c>
      <c r="Q29" s="4">
        <v>50.133000000000003</v>
      </c>
      <c r="R29" s="4">
        <v>47.758000000000003</v>
      </c>
      <c r="S29" s="4">
        <v>46.905999999999999</v>
      </c>
      <c r="T29" s="4"/>
      <c r="AB29" s="4">
        <v>47.758000000000003</v>
      </c>
    </row>
    <row r="30" spans="2:33" s="3" customFormat="1" x14ac:dyDescent="0.2">
      <c r="B30" s="3" t="s">
        <v>37</v>
      </c>
      <c r="C30" s="4"/>
      <c r="D30" s="4"/>
      <c r="E30" s="4"/>
      <c r="F30" s="4"/>
      <c r="G30" s="4"/>
      <c r="H30" s="4"/>
      <c r="I30" s="4"/>
      <c r="J30" s="4"/>
      <c r="K30" s="4">
        <v>224.88800000000001</v>
      </c>
      <c r="L30" s="4"/>
      <c r="M30" s="4"/>
      <c r="N30" s="4"/>
      <c r="O30" s="4">
        <v>210.01900000000001</v>
      </c>
      <c r="P30" s="4">
        <v>199.661</v>
      </c>
      <c r="Q30" s="4">
        <v>190.191</v>
      </c>
      <c r="R30" s="4">
        <v>182.863</v>
      </c>
      <c r="S30" s="4">
        <v>173.70699999999999</v>
      </c>
      <c r="T30" s="4"/>
      <c r="AB30" s="4">
        <v>182.863</v>
      </c>
    </row>
    <row r="31" spans="2:33" s="3" customFormat="1" x14ac:dyDescent="0.2">
      <c r="B31" s="3" t="s">
        <v>38</v>
      </c>
      <c r="C31" s="4"/>
      <c r="D31" s="4"/>
      <c r="E31" s="4"/>
      <c r="F31" s="4"/>
      <c r="G31" s="4"/>
      <c r="H31" s="4"/>
      <c r="I31" s="4"/>
      <c r="J31" s="4"/>
      <c r="K31" s="4">
        <v>95.828999999999994</v>
      </c>
      <c r="L31" s="4"/>
      <c r="M31" s="4"/>
      <c r="N31" s="4"/>
      <c r="O31" s="4">
        <v>141.762</v>
      </c>
      <c r="P31" s="4">
        <v>149.59200000000001</v>
      </c>
      <c r="Q31" s="4">
        <v>143.696</v>
      </c>
      <c r="R31" s="4">
        <v>153.18600000000001</v>
      </c>
      <c r="S31" s="4">
        <v>150.40199999999999</v>
      </c>
      <c r="T31" s="4"/>
      <c r="AB31" s="4">
        <v>153.18600000000001</v>
      </c>
    </row>
    <row r="32" spans="2:33" s="3" customFormat="1" x14ac:dyDescent="0.2">
      <c r="B32" s="3" t="s">
        <v>39</v>
      </c>
      <c r="C32" s="4"/>
      <c r="D32" s="4"/>
      <c r="E32" s="4"/>
      <c r="F32" s="4"/>
      <c r="G32" s="4"/>
      <c r="H32" s="4"/>
      <c r="I32" s="4"/>
      <c r="J32" s="4"/>
      <c r="K32" s="4">
        <f>SUM(K26:K31)</f>
        <v>3319.1790000000005</v>
      </c>
      <c r="L32" s="4"/>
      <c r="M32" s="4"/>
      <c r="N32" s="4"/>
      <c r="O32" s="4">
        <f>SUM(O26:O31)</f>
        <v>3683.1379999999995</v>
      </c>
      <c r="P32" s="4">
        <f>SUM(P26:P31)</f>
        <v>3980.2640000000001</v>
      </c>
      <c r="Q32" s="4">
        <f>SUM(Q26:Q31)</f>
        <v>4193.4169999999995</v>
      </c>
      <c r="R32" s="4">
        <f>SUM(R26:R31)</f>
        <v>4522.4250000000002</v>
      </c>
      <c r="S32" s="4">
        <f>SUM(S26:S31)</f>
        <v>4807.0790000000006</v>
      </c>
      <c r="T32" s="4"/>
      <c r="AB32" s="4">
        <f>SUM(AB26:AB31)</f>
        <v>4522.4250000000002</v>
      </c>
    </row>
    <row r="33" spans="2:28" x14ac:dyDescent="0.2">
      <c r="AB33" s="2"/>
    </row>
    <row r="34" spans="2:28" s="3" customFormat="1" x14ac:dyDescent="0.2">
      <c r="B34" s="3" t="s">
        <v>40</v>
      </c>
      <c r="C34" s="4"/>
      <c r="D34" s="4"/>
      <c r="E34" s="4"/>
      <c r="F34" s="4"/>
      <c r="G34" s="4"/>
      <c r="H34" s="4"/>
      <c r="I34" s="4"/>
      <c r="J34" s="4"/>
      <c r="K34" s="4">
        <v>27.454000000000001</v>
      </c>
      <c r="L34" s="4"/>
      <c r="M34" s="4"/>
      <c r="N34" s="4"/>
      <c r="O34" s="4">
        <v>4.53</v>
      </c>
      <c r="P34" s="4">
        <v>4.6130000000000004</v>
      </c>
      <c r="Q34" s="4">
        <v>9.4749999999999996</v>
      </c>
      <c r="R34" s="4">
        <v>12.122</v>
      </c>
      <c r="S34" s="4">
        <v>35.634</v>
      </c>
      <c r="T34" s="4"/>
      <c r="AB34" s="4">
        <v>12.122</v>
      </c>
    </row>
    <row r="35" spans="2:28" s="3" customFormat="1" x14ac:dyDescent="0.2">
      <c r="B35" s="3" t="s">
        <v>41</v>
      </c>
      <c r="C35" s="4"/>
      <c r="D35" s="4"/>
      <c r="E35" s="4"/>
      <c r="F35" s="4"/>
      <c r="G35" s="4"/>
      <c r="H35" s="4"/>
      <c r="I35" s="4"/>
      <c r="J35" s="4"/>
      <c r="K35" s="4">
        <v>150.17599999999999</v>
      </c>
      <c r="L35" s="4"/>
      <c r="M35" s="4"/>
      <c r="N35" s="4"/>
      <c r="O35" s="4">
        <v>174.52500000000001</v>
      </c>
      <c r="P35" s="4">
        <v>184.61699999999999</v>
      </c>
      <c r="Q35" s="4">
        <v>174.75299999999999</v>
      </c>
      <c r="R35" s="4">
        <v>222.99100000000001</v>
      </c>
      <c r="S35" s="4">
        <v>206.03399999999999</v>
      </c>
      <c r="T35" s="4"/>
      <c r="AB35" s="4">
        <v>222.99100000000001</v>
      </c>
    </row>
    <row r="36" spans="2:28" s="3" customFormat="1" x14ac:dyDescent="0.2">
      <c r="B36" s="3" t="s">
        <v>42</v>
      </c>
      <c r="C36" s="4"/>
      <c r="D36" s="4"/>
      <c r="E36" s="4"/>
      <c r="F36" s="4"/>
      <c r="G36" s="4"/>
      <c r="H36" s="4"/>
      <c r="I36" s="4"/>
      <c r="J36" s="4"/>
      <c r="K36" s="4">
        <f>218.521+33.244</f>
        <v>251.76499999999999</v>
      </c>
      <c r="L36" s="4"/>
      <c r="M36" s="4"/>
      <c r="N36" s="4"/>
      <c r="O36" s="4">
        <f>229.551+54.4</f>
        <v>283.95099999999996</v>
      </c>
      <c r="P36" s="4">
        <f>260.335+50.408</f>
        <v>310.74299999999999</v>
      </c>
      <c r="Q36" s="4">
        <f>223.507+34.88</f>
        <v>258.387</v>
      </c>
      <c r="R36" s="4">
        <f>246.901+28.047</f>
        <v>274.94800000000004</v>
      </c>
      <c r="S36" s="4">
        <f>237.195+20.722</f>
        <v>257.91699999999997</v>
      </c>
      <c r="T36" s="4"/>
      <c r="AB36" s="4">
        <f>246.901+28.047</f>
        <v>274.94800000000004</v>
      </c>
    </row>
    <row r="37" spans="2:28" s="3" customFormat="1" x14ac:dyDescent="0.2">
      <c r="B37" s="3" t="s">
        <v>43</v>
      </c>
      <c r="C37" s="4"/>
      <c r="D37" s="4"/>
      <c r="E37" s="4"/>
      <c r="F37" s="4"/>
      <c r="G37" s="4"/>
      <c r="H37" s="4"/>
      <c r="I37" s="4"/>
      <c r="J37" s="4"/>
      <c r="K37" s="4">
        <f>232.908+22.276</f>
        <v>255.184</v>
      </c>
      <c r="L37" s="4"/>
      <c r="M37" s="4"/>
      <c r="N37" s="4"/>
      <c r="O37" s="4">
        <f>139.741+4.162</f>
        <v>143.90300000000002</v>
      </c>
      <c r="P37" s="4">
        <f>183.964+3.099</f>
        <v>187.06299999999999</v>
      </c>
      <c r="Q37" s="4">
        <f>228.986+2.234</f>
        <v>231.22</v>
      </c>
      <c r="R37" s="4">
        <f>1.477+209.828</f>
        <v>211.30500000000001</v>
      </c>
      <c r="S37" s="4">
        <f>217.634+1.651</f>
        <v>219.285</v>
      </c>
      <c r="T37" s="4"/>
      <c r="AB37" s="4">
        <f>1.477+209.828</f>
        <v>211.30500000000001</v>
      </c>
    </row>
    <row r="38" spans="2:28" s="3" customFormat="1" x14ac:dyDescent="0.2">
      <c r="B38" s="3" t="s">
        <v>37</v>
      </c>
      <c r="C38" s="4"/>
      <c r="D38" s="4"/>
      <c r="E38" s="4"/>
      <c r="F38" s="4"/>
      <c r="G38" s="4"/>
      <c r="H38" s="4"/>
      <c r="I38" s="4"/>
      <c r="J38" s="4"/>
      <c r="K38" s="4">
        <f>40.045+227.617</f>
        <v>267.66199999999998</v>
      </c>
      <c r="L38" s="4"/>
      <c r="M38" s="4"/>
      <c r="N38" s="4"/>
      <c r="O38" s="4">
        <f>53.066+206.422</f>
        <v>259.488</v>
      </c>
      <c r="P38" s="4">
        <f>51.855+194.134</f>
        <v>245.98899999999998</v>
      </c>
      <c r="Q38" s="4">
        <f>52.204+184.067</f>
        <v>236.27100000000002</v>
      </c>
      <c r="R38" s="4">
        <f>54.176+175.216</f>
        <v>229.392</v>
      </c>
      <c r="S38" s="4">
        <f>54.056+163.013</f>
        <v>217.06900000000002</v>
      </c>
      <c r="T38" s="4"/>
      <c r="AB38" s="4">
        <f>54.176+175.216</f>
        <v>229.392</v>
      </c>
    </row>
    <row r="39" spans="2:28" s="3" customFormat="1" x14ac:dyDescent="0.2">
      <c r="B39" s="3" t="s">
        <v>46</v>
      </c>
      <c r="C39" s="4"/>
      <c r="D39" s="4"/>
      <c r="E39" s="4"/>
      <c r="F39" s="4"/>
      <c r="G39" s="4"/>
      <c r="H39" s="4"/>
      <c r="I39" s="4"/>
      <c r="J39" s="4"/>
      <c r="K39" s="4">
        <v>2.1920000000000002</v>
      </c>
      <c r="L39" s="4"/>
      <c r="M39" s="4"/>
      <c r="N39" s="4"/>
      <c r="O39" s="4">
        <v>13.548</v>
      </c>
      <c r="P39" s="4">
        <v>12.101000000000001</v>
      </c>
      <c r="Q39" s="4">
        <v>11.414</v>
      </c>
      <c r="R39" s="4">
        <v>10.702</v>
      </c>
      <c r="S39" s="4">
        <v>9.968</v>
      </c>
      <c r="T39" s="4"/>
      <c r="AB39" s="4">
        <v>10.702</v>
      </c>
    </row>
    <row r="40" spans="2:28" s="3" customFormat="1" x14ac:dyDescent="0.2">
      <c r="B40" s="3" t="s">
        <v>44</v>
      </c>
      <c r="C40" s="4"/>
      <c r="D40" s="4"/>
      <c r="E40" s="4"/>
      <c r="F40" s="4"/>
      <c r="G40" s="4"/>
      <c r="H40" s="4"/>
      <c r="I40" s="4"/>
      <c r="J40" s="4"/>
      <c r="K40" s="4">
        <v>2364.7460000000001</v>
      </c>
      <c r="L40" s="4"/>
      <c r="M40" s="4"/>
      <c r="N40" s="4"/>
      <c r="O40" s="4">
        <v>2803.1930000000002</v>
      </c>
      <c r="P40" s="4">
        <v>3035.1379999999999</v>
      </c>
      <c r="Q40" s="4">
        <v>3271.8969999999999</v>
      </c>
      <c r="R40" s="4">
        <v>3560.9650000000001</v>
      </c>
      <c r="S40" s="4">
        <v>3861.172</v>
      </c>
      <c r="T40" s="4"/>
      <c r="AB40" s="4">
        <v>3560.9650000000001</v>
      </c>
    </row>
    <row r="41" spans="2:28" s="3" customFormat="1" x14ac:dyDescent="0.2">
      <c r="B41" s="3" t="s">
        <v>45</v>
      </c>
      <c r="C41" s="4"/>
      <c r="D41" s="4"/>
      <c r="E41" s="4"/>
      <c r="F41" s="4"/>
      <c r="G41" s="4"/>
      <c r="H41" s="4"/>
      <c r="I41" s="4"/>
      <c r="J41" s="4"/>
      <c r="K41" s="4">
        <f>SUM(K34:K40)</f>
        <v>3319.1790000000001</v>
      </c>
      <c r="L41" s="4"/>
      <c r="M41" s="4"/>
      <c r="N41" s="4"/>
      <c r="O41" s="4">
        <f>SUM(O34:O40)</f>
        <v>3683.1379999999999</v>
      </c>
      <c r="P41" s="4">
        <f>SUM(P34:P40)</f>
        <v>3980.2639999999997</v>
      </c>
      <c r="Q41" s="4">
        <f>SUM(Q34:Q40)</f>
        <v>4193.4169999999995</v>
      </c>
      <c r="R41" s="4">
        <f>SUM(R34:R40)</f>
        <v>4522.4250000000002</v>
      </c>
      <c r="S41" s="4">
        <f>SUM(S34:S40)</f>
        <v>4807.0789999999997</v>
      </c>
      <c r="T41" s="4"/>
      <c r="AB41" s="4">
        <f>SUM(AB34:AB40)</f>
        <v>4522.4250000000002</v>
      </c>
    </row>
    <row r="43" spans="2:28" x14ac:dyDescent="0.2">
      <c r="B43" s="3" t="s">
        <v>56</v>
      </c>
      <c r="O43" s="4">
        <f>+O18</f>
        <v>16.802000000000067</v>
      </c>
      <c r="R43" s="4"/>
      <c r="S43" s="4">
        <f>+S18</f>
        <v>105.52999999999997</v>
      </c>
      <c r="Z43" s="16">
        <f>+Z18</f>
        <v>-444.96400000000006</v>
      </c>
      <c r="AA43" s="16">
        <f>+AA18</f>
        <v>-250.18730000000028</v>
      </c>
      <c r="AB43" s="16">
        <f>+AB18</f>
        <v>-172.64291000000003</v>
      </c>
    </row>
    <row r="44" spans="2:28" x14ac:dyDescent="0.2">
      <c r="B44" s="3" t="s">
        <v>57</v>
      </c>
      <c r="O44" s="4">
        <v>19.151</v>
      </c>
      <c r="R44" s="4"/>
      <c r="S44" s="4">
        <v>106.071</v>
      </c>
      <c r="Z44" s="16">
        <v>-520.37900000000002</v>
      </c>
      <c r="AA44" s="16">
        <v>-371.09399999999999</v>
      </c>
      <c r="AB44" s="16">
        <v>217.375</v>
      </c>
    </row>
    <row r="45" spans="2:28" x14ac:dyDescent="0.2">
      <c r="B45" s="3" t="s">
        <v>58</v>
      </c>
      <c r="O45" s="4">
        <v>8.32</v>
      </c>
      <c r="R45" s="4"/>
      <c r="S45" s="4">
        <v>8.4380000000000006</v>
      </c>
      <c r="Z45" s="16">
        <v>14.897</v>
      </c>
      <c r="AA45" s="16">
        <v>22.521999999999998</v>
      </c>
      <c r="AB45" s="16">
        <v>33.353999999999999</v>
      </c>
    </row>
    <row r="46" spans="2:28" x14ac:dyDescent="0.2">
      <c r="B46" s="3" t="s">
        <v>59</v>
      </c>
      <c r="O46" s="4">
        <v>114.714</v>
      </c>
      <c r="R46" s="4"/>
      <c r="S46" s="4">
        <v>125.651</v>
      </c>
      <c r="Z46" s="16">
        <v>778.21500000000003</v>
      </c>
      <c r="AA46" s="16">
        <v>564.798</v>
      </c>
      <c r="AB46" s="16">
        <v>475.90300000000002</v>
      </c>
    </row>
    <row r="47" spans="2:28" x14ac:dyDescent="0.2">
      <c r="B47" s="3" t="s">
        <v>37</v>
      </c>
      <c r="O47" s="4">
        <v>10.836</v>
      </c>
      <c r="R47" s="4"/>
      <c r="S47" s="4">
        <v>12.366</v>
      </c>
      <c r="Z47" s="16">
        <v>33.820999999999998</v>
      </c>
      <c r="AA47" s="16">
        <v>40.308999999999997</v>
      </c>
      <c r="AB47" s="16">
        <v>47.018999999999998</v>
      </c>
    </row>
    <row r="48" spans="2:28" x14ac:dyDescent="0.2">
      <c r="B48" s="3" t="s">
        <v>60</v>
      </c>
      <c r="O48" s="4">
        <v>8.5079999999999991</v>
      </c>
      <c r="R48" s="4"/>
      <c r="S48" s="4">
        <v>12.353999999999999</v>
      </c>
      <c r="Z48" s="16">
        <v>73.311000000000007</v>
      </c>
      <c r="AA48" s="16">
        <v>272.108</v>
      </c>
      <c r="AB48" s="16">
        <v>13.16</v>
      </c>
    </row>
    <row r="49" spans="2:28" x14ac:dyDescent="0.2">
      <c r="B49" s="3" t="s">
        <v>61</v>
      </c>
      <c r="O49" s="4">
        <v>0</v>
      </c>
      <c r="R49" s="4"/>
      <c r="S49" s="4">
        <v>-11.907</v>
      </c>
      <c r="Z49" s="16">
        <v>0</v>
      </c>
      <c r="AA49" s="16">
        <v>-15.537000000000001</v>
      </c>
      <c r="AB49" s="16">
        <v>-46.609000000000002</v>
      </c>
    </row>
    <row r="50" spans="2:28" x14ac:dyDescent="0.2">
      <c r="B50" s="3" t="s">
        <v>38</v>
      </c>
      <c r="O50" s="4">
        <v>-11.342000000000001</v>
      </c>
      <c r="R50" s="4"/>
      <c r="S50" s="4">
        <v>-6.774</v>
      </c>
      <c r="Z50" s="16">
        <f>2.767+43.316</f>
        <v>46.083000000000006</v>
      </c>
      <c r="AA50" s="16">
        <f>16.328-44.306-0.174</f>
        <v>-28.151999999999997</v>
      </c>
      <c r="AB50" s="16">
        <f>-4.806-29.449</f>
        <v>-34.255000000000003</v>
      </c>
    </row>
    <row r="51" spans="2:28" s="3" customFormat="1" x14ac:dyDescent="0.2">
      <c r="B51" s="3" t="s">
        <v>62</v>
      </c>
      <c r="C51" s="4"/>
      <c r="D51" s="4"/>
      <c r="E51" s="4"/>
      <c r="F51" s="4"/>
      <c r="G51" s="4">
        <v>116881</v>
      </c>
      <c r="H51" s="4"/>
      <c r="I51" s="4"/>
      <c r="J51" s="4"/>
      <c r="K51" s="4">
        <v>35477</v>
      </c>
      <c r="L51" s="4"/>
      <c r="M51" s="4"/>
      <c r="N51" s="4"/>
      <c r="O51" s="4">
        <f>-0.628+1.973-4.551-39.921+4.271+88.673-2.112-10.536+0.2</f>
        <v>37.369</v>
      </c>
      <c r="P51" s="4"/>
      <c r="Q51" s="4"/>
      <c r="R51" s="4"/>
      <c r="S51" s="4">
        <f>-121.884+19.399+3.525+23.809-19.105-14.802+7.953-15.482-0.033</f>
        <v>-116.61999999999999</v>
      </c>
      <c r="T51" s="4"/>
      <c r="Z51" s="16">
        <f>-35.237-10.974-3.345+57.767+15.245+24.732-104.944-32.156-3.185</f>
        <v>-92.097000000000008</v>
      </c>
      <c r="AA51" s="16">
        <f>-72.819-24.811+6.033-29.859+5.527-61.154-49.471-34.59-0.073</f>
        <v>-261.21699999999998</v>
      </c>
      <c r="AB51" s="16">
        <f>-106.159-6.197+3.242-31.832+52.895+79.512+64.347-49.63+0.058</f>
        <v>6.2360000000000042</v>
      </c>
    </row>
    <row r="52" spans="2:28" x14ac:dyDescent="0.2">
      <c r="B52" s="3" t="s">
        <v>47</v>
      </c>
      <c r="O52" s="4">
        <f>SUM(O44:O51)</f>
        <v>187.55600000000001</v>
      </c>
      <c r="R52" s="4"/>
      <c r="S52" s="4">
        <f>SUM(S44:S51)</f>
        <v>129.57900000000001</v>
      </c>
      <c r="Y52" s="3">
        <v>-296608</v>
      </c>
      <c r="Z52" s="16">
        <f>SUM(Z44:Z51)</f>
        <v>333.851</v>
      </c>
      <c r="AA52" s="16">
        <f>SUM(AA44:AA51)</f>
        <v>223.73700000000002</v>
      </c>
      <c r="AB52" s="16">
        <f>SUM(AB44:AB51)</f>
        <v>712.18299999999999</v>
      </c>
    </row>
    <row r="54" spans="2:28" x14ac:dyDescent="0.2">
      <c r="B54" s="3" t="s">
        <v>36</v>
      </c>
      <c r="O54" s="4">
        <v>-4.7549999999999999</v>
      </c>
      <c r="R54" s="4"/>
      <c r="S54" s="4">
        <v>-2.6640000000000001</v>
      </c>
    </row>
    <row r="55" spans="2:28" x14ac:dyDescent="0.2">
      <c r="B55" s="3" t="s">
        <v>64</v>
      </c>
      <c r="O55" s="4">
        <f>-2310.367+709.459+51.072</f>
        <v>-1549.8360000000002</v>
      </c>
      <c r="R55" s="4"/>
      <c r="S55" s="4">
        <f>-1260.327+751.746</f>
        <v>-508.58100000000002</v>
      </c>
    </row>
    <row r="56" spans="2:28" x14ac:dyDescent="0.2">
      <c r="B56" t="s">
        <v>63</v>
      </c>
      <c r="O56" s="4">
        <f>O54+O55</f>
        <v>-1554.5910000000003</v>
      </c>
      <c r="R56" s="4"/>
      <c r="S56" s="4">
        <f>SUM(S54:S55)</f>
        <v>-511.245</v>
      </c>
    </row>
    <row r="58" spans="2:28" x14ac:dyDescent="0.2">
      <c r="B58" t="s">
        <v>68</v>
      </c>
      <c r="O58" s="4">
        <v>25.923999999999999</v>
      </c>
      <c r="R58" s="4"/>
      <c r="S58" s="4">
        <v>83.84</v>
      </c>
    </row>
    <row r="59" spans="2:28" x14ac:dyDescent="0.2">
      <c r="B59" t="s">
        <v>69</v>
      </c>
      <c r="O59" s="4">
        <v>0</v>
      </c>
      <c r="R59" s="4"/>
      <c r="S59" s="4">
        <v>-9</v>
      </c>
    </row>
    <row r="60" spans="2:28" x14ac:dyDescent="0.2">
      <c r="B60" t="s">
        <v>38</v>
      </c>
      <c r="O60" s="4">
        <v>5.8999999999999997E-2</v>
      </c>
      <c r="R60" s="4"/>
      <c r="S60" s="4">
        <v>0.40799999999999997</v>
      </c>
    </row>
    <row r="61" spans="2:28" x14ac:dyDescent="0.2">
      <c r="B61" t="s">
        <v>67</v>
      </c>
      <c r="O61" s="4">
        <f>SUM(O58:O60)</f>
        <v>25.983000000000001</v>
      </c>
      <c r="R61" s="4"/>
      <c r="S61" s="4">
        <f>SUM(S58:S60)</f>
        <v>75.248000000000005</v>
      </c>
    </row>
    <row r="62" spans="2:28" x14ac:dyDescent="0.2">
      <c r="B62" t="s">
        <v>66</v>
      </c>
      <c r="O62" s="4">
        <v>2.6760000000000002</v>
      </c>
      <c r="R62" s="4"/>
      <c r="S62" s="4">
        <v>-4.024</v>
      </c>
    </row>
    <row r="63" spans="2:28" x14ac:dyDescent="0.2">
      <c r="B63" t="s">
        <v>65</v>
      </c>
      <c r="O63" s="4">
        <f>+O62+O61+O56+O52</f>
        <v>-1338.3760000000002</v>
      </c>
      <c r="R63" s="4"/>
      <c r="S63" s="4">
        <f>+S62+S61+S56+S52</f>
        <v>-310.44200000000001</v>
      </c>
    </row>
    <row r="66" spans="2:28" x14ac:dyDescent="0.2">
      <c r="B66" t="s">
        <v>84</v>
      </c>
      <c r="N66" s="2">
        <v>367</v>
      </c>
      <c r="R66" s="2">
        <v>497</v>
      </c>
      <c r="AA66">
        <f>+N66</f>
        <v>367</v>
      </c>
      <c r="AB66">
        <f>+R66</f>
        <v>497</v>
      </c>
    </row>
    <row r="67" spans="2:28" x14ac:dyDescent="0.2">
      <c r="B67" t="s">
        <v>85</v>
      </c>
      <c r="R67" s="8">
        <v>0.62</v>
      </c>
      <c r="AB67" s="8">
        <v>0.62</v>
      </c>
    </row>
    <row r="68" spans="2:28" x14ac:dyDescent="0.2">
      <c r="B68" t="s">
        <v>86</v>
      </c>
      <c r="R68" s="8">
        <v>0.38</v>
      </c>
      <c r="AB68" s="8">
        <v>0.38</v>
      </c>
    </row>
    <row r="69" spans="2:28" x14ac:dyDescent="0.2">
      <c r="B69" t="s">
        <v>87</v>
      </c>
      <c r="R69" s="8">
        <v>0.55000000000000004</v>
      </c>
      <c r="AB69" s="8">
        <v>0.55000000000000004</v>
      </c>
    </row>
    <row r="70" spans="2:28" x14ac:dyDescent="0.2">
      <c r="B70" t="s">
        <v>88</v>
      </c>
      <c r="R70" s="8">
        <v>0.45</v>
      </c>
      <c r="AB70" s="8">
        <v>0.45</v>
      </c>
    </row>
  </sheetData>
  <hyperlinks>
    <hyperlink ref="A1" location="Main!A1" display="Main" xr:uid="{74CEF264-386F-4340-9ED3-DF5D1BF99954}"/>
  </hyperlinks>
  <pageMargins left="0.7" right="0.7" top="0.75" bottom="0.75" header="0.3" footer="0.3"/>
  <pageSetup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</dc:creator>
  <cp:lastModifiedBy>Martin Shkreli</cp:lastModifiedBy>
  <dcterms:created xsi:type="dcterms:W3CDTF">2022-07-18T16:27:52Z</dcterms:created>
  <dcterms:modified xsi:type="dcterms:W3CDTF">2024-07-31T16:33:48Z</dcterms:modified>
</cp:coreProperties>
</file>