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3765436-BF10-48DF-960E-30475572B74D}" xr6:coauthVersionLast="47" xr6:coauthVersionMax="47" xr10:uidLastSave="{00000000-0000-0000-0000-000000000000}"/>
  <bookViews>
    <workbookView xWindow="-120" yWindow="-120" windowWidth="51840" windowHeight="2112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3" i="2" l="1"/>
  <c r="K85" i="2"/>
  <c r="K83" i="2"/>
  <c r="K82" i="2"/>
  <c r="K79" i="2"/>
  <c r="K78" i="2"/>
  <c r="K72" i="2"/>
  <c r="K73" i="2"/>
  <c r="K65" i="2"/>
  <c r="K63" i="2"/>
  <c r="K54" i="2"/>
  <c r="K47" i="2"/>
  <c r="K46" i="2" s="1"/>
  <c r="O94" i="2"/>
  <c r="P94" i="2"/>
  <c r="L93" i="2"/>
  <c r="L85" i="2"/>
  <c r="L83" i="2"/>
  <c r="L82" i="2"/>
  <c r="L78" i="2"/>
  <c r="L79" i="2"/>
  <c r="L73" i="2"/>
  <c r="L72" i="2"/>
  <c r="L65" i="2"/>
  <c r="L63" i="2"/>
  <c r="L47" i="2"/>
  <c r="L54" i="2"/>
  <c r="L46" i="2"/>
  <c r="M93" i="2"/>
  <c r="M85" i="2"/>
  <c r="M83" i="2"/>
  <c r="M82" i="2"/>
  <c r="M79" i="2"/>
  <c r="M78" i="2"/>
  <c r="M73" i="2"/>
  <c r="M72" i="2"/>
  <c r="M65" i="2"/>
  <c r="M63" i="2"/>
  <c r="M54" i="2"/>
  <c r="M47" i="2"/>
  <c r="M46" i="2"/>
  <c r="Q94" i="2"/>
  <c r="N93" i="2"/>
  <c r="O93" i="2"/>
  <c r="R94" i="2" s="1"/>
  <c r="N85" i="2"/>
  <c r="N83" i="2"/>
  <c r="N82" i="2"/>
  <c r="N79" i="2"/>
  <c r="N78" i="2"/>
  <c r="N73" i="2"/>
  <c r="N72" i="2"/>
  <c r="N65" i="2"/>
  <c r="N63" i="2"/>
  <c r="N54" i="2"/>
  <c r="N47" i="2"/>
  <c r="N46" i="2"/>
  <c r="T46" i="2"/>
  <c r="S46" i="2"/>
  <c r="R46" i="2"/>
  <c r="O85" i="2"/>
  <c r="O83" i="2"/>
  <c r="O82" i="2"/>
  <c r="S93" i="2"/>
  <c r="R93" i="2"/>
  <c r="Q93" i="2"/>
  <c r="P93" i="2"/>
  <c r="T93" i="2"/>
  <c r="O79" i="2"/>
  <c r="O78" i="2"/>
  <c r="O73" i="2"/>
  <c r="O72" i="2"/>
  <c r="O65" i="2"/>
  <c r="O63" i="2"/>
  <c r="O54" i="2"/>
  <c r="O47" i="2"/>
  <c r="O46" i="2" s="1"/>
  <c r="T94" i="2"/>
  <c r="S94" i="2"/>
  <c r="S85" i="2"/>
  <c r="S82" i="2"/>
  <c r="S78" i="2"/>
  <c r="S72" i="2"/>
  <c r="T85" i="2"/>
  <c r="T83" i="2"/>
  <c r="S83" i="2"/>
  <c r="T82" i="2"/>
  <c r="T79" i="2"/>
  <c r="S79" i="2"/>
  <c r="T78" i="2"/>
  <c r="T73" i="2"/>
  <c r="S73" i="2"/>
  <c r="T72" i="2"/>
  <c r="W9" i="2"/>
  <c r="V9" i="2"/>
  <c r="U9" i="2"/>
  <c r="U20" i="2"/>
  <c r="T65" i="2"/>
  <c r="S65" i="2"/>
  <c r="T63" i="2"/>
  <c r="T54" i="2"/>
  <c r="T52" i="2"/>
  <c r="T47" i="2"/>
  <c r="T44" i="2" l="1"/>
  <c r="O44" i="2"/>
  <c r="T43" i="2"/>
  <c r="T38" i="2"/>
  <c r="T37" i="2"/>
  <c r="T31" i="2"/>
  <c r="T29" i="2"/>
  <c r="T28" i="2"/>
  <c r="T23" i="2"/>
  <c r="T36" i="2"/>
  <c r="T20" i="2"/>
  <c r="S20" i="2"/>
  <c r="AF29" i="2"/>
  <c r="AF27" i="2"/>
  <c r="AF23" i="2"/>
  <c r="AG29" i="2"/>
  <c r="AG27" i="2"/>
  <c r="AG23" i="2"/>
  <c r="AH29" i="2"/>
  <c r="AH27" i="2"/>
  <c r="AH23" i="2"/>
  <c r="AH28" i="2" s="1"/>
  <c r="AH30" i="2" s="1"/>
  <c r="AH32" i="2" s="1"/>
  <c r="AH33" i="2" s="1"/>
  <c r="S23" i="2"/>
  <c r="S44" i="2" s="1"/>
  <c r="S63" i="2"/>
  <c r="S54" i="2"/>
  <c r="S47" i="2"/>
  <c r="S43" i="2"/>
  <c r="R43" i="2"/>
  <c r="Q43" i="2"/>
  <c r="P43" i="2"/>
  <c r="O43" i="2"/>
  <c r="S38" i="2"/>
  <c r="S37" i="2"/>
  <c r="S29" i="2"/>
  <c r="R20" i="2"/>
  <c r="R23" i="2" s="1"/>
  <c r="R28" i="2" s="1"/>
  <c r="AC36" i="2"/>
  <c r="AD100" i="2"/>
  <c r="AE36" i="2"/>
  <c r="AD36" i="2"/>
  <c r="AI36" i="2"/>
  <c r="AH36" i="2"/>
  <c r="AG36" i="2"/>
  <c r="AF36" i="2"/>
  <c r="AL36" i="2"/>
  <c r="AK36" i="2"/>
  <c r="AJ36" i="2"/>
  <c r="AQ36" i="2"/>
  <c r="AP36" i="2"/>
  <c r="AO36" i="2"/>
  <c r="AN36" i="2"/>
  <c r="AM36" i="2"/>
  <c r="V15" i="2"/>
  <c r="U15" i="2"/>
  <c r="V14" i="2"/>
  <c r="U14" i="2"/>
  <c r="V13" i="2"/>
  <c r="U13" i="2"/>
  <c r="V11" i="2"/>
  <c r="U11" i="2"/>
  <c r="BA16" i="2"/>
  <c r="W15" i="2"/>
  <c r="BA14" i="2"/>
  <c r="BA13" i="2"/>
  <c r="BA12" i="2"/>
  <c r="W11" i="2"/>
  <c r="R82" i="2"/>
  <c r="R83" i="2" s="1"/>
  <c r="R78" i="2"/>
  <c r="R79" i="2" s="1"/>
  <c r="R72" i="2"/>
  <c r="R73" i="2" s="1"/>
  <c r="R63" i="2"/>
  <c r="R47" i="2"/>
  <c r="R54" i="2" s="1"/>
  <c r="R31" i="2"/>
  <c r="R29" i="2"/>
  <c r="R27" i="2"/>
  <c r="Q20" i="2"/>
  <c r="K38" i="2"/>
  <c r="J38" i="2"/>
  <c r="I38" i="2"/>
  <c r="H38" i="2"/>
  <c r="K37" i="2"/>
  <c r="J37" i="2"/>
  <c r="I37" i="2"/>
  <c r="H37" i="2"/>
  <c r="R38" i="2"/>
  <c r="Q38" i="2"/>
  <c r="P38" i="2"/>
  <c r="O38" i="2"/>
  <c r="N38" i="2"/>
  <c r="M38" i="2"/>
  <c r="L38" i="2"/>
  <c r="P37" i="2"/>
  <c r="O37" i="2"/>
  <c r="N37" i="2"/>
  <c r="M37" i="2"/>
  <c r="L37" i="2"/>
  <c r="R37" i="2"/>
  <c r="Q37" i="2"/>
  <c r="Q82" i="2"/>
  <c r="Q83" i="2" s="1"/>
  <c r="Q78" i="2"/>
  <c r="Q79" i="2" s="1"/>
  <c r="Q72" i="2"/>
  <c r="Q73" i="2" s="1"/>
  <c r="P82" i="2"/>
  <c r="P83" i="2" s="1"/>
  <c r="P78" i="2"/>
  <c r="P79" i="2" s="1"/>
  <c r="P72" i="2"/>
  <c r="P73" i="2" s="1"/>
  <c r="Q63" i="2"/>
  <c r="Q47" i="2"/>
  <c r="Q54" i="2" s="1"/>
  <c r="AF28" i="2" l="1"/>
  <c r="AF30" i="2" s="1"/>
  <c r="AF32" i="2" s="1"/>
  <c r="AF33" i="2" s="1"/>
  <c r="W13" i="2"/>
  <c r="AG28" i="2"/>
  <c r="AG30" i="2" s="1"/>
  <c r="AG32" i="2" s="1"/>
  <c r="AG33" i="2" s="1"/>
  <c r="W14" i="2"/>
  <c r="BA11" i="2"/>
  <c r="Q46" i="2"/>
  <c r="R85" i="2"/>
  <c r="BA15" i="2"/>
  <c r="P85" i="2"/>
  <c r="R44" i="2"/>
  <c r="Q85" i="2"/>
  <c r="BA34" i="2"/>
  <c r="Q29" i="2"/>
  <c r="BB29" i="2"/>
  <c r="P63" i="2"/>
  <c r="P47" i="2"/>
  <c r="P46" i="2" s="1"/>
  <c r="U34" i="2"/>
  <c r="V34" i="2" s="1"/>
  <c r="W34" i="2" s="1"/>
  <c r="Q27" i="2"/>
  <c r="W26" i="2"/>
  <c r="U26" i="2"/>
  <c r="U25" i="2"/>
  <c r="W25" i="2"/>
  <c r="V25" i="2"/>
  <c r="U24" i="2"/>
  <c r="W24" i="2"/>
  <c r="Q42" i="2"/>
  <c r="Q41" i="2"/>
  <c r="U16" i="2"/>
  <c r="W16" i="2"/>
  <c r="V16" i="2"/>
  <c r="T42" i="2"/>
  <c r="W42" i="2"/>
  <c r="V42" i="2"/>
  <c r="U42" i="2"/>
  <c r="U41" i="2"/>
  <c r="T41" i="2"/>
  <c r="W41" i="2"/>
  <c r="V41" i="2"/>
  <c r="O42" i="2"/>
  <c r="N42" i="2"/>
  <c r="M42" i="2"/>
  <c r="L42" i="2"/>
  <c r="K42" i="2"/>
  <c r="J42" i="2"/>
  <c r="I42" i="2"/>
  <c r="H42" i="2"/>
  <c r="G42" i="2"/>
  <c r="O41" i="2"/>
  <c r="N41" i="2"/>
  <c r="M41" i="2"/>
  <c r="L41" i="2"/>
  <c r="K41" i="2"/>
  <c r="J41" i="2"/>
  <c r="I41" i="2"/>
  <c r="H41" i="2"/>
  <c r="G41" i="2"/>
  <c r="P41" i="2"/>
  <c r="P42" i="2"/>
  <c r="U40" i="2"/>
  <c r="T40" i="2"/>
  <c r="W40" i="2"/>
  <c r="V40" i="2"/>
  <c r="Q40" i="2"/>
  <c r="Q39" i="2"/>
  <c r="O40" i="2"/>
  <c r="N40" i="2"/>
  <c r="M40" i="2"/>
  <c r="L40" i="2"/>
  <c r="K40" i="2"/>
  <c r="J40" i="2"/>
  <c r="I40" i="2"/>
  <c r="H40" i="2"/>
  <c r="G40" i="2"/>
  <c r="P40" i="2"/>
  <c r="U12" i="2"/>
  <c r="W12" i="2"/>
  <c r="V12" i="2"/>
  <c r="T39" i="2"/>
  <c r="W39" i="2"/>
  <c r="V39" i="2"/>
  <c r="J39" i="2"/>
  <c r="I39" i="2"/>
  <c r="H39" i="2"/>
  <c r="G39" i="2"/>
  <c r="O39" i="2"/>
  <c r="N39" i="2"/>
  <c r="M39" i="2"/>
  <c r="L39" i="2"/>
  <c r="K39" i="2"/>
  <c r="P39" i="2"/>
  <c r="U43" i="2"/>
  <c r="W43" i="2"/>
  <c r="AU31" i="2"/>
  <c r="AU29" i="2"/>
  <c r="AV43" i="2"/>
  <c r="AU43" i="2"/>
  <c r="AT43" i="2"/>
  <c r="AT31" i="2"/>
  <c r="AT29" i="2"/>
  <c r="AS31" i="2"/>
  <c r="AS29" i="2"/>
  <c r="AU27" i="2"/>
  <c r="AT27" i="2"/>
  <c r="AS27" i="2"/>
  <c r="AU20" i="2"/>
  <c r="AU23" i="2" s="1"/>
  <c r="AU44" i="2" s="1"/>
  <c r="AT20" i="2"/>
  <c r="AT23" i="2" s="1"/>
  <c r="AT44" i="2" s="1"/>
  <c r="AS20" i="2"/>
  <c r="AS23" i="2" s="1"/>
  <c r="AS44" i="2" s="1"/>
  <c r="AR36" i="2"/>
  <c r="AW15" i="2"/>
  <c r="AW14" i="2"/>
  <c r="AW13" i="2"/>
  <c r="AW12" i="2"/>
  <c r="AW11" i="2"/>
  <c r="AW43" i="2"/>
  <c r="AV31" i="2"/>
  <c r="AV29" i="2"/>
  <c r="AV27" i="2"/>
  <c r="AV20" i="2"/>
  <c r="AV23" i="2" s="1"/>
  <c r="AW31" i="2"/>
  <c r="AW29" i="2"/>
  <c r="AX34" i="2"/>
  <c r="AX26" i="2"/>
  <c r="AX25" i="2"/>
  <c r="AX24" i="2"/>
  <c r="AX22" i="2"/>
  <c r="AX21" i="2"/>
  <c r="AW27" i="2"/>
  <c r="AW20" i="2"/>
  <c r="AW23" i="2" s="1"/>
  <c r="AW44" i="2" s="1"/>
  <c r="AX19" i="2"/>
  <c r="AX18" i="2"/>
  <c r="AX16" i="2"/>
  <c r="AX15" i="2"/>
  <c r="AX14" i="2"/>
  <c r="AX13" i="2"/>
  <c r="AX12" i="2"/>
  <c r="AX11" i="2"/>
  <c r="AX9" i="2"/>
  <c r="AX43" i="2" s="1"/>
  <c r="AX6" i="2"/>
  <c r="AX3" i="2"/>
  <c r="AY34" i="2"/>
  <c r="AY26" i="2"/>
  <c r="AY25" i="2"/>
  <c r="AY24" i="2"/>
  <c r="AY22" i="2"/>
  <c r="AY21" i="2"/>
  <c r="AY6" i="2"/>
  <c r="AY3" i="2"/>
  <c r="AY9" i="2"/>
  <c r="AY16" i="2"/>
  <c r="AY15" i="2"/>
  <c r="AY14" i="2"/>
  <c r="AY13" i="2"/>
  <c r="AY12" i="2"/>
  <c r="AY11" i="2"/>
  <c r="AY19" i="2"/>
  <c r="AY18" i="2"/>
  <c r="AZ34" i="2"/>
  <c r="AZ26" i="2"/>
  <c r="AZ25" i="2"/>
  <c r="AZ24" i="2"/>
  <c r="AZ22" i="2"/>
  <c r="AZ21" i="2"/>
  <c r="AZ19" i="2"/>
  <c r="AZ18" i="2"/>
  <c r="AZ16" i="2"/>
  <c r="AZ15" i="2"/>
  <c r="AZ14" i="2"/>
  <c r="AZ13" i="2"/>
  <c r="AZ12" i="2"/>
  <c r="AZ11" i="2"/>
  <c r="AZ9" i="2"/>
  <c r="AZ6" i="2"/>
  <c r="AZ3" i="2"/>
  <c r="AF2" i="2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E31" i="2"/>
  <c r="E29" i="2"/>
  <c r="E27" i="2"/>
  <c r="E20" i="2"/>
  <c r="E23" i="2" s="1"/>
  <c r="G43" i="2"/>
  <c r="C31" i="2"/>
  <c r="C29" i="2"/>
  <c r="C27" i="2"/>
  <c r="C20" i="2"/>
  <c r="C23" i="2" s="1"/>
  <c r="C44" i="2" s="1"/>
  <c r="G31" i="2"/>
  <c r="G29" i="2"/>
  <c r="G27" i="2"/>
  <c r="G20" i="2"/>
  <c r="G23" i="2" s="1"/>
  <c r="J43" i="2"/>
  <c r="I43" i="2"/>
  <c r="H43" i="2"/>
  <c r="K43" i="2"/>
  <c r="D31" i="2"/>
  <c r="D29" i="2"/>
  <c r="D27" i="2"/>
  <c r="D20" i="2"/>
  <c r="D23" i="2" s="1"/>
  <c r="D44" i="2" s="1"/>
  <c r="L43" i="2"/>
  <c r="H31" i="2"/>
  <c r="H29" i="2"/>
  <c r="H27" i="2"/>
  <c r="H20" i="2"/>
  <c r="H23" i="2" s="1"/>
  <c r="F31" i="2"/>
  <c r="F29" i="2"/>
  <c r="F27" i="2"/>
  <c r="F20" i="2"/>
  <c r="F23" i="2" s="1"/>
  <c r="M43" i="2"/>
  <c r="N43" i="2"/>
  <c r="I31" i="2"/>
  <c r="I29" i="2"/>
  <c r="I27" i="2"/>
  <c r="I20" i="2"/>
  <c r="I23" i="2" s="1"/>
  <c r="M31" i="2"/>
  <c r="M29" i="2"/>
  <c r="K31" i="2"/>
  <c r="K29" i="2"/>
  <c r="K27" i="2"/>
  <c r="O31" i="2"/>
  <c r="O29" i="2"/>
  <c r="J31" i="2"/>
  <c r="J29" i="2"/>
  <c r="J27" i="2"/>
  <c r="N31" i="2"/>
  <c r="N29" i="2"/>
  <c r="P31" i="2"/>
  <c r="L31" i="2"/>
  <c r="P29" i="2"/>
  <c r="L29" i="2"/>
  <c r="P27" i="2"/>
  <c r="O27" i="2"/>
  <c r="N27" i="2"/>
  <c r="M27" i="2"/>
  <c r="L27" i="2"/>
  <c r="O20" i="2"/>
  <c r="O23" i="2" s="1"/>
  <c r="N20" i="2"/>
  <c r="M20" i="2"/>
  <c r="M23" i="2" s="1"/>
  <c r="L20" i="2"/>
  <c r="L23" i="2" s="1"/>
  <c r="K20" i="2"/>
  <c r="K23" i="2" s="1"/>
  <c r="K44" i="2" s="1"/>
  <c r="J20" i="2"/>
  <c r="J23" i="2" s="1"/>
  <c r="J44" i="2" s="1"/>
  <c r="P20" i="2"/>
  <c r="P23" i="2" s="1"/>
  <c r="K4" i="1"/>
  <c r="K7" i="1" s="1"/>
  <c r="N23" i="2" l="1"/>
  <c r="R36" i="2"/>
  <c r="BA9" i="2"/>
  <c r="BA20" i="2" s="1"/>
  <c r="BB9" i="2"/>
  <c r="BC9" i="2" s="1"/>
  <c r="BC43" i="2" s="1"/>
  <c r="BA29" i="2"/>
  <c r="V24" i="2"/>
  <c r="BB24" i="2" s="1"/>
  <c r="BC24" i="2" s="1"/>
  <c r="BD24" i="2" s="1"/>
  <c r="BE24" i="2" s="1"/>
  <c r="BF24" i="2" s="1"/>
  <c r="AS28" i="2"/>
  <c r="AS30" i="2" s="1"/>
  <c r="AS32" i="2" s="1"/>
  <c r="AS33" i="2" s="1"/>
  <c r="BB14" i="2"/>
  <c r="BC14" i="2" s="1"/>
  <c r="BB13" i="2"/>
  <c r="BC13" i="2" s="1"/>
  <c r="BD13" i="2" s="1"/>
  <c r="AT28" i="2"/>
  <c r="AT30" i="2" s="1"/>
  <c r="AT32" i="2" s="1"/>
  <c r="AT33" i="2" s="1"/>
  <c r="W27" i="2"/>
  <c r="Q36" i="2"/>
  <c r="V21" i="2"/>
  <c r="T27" i="2"/>
  <c r="W21" i="2"/>
  <c r="U27" i="2"/>
  <c r="BB25" i="2"/>
  <c r="BC25" i="2" s="1"/>
  <c r="BD25" i="2" s="1"/>
  <c r="BE25" i="2" s="1"/>
  <c r="BF25" i="2" s="1"/>
  <c r="BG25" i="2" s="1"/>
  <c r="BH25" i="2" s="1"/>
  <c r="BI25" i="2" s="1"/>
  <c r="BA21" i="2"/>
  <c r="W22" i="2"/>
  <c r="BB16" i="2"/>
  <c r="BC16" i="2" s="1"/>
  <c r="BD16" i="2" s="1"/>
  <c r="BE16" i="2" s="1"/>
  <c r="BF16" i="2" s="1"/>
  <c r="BG16" i="2" s="1"/>
  <c r="BH16" i="2" s="1"/>
  <c r="BI16" i="2" s="1"/>
  <c r="BA26" i="2"/>
  <c r="R41" i="2"/>
  <c r="U21" i="2"/>
  <c r="S41" i="2"/>
  <c r="V22" i="2"/>
  <c r="BA39" i="2"/>
  <c r="U22" i="2"/>
  <c r="BA40" i="2"/>
  <c r="BA22" i="2"/>
  <c r="R42" i="2"/>
  <c r="R40" i="2"/>
  <c r="S40" i="2"/>
  <c r="BA41" i="2"/>
  <c r="R39" i="2"/>
  <c r="V20" i="2"/>
  <c r="W20" i="2"/>
  <c r="BA42" i="2"/>
  <c r="BB12" i="2"/>
  <c r="BC12" i="2" s="1"/>
  <c r="BD12" i="2" s="1"/>
  <c r="BE12" i="2" s="1"/>
  <c r="BF12" i="2" s="1"/>
  <c r="BG12" i="2" s="1"/>
  <c r="BH12" i="2" s="1"/>
  <c r="BI12" i="2" s="1"/>
  <c r="P54" i="2"/>
  <c r="BA24" i="2"/>
  <c r="S27" i="2"/>
  <c r="S42" i="2"/>
  <c r="AU28" i="2"/>
  <c r="AU30" i="2" s="1"/>
  <c r="AU32" i="2" s="1"/>
  <c r="AU33" i="2" s="1"/>
  <c r="BB15" i="2"/>
  <c r="BB42" i="2" s="1"/>
  <c r="S39" i="2"/>
  <c r="V26" i="2"/>
  <c r="BB26" i="2" s="1"/>
  <c r="BC26" i="2" s="1"/>
  <c r="BD26" i="2" s="1"/>
  <c r="BE26" i="2" s="1"/>
  <c r="BF26" i="2" s="1"/>
  <c r="BG26" i="2" s="1"/>
  <c r="BH26" i="2" s="1"/>
  <c r="BI26" i="2" s="1"/>
  <c r="BA25" i="2"/>
  <c r="U36" i="2"/>
  <c r="U39" i="2"/>
  <c r="BB11" i="2"/>
  <c r="BB34" i="2"/>
  <c r="BC34" i="2" s="1"/>
  <c r="BD34" i="2" s="1"/>
  <c r="BE34" i="2" s="1"/>
  <c r="BF34" i="2" s="1"/>
  <c r="BG34" i="2" s="1"/>
  <c r="BH34" i="2" s="1"/>
  <c r="BI34" i="2" s="1"/>
  <c r="Q23" i="2"/>
  <c r="Q44" i="2" s="1"/>
  <c r="AY42" i="2"/>
  <c r="AX39" i="2"/>
  <c r="AY40" i="2"/>
  <c r="AX41" i="2"/>
  <c r="AT36" i="2"/>
  <c r="AZ42" i="2"/>
  <c r="AZ41" i="2"/>
  <c r="AZ20" i="2"/>
  <c r="AZ23" i="2" s="1"/>
  <c r="AZ44" i="2" s="1"/>
  <c r="AU36" i="2"/>
  <c r="AY41" i="2"/>
  <c r="AX42" i="2"/>
  <c r="AY20" i="2"/>
  <c r="AY23" i="2" s="1"/>
  <c r="AY44" i="2" s="1"/>
  <c r="AX40" i="2"/>
  <c r="AZ39" i="2"/>
  <c r="AV36" i="2"/>
  <c r="AZ40" i="2"/>
  <c r="AS36" i="2"/>
  <c r="AX27" i="2"/>
  <c r="AY39" i="2"/>
  <c r="AY29" i="2"/>
  <c r="AZ43" i="2"/>
  <c r="AZ27" i="2"/>
  <c r="AY31" i="2"/>
  <c r="AY43" i="2"/>
  <c r="AX20" i="2"/>
  <c r="AX23" i="2" s="1"/>
  <c r="AX44" i="2" s="1"/>
  <c r="AX29" i="2"/>
  <c r="AX31" i="2"/>
  <c r="AZ29" i="2"/>
  <c r="AZ31" i="2"/>
  <c r="AY27" i="2"/>
  <c r="I36" i="2"/>
  <c r="H36" i="2"/>
  <c r="G36" i="2"/>
  <c r="AW36" i="2"/>
  <c r="AV28" i="2"/>
  <c r="AV30" i="2" s="1"/>
  <c r="AV32" i="2" s="1"/>
  <c r="AV33" i="2" s="1"/>
  <c r="AV44" i="2"/>
  <c r="AW28" i="2"/>
  <c r="AW30" i="2" s="1"/>
  <c r="AW32" i="2" s="1"/>
  <c r="AW33" i="2" s="1"/>
  <c r="E44" i="2"/>
  <c r="E28" i="2"/>
  <c r="E30" i="2" s="1"/>
  <c r="E32" i="2" s="1"/>
  <c r="E33" i="2" s="1"/>
  <c r="J36" i="2"/>
  <c r="C28" i="2"/>
  <c r="C30" i="2" s="1"/>
  <c r="C32" i="2" s="1"/>
  <c r="C33" i="2" s="1"/>
  <c r="G28" i="2"/>
  <c r="G30" i="2" s="1"/>
  <c r="G32" i="2" s="1"/>
  <c r="G33" i="2" s="1"/>
  <c r="G44" i="2"/>
  <c r="F28" i="2"/>
  <c r="F30" i="2" s="1"/>
  <c r="F32" i="2" s="1"/>
  <c r="F33" i="2" s="1"/>
  <c r="K36" i="2"/>
  <c r="D28" i="2"/>
  <c r="D30" i="2" s="1"/>
  <c r="D32" i="2" s="1"/>
  <c r="D33" i="2" s="1"/>
  <c r="F44" i="2"/>
  <c r="L36" i="2"/>
  <c r="H28" i="2"/>
  <c r="H30" i="2" s="1"/>
  <c r="H32" i="2" s="1"/>
  <c r="H33" i="2" s="1"/>
  <c r="H44" i="2"/>
  <c r="N36" i="2"/>
  <c r="M36" i="2"/>
  <c r="I28" i="2"/>
  <c r="I30" i="2" s="1"/>
  <c r="I32" i="2" s="1"/>
  <c r="I33" i="2" s="1"/>
  <c r="O36" i="2"/>
  <c r="I44" i="2"/>
  <c r="J28" i="2"/>
  <c r="J30" i="2" s="1"/>
  <c r="J32" i="2" s="1"/>
  <c r="J33" i="2" s="1"/>
  <c r="K28" i="2"/>
  <c r="K30" i="2" s="1"/>
  <c r="K32" i="2" s="1"/>
  <c r="K33" i="2" s="1"/>
  <c r="P36" i="2"/>
  <c r="P44" i="2"/>
  <c r="P28" i="2"/>
  <c r="P30" i="2" s="1"/>
  <c r="P32" i="2" s="1"/>
  <c r="L28" i="2"/>
  <c r="L30" i="2" s="1"/>
  <c r="L32" i="2" s="1"/>
  <c r="L33" i="2" s="1"/>
  <c r="L44" i="2"/>
  <c r="M44" i="2"/>
  <c r="M28" i="2"/>
  <c r="N28" i="2"/>
  <c r="N44" i="2"/>
  <c r="O28" i="2"/>
  <c r="V27" i="2" l="1"/>
  <c r="V43" i="2"/>
  <c r="BA43" i="2"/>
  <c r="BC40" i="2"/>
  <c r="BB41" i="2"/>
  <c r="P33" i="2"/>
  <c r="P65" i="2"/>
  <c r="BB21" i="2"/>
  <c r="BB43" i="2"/>
  <c r="BC27" i="2"/>
  <c r="BB27" i="2"/>
  <c r="BB22" i="2"/>
  <c r="BA36" i="2"/>
  <c r="BB40" i="2"/>
  <c r="V23" i="2"/>
  <c r="V44" i="2" s="1"/>
  <c r="V36" i="2"/>
  <c r="S36" i="2"/>
  <c r="BC15" i="2"/>
  <c r="BC42" i="2" s="1"/>
  <c r="AZ28" i="2"/>
  <c r="AZ30" i="2" s="1"/>
  <c r="AZ32" i="2" s="1"/>
  <c r="AZ33" i="2" s="1"/>
  <c r="BA27" i="2"/>
  <c r="BD9" i="2"/>
  <c r="BE9" i="2" s="1"/>
  <c r="W23" i="2"/>
  <c r="W36" i="2"/>
  <c r="Q28" i="2"/>
  <c r="Q30" i="2" s="1"/>
  <c r="BD14" i="2"/>
  <c r="BC41" i="2"/>
  <c r="BE13" i="2"/>
  <c r="BD40" i="2"/>
  <c r="BC11" i="2"/>
  <c r="BB39" i="2"/>
  <c r="BB20" i="2"/>
  <c r="BB36" i="2" s="1"/>
  <c r="U23" i="2"/>
  <c r="BD27" i="2"/>
  <c r="BF27" i="2"/>
  <c r="BG24" i="2"/>
  <c r="BE27" i="2"/>
  <c r="AZ36" i="2"/>
  <c r="AX36" i="2"/>
  <c r="AY36" i="2"/>
  <c r="AY28" i="2"/>
  <c r="AY30" i="2" s="1"/>
  <c r="AY32" i="2" s="1"/>
  <c r="AY33" i="2" s="1"/>
  <c r="AX28" i="2"/>
  <c r="AX30" i="2" s="1"/>
  <c r="AX32" i="2" s="1"/>
  <c r="AX33" i="2" s="1"/>
  <c r="O30" i="2"/>
  <c r="O32" i="2" s="1"/>
  <c r="O33" i="2" s="1"/>
  <c r="N30" i="2"/>
  <c r="N32" i="2" s="1"/>
  <c r="N33" i="2" s="1"/>
  <c r="M30" i="2"/>
  <c r="M32" i="2" s="1"/>
  <c r="M33" i="2" s="1"/>
  <c r="BA23" i="2" l="1"/>
  <c r="BA44" i="2" s="1"/>
  <c r="BD15" i="2"/>
  <c r="BE15" i="2" s="1"/>
  <c r="V28" i="2"/>
  <c r="V30" i="2" s="1"/>
  <c r="V31" i="2" s="1"/>
  <c r="R30" i="2"/>
  <c r="R32" i="2" s="1"/>
  <c r="W44" i="2"/>
  <c r="W28" i="2"/>
  <c r="W30" i="2" s="1"/>
  <c r="BD43" i="2"/>
  <c r="S28" i="2"/>
  <c r="S30" i="2" s="1"/>
  <c r="S32" i="2" s="1"/>
  <c r="S33" i="2" s="1"/>
  <c r="T30" i="2"/>
  <c r="T32" i="2" s="1"/>
  <c r="T33" i="2" s="1"/>
  <c r="BB23" i="2"/>
  <c r="BB44" i="2" s="1"/>
  <c r="BE14" i="2"/>
  <c r="BD41" i="2"/>
  <c r="BF13" i="2"/>
  <c r="BE40" i="2"/>
  <c r="U44" i="2"/>
  <c r="U28" i="2"/>
  <c r="U30" i="2" s="1"/>
  <c r="U31" i="2" s="1"/>
  <c r="BD11" i="2"/>
  <c r="BC39" i="2"/>
  <c r="BC22" i="2"/>
  <c r="BC21" i="2"/>
  <c r="BC20" i="2"/>
  <c r="BF9" i="2"/>
  <c r="BE43" i="2"/>
  <c r="Q32" i="2"/>
  <c r="BH24" i="2"/>
  <c r="BG27" i="2"/>
  <c r="R33" i="2" l="1"/>
  <c r="R65" i="2"/>
  <c r="BA28" i="2"/>
  <c r="BA30" i="2" s="1"/>
  <c r="V32" i="2"/>
  <c r="V33" i="2" s="1"/>
  <c r="BD42" i="2"/>
  <c r="BA31" i="2"/>
  <c r="Q33" i="2"/>
  <c r="Q65" i="2"/>
  <c r="W31" i="2"/>
  <c r="BB31" i="2" s="1"/>
  <c r="BF15" i="2"/>
  <c r="BE42" i="2"/>
  <c r="U32" i="2"/>
  <c r="U33" i="2" s="1"/>
  <c r="BB28" i="2"/>
  <c r="BB30" i="2" s="1"/>
  <c r="BF14" i="2"/>
  <c r="BE41" i="2"/>
  <c r="BG13" i="2"/>
  <c r="BF40" i="2"/>
  <c r="BC36" i="2"/>
  <c r="BC23" i="2"/>
  <c r="BE11" i="2"/>
  <c r="BD39" i="2"/>
  <c r="BD22" i="2"/>
  <c r="BD20" i="2"/>
  <c r="BD21" i="2"/>
  <c r="BG9" i="2"/>
  <c r="BF43" i="2"/>
  <c r="BA46" i="2"/>
  <c r="BI24" i="2"/>
  <c r="BI27" i="2" s="1"/>
  <c r="BH27" i="2"/>
  <c r="BA32" i="2" l="1"/>
  <c r="BA33" i="2" s="1"/>
  <c r="W32" i="2"/>
  <c r="W33" i="2" s="1"/>
  <c r="BB32" i="2"/>
  <c r="BB33" i="2" s="1"/>
  <c r="U46" i="2"/>
  <c r="V46" i="2" s="1"/>
  <c r="BG15" i="2"/>
  <c r="BF42" i="2"/>
  <c r="BG14" i="2"/>
  <c r="BF41" i="2"/>
  <c r="BH13" i="2"/>
  <c r="BG40" i="2"/>
  <c r="BD23" i="2"/>
  <c r="BD36" i="2"/>
  <c r="BF11" i="2"/>
  <c r="BE39" i="2"/>
  <c r="BE22" i="2"/>
  <c r="BE20" i="2"/>
  <c r="BE21" i="2"/>
  <c r="BC44" i="2"/>
  <c r="BC28" i="2"/>
  <c r="BH9" i="2"/>
  <c r="BG43" i="2"/>
  <c r="W46" i="2" l="1"/>
  <c r="BB46" i="2" s="1"/>
  <c r="BC29" i="2" s="1"/>
  <c r="BC30" i="2" s="1"/>
  <c r="BC31" i="2" s="1"/>
  <c r="BC32" i="2" s="1"/>
  <c r="BC46" i="2" s="1"/>
  <c r="BD29" i="2" s="1"/>
  <c r="BH15" i="2"/>
  <c r="BG42" i="2"/>
  <c r="BH14" i="2"/>
  <c r="BG41" i="2"/>
  <c r="BI13" i="2"/>
  <c r="BI40" i="2" s="1"/>
  <c r="BH40" i="2"/>
  <c r="BE23" i="2"/>
  <c r="BE36" i="2"/>
  <c r="BG11" i="2"/>
  <c r="BF39" i="2"/>
  <c r="BF22" i="2"/>
  <c r="BF20" i="2"/>
  <c r="BF21" i="2"/>
  <c r="BD44" i="2"/>
  <c r="BD28" i="2"/>
  <c r="BI9" i="2"/>
  <c r="BH43" i="2"/>
  <c r="BC33" i="2" l="1"/>
  <c r="BD30" i="2"/>
  <c r="BD31" i="2" s="1"/>
  <c r="BD32" i="2" s="1"/>
  <c r="BD33" i="2" s="1"/>
  <c r="BI15" i="2"/>
  <c r="BI42" i="2" s="1"/>
  <c r="BH42" i="2"/>
  <c r="BI14" i="2"/>
  <c r="BI41" i="2" s="1"/>
  <c r="BH41" i="2"/>
  <c r="BF36" i="2"/>
  <c r="BF23" i="2"/>
  <c r="BH11" i="2"/>
  <c r="BG39" i="2"/>
  <c r="BG22" i="2"/>
  <c r="BG20" i="2"/>
  <c r="BG21" i="2"/>
  <c r="BE28" i="2"/>
  <c r="BE44" i="2"/>
  <c r="BI43" i="2"/>
  <c r="BD46" i="2" l="1"/>
  <c r="BE29" i="2" s="1"/>
  <c r="BE30" i="2" s="1"/>
  <c r="BE31" i="2" s="1"/>
  <c r="BE32" i="2" s="1"/>
  <c r="BE33" i="2" s="1"/>
  <c r="BG36" i="2"/>
  <c r="BG23" i="2"/>
  <c r="BI11" i="2"/>
  <c r="BH39" i="2"/>
  <c r="BH22" i="2"/>
  <c r="BH21" i="2"/>
  <c r="BH20" i="2"/>
  <c r="BF28" i="2"/>
  <c r="BF44" i="2"/>
  <c r="BH23" i="2" l="1"/>
  <c r="BH36" i="2"/>
  <c r="BI39" i="2"/>
  <c r="BI22" i="2"/>
  <c r="BI21" i="2"/>
  <c r="BI20" i="2"/>
  <c r="BG28" i="2"/>
  <c r="BG44" i="2"/>
  <c r="BE46" i="2"/>
  <c r="BI23" i="2" l="1"/>
  <c r="BI36" i="2"/>
  <c r="BH44" i="2"/>
  <c r="BH28" i="2"/>
  <c r="BF29" i="2"/>
  <c r="BF30" i="2" s="1"/>
  <c r="BF31" i="2" s="1"/>
  <c r="BF32" i="2" s="1"/>
  <c r="BF33" i="2" s="1"/>
  <c r="BI44" i="2" l="1"/>
  <c r="BI28" i="2"/>
  <c r="BF46" i="2"/>
  <c r="BG29" i="2" l="1"/>
  <c r="BG30" i="2" s="1"/>
  <c r="BG31" i="2" s="1"/>
  <c r="BG32" i="2" s="1"/>
  <c r="BG33" i="2" s="1"/>
  <c r="BG46" i="2" l="1"/>
  <c r="BH29" i="2" l="1"/>
  <c r="BH30" i="2" s="1"/>
  <c r="BH31" i="2" s="1"/>
  <c r="BH32" i="2" s="1"/>
  <c r="BH33" i="2" s="1"/>
  <c r="BH46" i="2" l="1"/>
  <c r="BI29" i="2" s="1"/>
  <c r="BI30" i="2" s="1"/>
  <c r="BI31" i="2" s="1"/>
  <c r="BI32" i="2" s="1"/>
  <c r="BI33" i="2" s="1"/>
  <c r="BI46" i="2" l="1"/>
  <c r="BJ32" i="2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BL47" i="2" s="1"/>
  <c r="BL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tc={89E45B5F-0C20-4B81-874E-AD8DF93707A2}</author>
    <author>tc={9EC27BD9-44A2-48E9-9E13-C02A116B6B0B}</author>
    <author>tc={1C7E52D4-5BCB-4AA9-9278-E6CDC311AA1D}</author>
    <author>tc={D82076A3-F6B1-40A8-A09D-2B367ECEDED9}</author>
    <author>tc={BC0611F9-311A-4928-9AD6-94F49AE6B822}</author>
    <author>tc={1123E429-DC3C-402F-A940-60A8A504E208}</author>
    <author>tc={F0CECC32-58CA-41B9-9B42-426709AD1A9F}</author>
    <author>tc={7DD33F83-8D06-4AB5-AE42-CC8AE1143AEE}</author>
  </authors>
  <commentList>
    <comment ref="R20" authorId="0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S20" authorId="1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T20" authorId="2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U20" authorId="3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R28" authorId="4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S28" authorId="5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T28" authorId="6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R36" authorId="7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</commentList>
</comments>
</file>

<file path=xl/sharedStrings.xml><?xml version="1.0" encoding="utf-8"?>
<sst xmlns="http://schemas.openxmlformats.org/spreadsheetml/2006/main" count="121" uniqueCount="108">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</sst>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15648</xdr:colOff>
      <xdr:row>0</xdr:row>
      <xdr:rowOff>39120</xdr:rowOff>
    </xdr:from>
    <xdr:to>
      <xdr:col>20</xdr:col>
      <xdr:colOff>15648</xdr:colOff>
      <xdr:row>106</xdr:row>
      <xdr:rowOff>48645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2550548" y="39120"/>
          <a:ext cx="0" cy="173178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66675</xdr:colOff>
      <xdr:row>0</xdr:row>
      <xdr:rowOff>0</xdr:rowOff>
    </xdr:from>
    <xdr:to>
      <xdr:col>52</xdr:col>
      <xdr:colOff>66675</xdr:colOff>
      <xdr:row>88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0" dT="2022-07-29T15:08:40.16" personId="{9B8D1A3E-D1D5-4929-A5A0-67791399E886}" id="{89E45B5F-0C20-4B81-874E-AD8DF93707A2}">
    <text>Q222 guidance: 125-130B</text>
  </threadedComment>
  <threadedComment ref="S20" dT="2022-12-19T01:59:36.72" personId="{9B8D1A3E-D1D5-4929-A5A0-67791399E886}" id="{9EC27BD9-44A2-48E9-9E13-C02A116B6B0B}">
    <text>Q3 guidance: 140-148B</text>
  </threadedComment>
  <threadedComment ref="T20" dT="2023-02-09T23:50:01.81" personId="{9B8D1A3E-D1D5-4929-A5A0-67791399E886}" id="{1C7E52D4-5BCB-4AA9-9278-E6CDC311AA1D}">
    <text>Q422 guidance: 121-126B</text>
  </threadedComment>
  <threadedComment ref="U20" dT="2023-04-30T02:01:08.68" personId="{9B8D1A3E-D1D5-4929-A5A0-67791399E886}" id="{D82076A3-F6B1-40A8-A09D-2B367ECEDED9}">
    <text>Q123 guidance: 127-133B</text>
  </threadedComment>
  <threadedComment ref="R28" dT="2022-07-29T15:10:25.65" personId="{9B8D1A3E-D1D5-4929-A5A0-67791399E886}" id="{BC0611F9-311A-4928-9AD6-94F49AE6B822}">
    <text>Q222 guidance: 0.0-3.5B</text>
  </threadedComment>
  <threadedComment ref="S28" dT="2022-12-19T02:00:02.84" personId="{9B8D1A3E-D1D5-4929-A5A0-67791399E886}" id="{1123E429-DC3C-402F-A940-60A8A504E208}">
    <text>Q3 guidance: 0-4B</text>
  </threadedComment>
  <threadedComment ref="T28" dT="2023-02-09T23:51:52.21" personId="{9B8D1A3E-D1D5-4929-A5A0-67791399E886}" id="{F0CECC32-58CA-41B9-9B42-426709AD1A9F}">
    <text>Q4 guidance 0-4B</text>
  </threadedComment>
  <threadedComment ref="R36" dT="2022-12-19T01:32:23.85" personId="{9B8D1A3E-D1D5-4929-A5A0-67791399E886}" id="{7DD33F83-8D06-4AB5-AE42-CC8AE1143AEE}">
    <text>+19% net of FX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9"/>
  <sheetViews>
    <sheetView zoomScale="220" zoomScaleNormal="220" workbookViewId="0"/>
  </sheetViews>
  <sheetFormatPr defaultRowHeight="12.75" x14ac:dyDescent="0.2"/>
  <sheetData>
    <row r="2" spans="2:12" x14ac:dyDescent="0.2">
      <c r="J2" t="s">
        <v>1</v>
      </c>
      <c r="K2" s="1">
        <v>105</v>
      </c>
    </row>
    <row r="3" spans="2:12" x14ac:dyDescent="0.2">
      <c r="J3" t="s">
        <v>2</v>
      </c>
      <c r="K3" s="2">
        <v>10331</v>
      </c>
      <c r="L3" s="3" t="s">
        <v>18</v>
      </c>
    </row>
    <row r="4" spans="2:12" x14ac:dyDescent="0.2">
      <c r="B4" t="s">
        <v>103</v>
      </c>
      <c r="J4" t="s">
        <v>3</v>
      </c>
      <c r="K4" s="2">
        <f>K3*K2</f>
        <v>1084755</v>
      </c>
    </row>
    <row r="5" spans="2:12" x14ac:dyDescent="0.2">
      <c r="B5" t="s">
        <v>106</v>
      </c>
      <c r="J5" t="s">
        <v>4</v>
      </c>
      <c r="K5" s="2">
        <v>58662</v>
      </c>
      <c r="L5" s="3" t="s">
        <v>18</v>
      </c>
    </row>
    <row r="6" spans="2:12" x14ac:dyDescent="0.2">
      <c r="B6" t="s">
        <v>104</v>
      </c>
      <c r="J6" t="s">
        <v>5</v>
      </c>
      <c r="K6" s="2">
        <v>58919</v>
      </c>
      <c r="L6" s="3" t="s">
        <v>18</v>
      </c>
    </row>
    <row r="7" spans="2:12" x14ac:dyDescent="0.2">
      <c r="J7" t="s">
        <v>6</v>
      </c>
      <c r="K7" s="2">
        <f>K4-K5+K6</f>
        <v>1085012</v>
      </c>
      <c r="L7" s="3"/>
    </row>
    <row r="8" spans="2:12" x14ac:dyDescent="0.2">
      <c r="K8" s="1"/>
    </row>
    <row r="9" spans="2:12" x14ac:dyDescent="0.2">
      <c r="J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DS100"/>
  <sheetViews>
    <sheetView tabSelected="1" zoomScale="295" zoomScaleNormal="295" workbookViewId="0">
      <pane xSplit="2" ySplit="2" topLeftCell="L75" activePane="bottomRight" state="frozen"/>
      <selection pane="topRight" activeCell="C1" sqref="C1"/>
      <selection pane="bottomLeft" activeCell="A4" sqref="A4"/>
      <selection pane="bottomRight" activeCell="Q89" sqref="Q89:T91"/>
    </sheetView>
  </sheetViews>
  <sheetFormatPr defaultRowHeight="12.75" x14ac:dyDescent="0.2"/>
  <cols>
    <col min="1" max="1" width="5" bestFit="1" customWidth="1"/>
    <col min="2" max="2" width="18.42578125" customWidth="1"/>
    <col min="3" max="19" width="9.140625" style="3"/>
    <col min="60" max="61" width="9.5703125" customWidth="1"/>
  </cols>
  <sheetData>
    <row r="1" spans="1:71" x14ac:dyDescent="0.2">
      <c r="A1" s="12" t="s">
        <v>0</v>
      </c>
    </row>
    <row r="2" spans="1:71" x14ac:dyDescent="0.2">
      <c r="C2" s="3" t="s">
        <v>51</v>
      </c>
      <c r="D2" s="3" t="s">
        <v>50</v>
      </c>
      <c r="E2" s="3" t="s">
        <v>49</v>
      </c>
      <c r="F2" s="3" t="s">
        <v>48</v>
      </c>
      <c r="G2" s="3" t="s">
        <v>47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7</v>
      </c>
      <c r="Q2" s="3" t="s">
        <v>17</v>
      </c>
      <c r="R2" s="3" t="s">
        <v>18</v>
      </c>
      <c r="S2" s="3" t="s">
        <v>19</v>
      </c>
      <c r="T2" s="3" t="s">
        <v>52</v>
      </c>
      <c r="U2" s="3" t="s">
        <v>53</v>
      </c>
      <c r="V2" s="3" t="s">
        <v>54</v>
      </c>
      <c r="W2" s="3" t="s">
        <v>55</v>
      </c>
      <c r="Z2">
        <v>1995</v>
      </c>
      <c r="AA2">
        <v>1996</v>
      </c>
      <c r="AB2">
        <v>1997</v>
      </c>
      <c r="AC2">
        <v>1998</v>
      </c>
      <c r="AD2">
        <v>1999</v>
      </c>
      <c r="AE2">
        <v>2000</v>
      </c>
      <c r="AF2">
        <f>+AE2+1</f>
        <v>2001</v>
      </c>
      <c r="AG2">
        <f t="shared" ref="AG2:BS2" si="0">+AF2+1</f>
        <v>2002</v>
      </c>
      <c r="AH2">
        <f t="shared" si="0"/>
        <v>2003</v>
      </c>
      <c r="AI2">
        <f t="shared" si="0"/>
        <v>2004</v>
      </c>
      <c r="AJ2">
        <f t="shared" si="0"/>
        <v>2005</v>
      </c>
      <c r="AK2">
        <f t="shared" si="0"/>
        <v>2006</v>
      </c>
      <c r="AL2">
        <f t="shared" si="0"/>
        <v>2007</v>
      </c>
      <c r="AM2">
        <f t="shared" si="0"/>
        <v>2008</v>
      </c>
      <c r="AN2">
        <f t="shared" si="0"/>
        <v>2009</v>
      </c>
      <c r="AO2">
        <f t="shared" si="0"/>
        <v>2010</v>
      </c>
      <c r="AP2">
        <f t="shared" si="0"/>
        <v>2011</v>
      </c>
      <c r="AQ2">
        <f t="shared" si="0"/>
        <v>2012</v>
      </c>
      <c r="AR2">
        <f t="shared" si="0"/>
        <v>2013</v>
      </c>
      <c r="AS2">
        <f t="shared" si="0"/>
        <v>2014</v>
      </c>
      <c r="AT2">
        <f t="shared" si="0"/>
        <v>2015</v>
      </c>
      <c r="AU2">
        <f t="shared" si="0"/>
        <v>2016</v>
      </c>
      <c r="AV2">
        <f t="shared" si="0"/>
        <v>2017</v>
      </c>
      <c r="AW2">
        <f t="shared" si="0"/>
        <v>2018</v>
      </c>
      <c r="AX2">
        <f t="shared" si="0"/>
        <v>2019</v>
      </c>
      <c r="AY2">
        <f t="shared" si="0"/>
        <v>2020</v>
      </c>
      <c r="AZ2">
        <f t="shared" si="0"/>
        <v>2021</v>
      </c>
      <c r="BA2">
        <f t="shared" si="0"/>
        <v>2022</v>
      </c>
      <c r="BB2">
        <f t="shared" si="0"/>
        <v>2023</v>
      </c>
      <c r="BC2">
        <f t="shared" si="0"/>
        <v>2024</v>
      </c>
      <c r="BD2">
        <f t="shared" si="0"/>
        <v>2025</v>
      </c>
      <c r="BE2">
        <f t="shared" si="0"/>
        <v>2026</v>
      </c>
      <c r="BF2">
        <f t="shared" si="0"/>
        <v>2027</v>
      </c>
      <c r="BG2">
        <f t="shared" si="0"/>
        <v>2028</v>
      </c>
      <c r="BH2">
        <f t="shared" si="0"/>
        <v>2029</v>
      </c>
      <c r="BI2">
        <f t="shared" si="0"/>
        <v>2030</v>
      </c>
      <c r="BJ2">
        <f t="shared" si="0"/>
        <v>2031</v>
      </c>
      <c r="BK2">
        <f t="shared" si="0"/>
        <v>2032</v>
      </c>
      <c r="BL2">
        <f t="shared" si="0"/>
        <v>2033</v>
      </c>
      <c r="BM2">
        <f t="shared" si="0"/>
        <v>2034</v>
      </c>
      <c r="BN2">
        <f t="shared" si="0"/>
        <v>2035</v>
      </c>
      <c r="BO2">
        <f t="shared" si="0"/>
        <v>2036</v>
      </c>
      <c r="BP2">
        <f t="shared" si="0"/>
        <v>2037</v>
      </c>
      <c r="BQ2">
        <f t="shared" si="0"/>
        <v>2038</v>
      </c>
      <c r="BR2">
        <f t="shared" si="0"/>
        <v>2039</v>
      </c>
      <c r="BS2">
        <f t="shared" si="0"/>
        <v>2040</v>
      </c>
    </row>
    <row r="3" spans="1:71" s="2" customFormat="1" x14ac:dyDescent="0.2">
      <c r="B3" s="2" t="s">
        <v>35</v>
      </c>
      <c r="C3" s="4">
        <v>44124</v>
      </c>
      <c r="D3" s="4">
        <v>35812</v>
      </c>
      <c r="E3" s="4">
        <v>38653</v>
      </c>
      <c r="F3" s="4">
        <v>42638</v>
      </c>
      <c r="G3" s="4">
        <v>53670</v>
      </c>
      <c r="H3" s="4">
        <v>46127</v>
      </c>
      <c r="I3" s="4">
        <v>55436</v>
      </c>
      <c r="J3" s="4">
        <v>59373</v>
      </c>
      <c r="K3" s="4">
        <v>75346</v>
      </c>
      <c r="L3" s="4">
        <v>64366</v>
      </c>
      <c r="M3" s="4">
        <v>67550</v>
      </c>
      <c r="N3" s="4">
        <v>65557</v>
      </c>
      <c r="O3" s="4">
        <v>82360</v>
      </c>
      <c r="P3" s="4">
        <v>69244</v>
      </c>
      <c r="Q3" s="4">
        <v>74430</v>
      </c>
      <c r="R3" s="4">
        <v>78843</v>
      </c>
      <c r="S3" s="4">
        <v>93363</v>
      </c>
      <c r="T3" s="2">
        <v>76881</v>
      </c>
      <c r="AS3" s="2">
        <v>50834</v>
      </c>
      <c r="AT3" s="2">
        <v>63708</v>
      </c>
      <c r="AU3" s="2">
        <v>79785</v>
      </c>
      <c r="AV3" s="2">
        <v>106110</v>
      </c>
      <c r="AW3" s="2">
        <v>141366</v>
      </c>
      <c r="AX3" s="2">
        <f>SUM(D3:G3)</f>
        <v>170773</v>
      </c>
      <c r="AY3" s="2">
        <f t="shared" ref="AY3:AY6" si="1">SUM(H3:K3)</f>
        <v>236282</v>
      </c>
      <c r="AZ3" s="2">
        <f>SUM(L3:O3)</f>
        <v>279833</v>
      </c>
    </row>
    <row r="4" spans="1:71" s="2" customFormat="1" x14ac:dyDescent="0.2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AS4" s="2">
        <v>11567</v>
      </c>
      <c r="AT4" s="2">
        <v>12483</v>
      </c>
      <c r="AU4" s="2">
        <v>13580</v>
      </c>
    </row>
    <row r="5" spans="1:71" s="2" customFormat="1" x14ac:dyDescent="0.2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AS5" s="2">
        <v>38517</v>
      </c>
      <c r="AT5" s="2">
        <v>50401</v>
      </c>
      <c r="AU5" s="2">
        <v>64887</v>
      </c>
    </row>
    <row r="6" spans="1:71" s="2" customFormat="1" x14ac:dyDescent="0.2">
      <c r="B6" s="2" t="s">
        <v>36</v>
      </c>
      <c r="C6" s="4">
        <v>41873</v>
      </c>
      <c r="D6" s="4">
        <v>16192</v>
      </c>
      <c r="E6" s="4">
        <v>16370</v>
      </c>
      <c r="F6" s="4">
        <v>18348</v>
      </c>
      <c r="G6" s="4">
        <v>23813</v>
      </c>
      <c r="H6" s="4">
        <v>19106</v>
      </c>
      <c r="I6" s="4">
        <v>22668</v>
      </c>
      <c r="J6" s="4">
        <v>25171</v>
      </c>
      <c r="K6" s="4">
        <v>37467</v>
      </c>
      <c r="L6" s="4">
        <v>30649</v>
      </c>
      <c r="M6" s="4">
        <v>30721</v>
      </c>
      <c r="N6" s="4">
        <v>29145</v>
      </c>
      <c r="O6" s="4">
        <v>37272</v>
      </c>
      <c r="P6" s="4">
        <v>28759</v>
      </c>
      <c r="Q6" s="4">
        <v>27065</v>
      </c>
      <c r="R6" s="4">
        <v>27720</v>
      </c>
      <c r="S6" s="4">
        <v>34463</v>
      </c>
      <c r="T6" s="2">
        <v>29123</v>
      </c>
      <c r="AS6" s="2">
        <v>33510</v>
      </c>
      <c r="AT6" s="2">
        <v>35418</v>
      </c>
      <c r="AU6" s="2">
        <v>43983</v>
      </c>
      <c r="AV6" s="2">
        <v>103273</v>
      </c>
      <c r="AW6" s="2">
        <v>134099</v>
      </c>
      <c r="AX6" s="2">
        <f>SUM(D6:G6)</f>
        <v>74723</v>
      </c>
      <c r="AY6" s="2">
        <f t="shared" si="1"/>
        <v>104412</v>
      </c>
      <c r="AZ6" s="2">
        <f t="shared" ref="AZ6" si="2">SUM(L6:O6)</f>
        <v>127787</v>
      </c>
    </row>
    <row r="7" spans="1:71" s="2" customFormat="1" x14ac:dyDescent="0.2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AS7" s="2">
        <v>10938</v>
      </c>
      <c r="AT7" s="2">
        <v>10026</v>
      </c>
      <c r="AU7" s="2">
        <v>10631</v>
      </c>
    </row>
    <row r="8" spans="1:71" s="2" customFormat="1" x14ac:dyDescent="0.2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AS8" s="2">
        <v>22369</v>
      </c>
      <c r="AT8" s="2">
        <v>25196</v>
      </c>
      <c r="AU8" s="2">
        <v>33107</v>
      </c>
    </row>
    <row r="9" spans="1:71" s="2" customFormat="1" x14ac:dyDescent="0.2">
      <c r="B9" s="2" t="s">
        <v>37</v>
      </c>
      <c r="C9" s="4">
        <v>7430</v>
      </c>
      <c r="D9" s="4">
        <v>7696</v>
      </c>
      <c r="E9" s="4">
        <v>8381</v>
      </c>
      <c r="F9" s="4">
        <v>8995</v>
      </c>
      <c r="G9" s="4">
        <v>9954</v>
      </c>
      <c r="H9" s="4">
        <v>10219</v>
      </c>
      <c r="I9" s="4">
        <v>10808</v>
      </c>
      <c r="J9" s="4">
        <v>11601</v>
      </c>
      <c r="K9" s="4">
        <v>12742</v>
      </c>
      <c r="L9" s="4">
        <v>13503</v>
      </c>
      <c r="M9" s="4">
        <v>14809</v>
      </c>
      <c r="N9" s="4">
        <v>16110</v>
      </c>
      <c r="O9" s="4">
        <v>17780</v>
      </c>
      <c r="P9" s="4">
        <v>18441</v>
      </c>
      <c r="Q9" s="4">
        <v>19739</v>
      </c>
      <c r="R9" s="4">
        <v>20538</v>
      </c>
      <c r="S9" s="4">
        <v>21378</v>
      </c>
      <c r="T9" s="4">
        <v>21354</v>
      </c>
      <c r="U9" s="4">
        <f>+Q9*1.2</f>
        <v>23686.799999999999</v>
      </c>
      <c r="V9" s="4">
        <f>+R9*1.2</f>
        <v>24645.599999999999</v>
      </c>
      <c r="W9" s="4">
        <f>+S9*1.2</f>
        <v>25653.599999999999</v>
      </c>
      <c r="AS9" s="2">
        <v>4644</v>
      </c>
      <c r="AT9" s="2">
        <v>7880</v>
      </c>
      <c r="AU9" s="2">
        <v>12219</v>
      </c>
      <c r="AV9" s="2">
        <v>17459</v>
      </c>
      <c r="AW9" s="2">
        <v>25655</v>
      </c>
      <c r="AX9" s="2">
        <f>SUM(D9:G9)</f>
        <v>35026</v>
      </c>
      <c r="AY9" s="2">
        <f>SUM(H9:K9)</f>
        <v>45370</v>
      </c>
      <c r="AZ9" s="2">
        <f>SUM(L9:O9)</f>
        <v>62202</v>
      </c>
      <c r="BA9" s="2">
        <f>SUM(P9:S9)</f>
        <v>80096</v>
      </c>
      <c r="BB9" s="2">
        <f>SUM(T9:W9)</f>
        <v>95340</v>
      </c>
      <c r="BC9" s="2">
        <f>+BB9*1.3</f>
        <v>123942</v>
      </c>
      <c r="BD9" s="2">
        <f t="shared" ref="BD9:BF9" si="3">+BC9*1.3</f>
        <v>161124.6</v>
      </c>
      <c r="BE9" s="2">
        <f t="shared" si="3"/>
        <v>209461.98</v>
      </c>
      <c r="BF9" s="2">
        <f t="shared" si="3"/>
        <v>272300.57400000002</v>
      </c>
      <c r="BG9" s="2">
        <f>+BF9*1.2</f>
        <v>326760.6888</v>
      </c>
      <c r="BH9" s="2">
        <f t="shared" ref="BH9:BI9" si="4">+BG9*1.2</f>
        <v>392112.82656000002</v>
      </c>
      <c r="BI9" s="2">
        <f t="shared" si="4"/>
        <v>470535.39187200001</v>
      </c>
    </row>
    <row r="11" spans="1:71" s="2" customFormat="1" x14ac:dyDescent="0.2">
      <c r="B11" s="2" t="s">
        <v>40</v>
      </c>
      <c r="C11" s="4">
        <v>39822</v>
      </c>
      <c r="D11" s="4">
        <v>29498</v>
      </c>
      <c r="E11" s="4">
        <v>31053</v>
      </c>
      <c r="F11" s="4">
        <v>35039</v>
      </c>
      <c r="G11" s="4">
        <v>45657</v>
      </c>
      <c r="H11" s="4">
        <v>36652</v>
      </c>
      <c r="I11" s="4">
        <v>45896</v>
      </c>
      <c r="J11" s="4">
        <v>48350</v>
      </c>
      <c r="K11" s="4">
        <v>66451</v>
      </c>
      <c r="L11" s="4">
        <v>52901</v>
      </c>
      <c r="M11" s="4">
        <v>53157</v>
      </c>
      <c r="N11" s="4">
        <v>49942</v>
      </c>
      <c r="O11" s="4">
        <v>66075</v>
      </c>
      <c r="P11" s="4">
        <v>51129</v>
      </c>
      <c r="Q11" s="4">
        <v>50855</v>
      </c>
      <c r="R11" s="4">
        <v>53489</v>
      </c>
      <c r="S11" s="4">
        <v>64531</v>
      </c>
      <c r="T11" s="4">
        <v>51096</v>
      </c>
      <c r="U11" s="4">
        <f>+Q11*1.03</f>
        <v>52380.65</v>
      </c>
      <c r="V11" s="4">
        <f>+R11*1.03</f>
        <v>55093.67</v>
      </c>
      <c r="W11" s="4">
        <f>+S11*1.03</f>
        <v>66466.930000000008</v>
      </c>
      <c r="AW11" s="2">
        <f>26939+27165+29061+39822</f>
        <v>122987</v>
      </c>
      <c r="AX11" s="2">
        <f t="shared" ref="AX11:AX26" si="5">SUM(D11:G11)</f>
        <v>141247</v>
      </c>
      <c r="AY11" s="2">
        <f t="shared" ref="AY11:AY16" si="6">SUM(H11:K11)</f>
        <v>197349</v>
      </c>
      <c r="AZ11" s="2">
        <f t="shared" ref="AZ11:AZ16" si="7">SUM(L11:O11)</f>
        <v>222075</v>
      </c>
      <c r="BA11" s="2">
        <f t="shared" ref="BA11:BA16" si="8">SUM(P11:S11)</f>
        <v>220004</v>
      </c>
      <c r="BB11" s="2">
        <f t="shared" ref="BB11:BB16" si="9">SUM(T11:W11)</f>
        <v>225037.25</v>
      </c>
      <c r="BC11" s="2">
        <f>+BB11*1.05</f>
        <v>236289.11250000002</v>
      </c>
      <c r="BD11" s="2">
        <f t="shared" ref="BD11:BI11" si="10">+BC11*1.05</f>
        <v>248103.56812500002</v>
      </c>
      <c r="BE11" s="2">
        <f t="shared" si="10"/>
        <v>260508.74653125004</v>
      </c>
      <c r="BF11" s="2">
        <f t="shared" si="10"/>
        <v>273534.18385781255</v>
      </c>
      <c r="BG11" s="2">
        <f t="shared" si="10"/>
        <v>287210.89305070316</v>
      </c>
      <c r="BH11" s="2">
        <f t="shared" si="10"/>
        <v>301571.43770323833</v>
      </c>
      <c r="BI11" s="2">
        <f t="shared" si="10"/>
        <v>316650.00958840025</v>
      </c>
    </row>
    <row r="12" spans="1:71" s="2" customFormat="1" x14ac:dyDescent="0.2">
      <c r="B12" s="2" t="s">
        <v>41</v>
      </c>
      <c r="C12" s="4">
        <v>4401</v>
      </c>
      <c r="D12" s="4">
        <v>4307</v>
      </c>
      <c r="E12" s="4">
        <v>4330</v>
      </c>
      <c r="F12" s="4">
        <v>4192</v>
      </c>
      <c r="G12" s="4">
        <v>4363</v>
      </c>
      <c r="H12" s="4">
        <v>4640</v>
      </c>
      <c r="I12" s="4">
        <v>3774</v>
      </c>
      <c r="J12" s="4">
        <v>3788</v>
      </c>
      <c r="K12" s="4">
        <v>4022</v>
      </c>
      <c r="L12" s="4">
        <v>3920</v>
      </c>
      <c r="M12" s="4">
        <v>4198</v>
      </c>
      <c r="N12" s="4">
        <v>4269</v>
      </c>
      <c r="O12" s="4">
        <v>4688</v>
      </c>
      <c r="P12" s="4">
        <v>4591</v>
      </c>
      <c r="Q12" s="4">
        <v>4721</v>
      </c>
      <c r="R12" s="4">
        <v>4694</v>
      </c>
      <c r="S12" s="4">
        <v>4957</v>
      </c>
      <c r="T12" s="4">
        <v>4895</v>
      </c>
      <c r="U12" s="4">
        <f t="shared" ref="U12:W12" si="11">+Q12</f>
        <v>4721</v>
      </c>
      <c r="V12" s="4">
        <f t="shared" si="11"/>
        <v>4694</v>
      </c>
      <c r="W12" s="4">
        <f t="shared" si="11"/>
        <v>4957</v>
      </c>
      <c r="AW12" s="2">
        <f>4263+4312+4248+4401</f>
        <v>17224</v>
      </c>
      <c r="AX12" s="2">
        <f t="shared" si="5"/>
        <v>17192</v>
      </c>
      <c r="AY12" s="2">
        <f t="shared" si="6"/>
        <v>16224</v>
      </c>
      <c r="AZ12" s="2">
        <f t="shared" si="7"/>
        <v>17075</v>
      </c>
      <c r="BA12" s="2">
        <f t="shared" si="8"/>
        <v>18963</v>
      </c>
      <c r="BB12" s="2">
        <f t="shared" si="9"/>
        <v>19267</v>
      </c>
      <c r="BC12" s="2">
        <f t="shared" ref="BC12:BI12" si="12">+BB12*1.05</f>
        <v>20230.350000000002</v>
      </c>
      <c r="BD12" s="2">
        <f t="shared" si="12"/>
        <v>21241.867500000004</v>
      </c>
      <c r="BE12" s="2">
        <f t="shared" si="12"/>
        <v>22303.960875000004</v>
      </c>
      <c r="BF12" s="2">
        <f t="shared" si="12"/>
        <v>23419.158918750007</v>
      </c>
      <c r="BG12" s="2">
        <f t="shared" si="12"/>
        <v>24590.116864687508</v>
      </c>
      <c r="BH12" s="2">
        <f t="shared" si="12"/>
        <v>25819.622707921884</v>
      </c>
      <c r="BI12" s="2">
        <f t="shared" si="12"/>
        <v>27110.603843317978</v>
      </c>
    </row>
    <row r="13" spans="1:71" s="2" customFormat="1" x14ac:dyDescent="0.2">
      <c r="B13" s="2" t="s">
        <v>42</v>
      </c>
      <c r="C13" s="4">
        <v>13383</v>
      </c>
      <c r="D13" s="4">
        <v>11141</v>
      </c>
      <c r="E13" s="4">
        <v>11962</v>
      </c>
      <c r="F13" s="4">
        <v>13212</v>
      </c>
      <c r="G13" s="4">
        <v>17446</v>
      </c>
      <c r="H13" s="4">
        <v>14479</v>
      </c>
      <c r="I13" s="4">
        <v>18195</v>
      </c>
      <c r="J13" s="4">
        <v>20436</v>
      </c>
      <c r="K13" s="4">
        <v>27327</v>
      </c>
      <c r="L13" s="4">
        <v>23709</v>
      </c>
      <c r="M13" s="4">
        <v>25085</v>
      </c>
      <c r="N13" s="4">
        <v>24252</v>
      </c>
      <c r="O13" s="4">
        <v>30320</v>
      </c>
      <c r="P13" s="4">
        <v>25335</v>
      </c>
      <c r="Q13" s="4">
        <v>27376</v>
      </c>
      <c r="R13" s="4">
        <v>28666</v>
      </c>
      <c r="S13" s="4">
        <v>36339</v>
      </c>
      <c r="T13" s="4">
        <v>29820</v>
      </c>
      <c r="U13" s="4">
        <f>+Q13*1.03</f>
        <v>28197.280000000002</v>
      </c>
      <c r="V13" s="4">
        <f>+R13*1.03</f>
        <v>29525.98</v>
      </c>
      <c r="W13" s="4">
        <f>+S13*1.03</f>
        <v>37429.17</v>
      </c>
      <c r="AW13" s="2">
        <f>9265+9702+10395+13383</f>
        <v>42745</v>
      </c>
      <c r="AX13" s="2">
        <f t="shared" si="5"/>
        <v>53761</v>
      </c>
      <c r="AY13" s="2">
        <f t="shared" si="6"/>
        <v>80437</v>
      </c>
      <c r="AZ13" s="2">
        <f t="shared" si="7"/>
        <v>103366</v>
      </c>
      <c r="BA13" s="2">
        <f t="shared" si="8"/>
        <v>117716</v>
      </c>
      <c r="BB13" s="2">
        <f t="shared" si="9"/>
        <v>124972.43</v>
      </c>
      <c r="BC13" s="2">
        <f t="shared" ref="BC13:BI13" si="13">+BB13*1.05</f>
        <v>131221.0515</v>
      </c>
      <c r="BD13" s="2">
        <f t="shared" si="13"/>
        <v>137782.10407500001</v>
      </c>
      <c r="BE13" s="2">
        <f t="shared" si="13"/>
        <v>144671.20927875003</v>
      </c>
      <c r="BF13" s="2">
        <f t="shared" si="13"/>
        <v>151904.76974268752</v>
      </c>
      <c r="BG13" s="2">
        <f t="shared" si="13"/>
        <v>159500.00822982192</v>
      </c>
      <c r="BH13" s="2">
        <f t="shared" si="13"/>
        <v>167475.00864131303</v>
      </c>
      <c r="BI13" s="2">
        <f t="shared" si="13"/>
        <v>175848.75907337869</v>
      </c>
    </row>
    <row r="14" spans="1:71" s="2" customFormat="1" x14ac:dyDescent="0.2">
      <c r="B14" s="2" t="s">
        <v>43</v>
      </c>
      <c r="C14" s="4">
        <v>3959</v>
      </c>
      <c r="D14" s="4">
        <v>4342</v>
      </c>
      <c r="E14" s="4">
        <v>4676</v>
      </c>
      <c r="F14" s="4">
        <v>4957</v>
      </c>
      <c r="G14" s="4">
        <v>5235</v>
      </c>
      <c r="H14" s="4">
        <v>5556</v>
      </c>
      <c r="I14" s="4">
        <v>6018</v>
      </c>
      <c r="J14" s="4">
        <v>6572</v>
      </c>
      <c r="K14" s="4">
        <v>7061</v>
      </c>
      <c r="L14" s="4">
        <v>7580</v>
      </c>
      <c r="M14" s="4">
        <v>7917</v>
      </c>
      <c r="N14" s="4">
        <v>8148</v>
      </c>
      <c r="O14" s="4">
        <v>8123</v>
      </c>
      <c r="P14" s="4">
        <v>8410</v>
      </c>
      <c r="Q14" s="4">
        <v>8716</v>
      </c>
      <c r="R14" s="4">
        <v>8903</v>
      </c>
      <c r="S14" s="4">
        <v>9189</v>
      </c>
      <c r="T14" s="4">
        <v>9657</v>
      </c>
      <c r="U14" s="4">
        <f>+Q14*1.08</f>
        <v>9413.2800000000007</v>
      </c>
      <c r="V14" s="4">
        <f>+R14*1.08</f>
        <v>9615.24</v>
      </c>
      <c r="W14" s="4">
        <f>+S14*1.08</f>
        <v>9924.1200000000008</v>
      </c>
      <c r="AW14" s="2">
        <f>3102+3408+3698+3959</f>
        <v>14167</v>
      </c>
      <c r="AX14" s="2">
        <f t="shared" si="5"/>
        <v>19210</v>
      </c>
      <c r="AY14" s="2">
        <f t="shared" si="6"/>
        <v>25207</v>
      </c>
      <c r="AZ14" s="2">
        <f t="shared" si="7"/>
        <v>31768</v>
      </c>
      <c r="BA14" s="2">
        <f t="shared" si="8"/>
        <v>35218</v>
      </c>
      <c r="BB14" s="2">
        <f t="shared" si="9"/>
        <v>38609.64</v>
      </c>
      <c r="BC14" s="2">
        <f>+BB14*1.1</f>
        <v>42470.603999999999</v>
      </c>
      <c r="BD14" s="2">
        <f t="shared" ref="BD14:BF14" si="14">+BC14*1.1</f>
        <v>46717.664400000001</v>
      </c>
      <c r="BE14" s="2">
        <f t="shared" si="14"/>
        <v>51389.430840000008</v>
      </c>
      <c r="BF14" s="2">
        <f t="shared" si="14"/>
        <v>56528.373924000014</v>
      </c>
      <c r="BG14" s="2">
        <f t="shared" ref="BG14:BI14" si="15">+BF14*1.05</f>
        <v>59354.792620200016</v>
      </c>
      <c r="BH14" s="2">
        <f t="shared" si="15"/>
        <v>62322.532251210017</v>
      </c>
      <c r="BI14" s="2">
        <f t="shared" si="15"/>
        <v>65438.658863770521</v>
      </c>
    </row>
    <row r="15" spans="1:71" s="2" customFormat="1" x14ac:dyDescent="0.2">
      <c r="B15" s="2" t="s">
        <v>44</v>
      </c>
      <c r="C15" s="4">
        <v>3388</v>
      </c>
      <c r="D15" s="4">
        <v>2716</v>
      </c>
      <c r="E15" s="4">
        <v>3002</v>
      </c>
      <c r="F15" s="4">
        <v>3586</v>
      </c>
      <c r="G15" s="4">
        <v>4782</v>
      </c>
      <c r="H15" s="4">
        <v>3906</v>
      </c>
      <c r="I15" s="4">
        <v>4221</v>
      </c>
      <c r="J15" s="4">
        <v>5398</v>
      </c>
      <c r="K15" s="4">
        <v>7350</v>
      </c>
      <c r="L15" s="4">
        <v>6381</v>
      </c>
      <c r="M15" s="4">
        <v>7451</v>
      </c>
      <c r="N15" s="4">
        <v>7612</v>
      </c>
      <c r="O15" s="4">
        <v>9716</v>
      </c>
      <c r="P15" s="4">
        <v>7877</v>
      </c>
      <c r="Q15" s="4">
        <v>8757</v>
      </c>
      <c r="R15" s="4">
        <v>9548</v>
      </c>
      <c r="S15" s="4">
        <v>11557</v>
      </c>
      <c r="T15" s="4">
        <v>9509</v>
      </c>
      <c r="U15" s="4">
        <f>+Q15*1.1</f>
        <v>9632.7000000000007</v>
      </c>
      <c r="V15" s="4">
        <f>+R15*1.1</f>
        <v>10502.800000000001</v>
      </c>
      <c r="W15" s="4">
        <f>+S15*1.1</f>
        <v>12712.7</v>
      </c>
      <c r="AW15" s="2">
        <f>2031+2194+2495+3388</f>
        <v>10108</v>
      </c>
      <c r="AX15" s="2">
        <f t="shared" si="5"/>
        <v>14086</v>
      </c>
      <c r="AY15" s="2">
        <f t="shared" si="6"/>
        <v>20875</v>
      </c>
      <c r="AZ15" s="2">
        <f t="shared" si="7"/>
        <v>31160</v>
      </c>
      <c r="BA15" s="2">
        <f t="shared" si="8"/>
        <v>37739</v>
      </c>
      <c r="BB15" s="2">
        <f t="shared" si="9"/>
        <v>42357.2</v>
      </c>
      <c r="BC15" s="2">
        <f t="shared" ref="BC15:BF15" si="16">+BB15*1.1</f>
        <v>46592.92</v>
      </c>
      <c r="BD15" s="2">
        <f t="shared" si="16"/>
        <v>51252.212</v>
      </c>
      <c r="BE15" s="2">
        <f t="shared" si="16"/>
        <v>56377.433200000007</v>
      </c>
      <c r="BF15" s="2">
        <f t="shared" si="16"/>
        <v>62015.176520000015</v>
      </c>
      <c r="BG15" s="2">
        <f t="shared" ref="BG15:BI15" si="17">+BF15*1.05</f>
        <v>65115.93534600002</v>
      </c>
      <c r="BH15" s="2">
        <f t="shared" si="17"/>
        <v>68371.732113300022</v>
      </c>
      <c r="BI15" s="2">
        <f t="shared" si="17"/>
        <v>71790.31871896502</v>
      </c>
    </row>
    <row r="16" spans="1:71" s="2" customFormat="1" x14ac:dyDescent="0.2">
      <c r="B16" s="2" t="s">
        <v>45</v>
      </c>
      <c r="C16" s="4"/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602</v>
      </c>
      <c r="L16" s="4">
        <v>524</v>
      </c>
      <c r="M16" s="4">
        <v>463</v>
      </c>
      <c r="N16" s="4">
        <v>479</v>
      </c>
      <c r="O16" s="4">
        <v>710</v>
      </c>
      <c r="P16" s="4">
        <v>661</v>
      </c>
      <c r="Q16" s="4">
        <v>1070</v>
      </c>
      <c r="R16" s="4">
        <v>1263</v>
      </c>
      <c r="S16" s="4">
        <v>1253</v>
      </c>
      <c r="T16" s="4">
        <v>1027</v>
      </c>
      <c r="U16" s="4">
        <f t="shared" ref="U16:W16" si="18">+Q16</f>
        <v>1070</v>
      </c>
      <c r="V16" s="4">
        <f t="shared" si="18"/>
        <v>1263</v>
      </c>
      <c r="W16" s="4">
        <f t="shared" si="18"/>
        <v>1253</v>
      </c>
      <c r="AX16" s="2">
        <f t="shared" si="5"/>
        <v>0</v>
      </c>
      <c r="AY16" s="2">
        <f t="shared" si="6"/>
        <v>602</v>
      </c>
      <c r="AZ16" s="2">
        <f t="shared" si="7"/>
        <v>2176</v>
      </c>
      <c r="BA16" s="2">
        <f t="shared" si="8"/>
        <v>4247</v>
      </c>
      <c r="BB16" s="2">
        <f t="shared" si="9"/>
        <v>4613</v>
      </c>
      <c r="BC16" s="2">
        <f t="shared" ref="BC16:BI16" si="19">+BB16*1.05</f>
        <v>4843.6500000000005</v>
      </c>
      <c r="BD16" s="2">
        <f t="shared" si="19"/>
        <v>5085.8325000000004</v>
      </c>
      <c r="BE16" s="2">
        <f t="shared" si="19"/>
        <v>5340.1241250000003</v>
      </c>
      <c r="BF16" s="2">
        <f t="shared" si="19"/>
        <v>5607.1303312500004</v>
      </c>
      <c r="BG16" s="2">
        <f t="shared" si="19"/>
        <v>5887.4868478125009</v>
      </c>
      <c r="BH16" s="2">
        <f t="shared" si="19"/>
        <v>6181.8611902031262</v>
      </c>
      <c r="BI16" s="2">
        <f t="shared" si="19"/>
        <v>6490.9542497132825</v>
      </c>
    </row>
    <row r="17" spans="2:123" x14ac:dyDescent="0.2">
      <c r="BA17" s="2"/>
      <c r="BB17" s="2"/>
    </row>
    <row r="18" spans="2:123" s="2" customFormat="1" x14ac:dyDescent="0.2">
      <c r="B18" s="2" t="s">
        <v>20</v>
      </c>
      <c r="C18" s="4">
        <v>44700</v>
      </c>
      <c r="D18" s="4">
        <v>34283</v>
      </c>
      <c r="E18" s="4">
        <v>35856</v>
      </c>
      <c r="F18" s="4">
        <v>39726</v>
      </c>
      <c r="G18" s="4">
        <v>50542</v>
      </c>
      <c r="H18" s="4">
        <v>41841</v>
      </c>
      <c r="I18" s="4">
        <v>50244</v>
      </c>
      <c r="J18" s="4">
        <v>52774</v>
      </c>
      <c r="K18" s="4">
        <v>71056</v>
      </c>
      <c r="L18" s="4">
        <v>57491</v>
      </c>
      <c r="M18" s="4">
        <v>58004</v>
      </c>
      <c r="N18" s="4">
        <v>54876</v>
      </c>
      <c r="O18" s="4">
        <v>71416</v>
      </c>
      <c r="P18" s="4">
        <v>56455</v>
      </c>
      <c r="Q18" s="4">
        <v>56575</v>
      </c>
      <c r="R18" s="4">
        <v>59340</v>
      </c>
      <c r="S18" s="4">
        <v>70531</v>
      </c>
      <c r="T18" s="2">
        <v>56981</v>
      </c>
      <c r="AV18" s="2">
        <v>118573</v>
      </c>
      <c r="AW18" s="2">
        <v>141915</v>
      </c>
      <c r="AX18" s="2">
        <f t="shared" si="5"/>
        <v>160407</v>
      </c>
      <c r="AY18" s="2">
        <f>SUM(H18:K18)</f>
        <v>215915</v>
      </c>
      <c r="AZ18" s="2">
        <f t="shared" ref="AZ18:AZ26" si="20">SUM(L18:O18)</f>
        <v>241787</v>
      </c>
    </row>
    <row r="19" spans="2:123" s="2" customFormat="1" x14ac:dyDescent="0.2">
      <c r="B19" s="2" t="s">
        <v>21</v>
      </c>
      <c r="C19" s="4">
        <v>27683</v>
      </c>
      <c r="D19" s="4">
        <v>25417</v>
      </c>
      <c r="E19" s="4">
        <v>27548</v>
      </c>
      <c r="F19" s="4">
        <v>30255</v>
      </c>
      <c r="G19" s="4">
        <v>36895</v>
      </c>
      <c r="H19" s="4">
        <v>33611</v>
      </c>
      <c r="I19" s="4">
        <v>38668</v>
      </c>
      <c r="J19" s="4">
        <v>43371</v>
      </c>
      <c r="K19" s="4">
        <v>54499</v>
      </c>
      <c r="L19" s="4">
        <v>51027</v>
      </c>
      <c r="M19" s="4">
        <v>55076</v>
      </c>
      <c r="N19" s="4">
        <v>55936</v>
      </c>
      <c r="O19" s="4">
        <v>65996</v>
      </c>
      <c r="P19" s="4">
        <v>59989</v>
      </c>
      <c r="Q19" s="4">
        <v>64659</v>
      </c>
      <c r="R19" s="4">
        <v>67761</v>
      </c>
      <c r="S19" s="4">
        <v>78673</v>
      </c>
      <c r="T19" s="2">
        <v>70377</v>
      </c>
      <c r="AV19" s="2">
        <v>59293</v>
      </c>
      <c r="AW19" s="2">
        <v>90972</v>
      </c>
      <c r="AX19" s="2">
        <f t="shared" si="5"/>
        <v>120115</v>
      </c>
      <c r="AY19" s="2">
        <f t="shared" ref="AY19:AY26" si="21">SUM(H19:K19)</f>
        <v>170149</v>
      </c>
      <c r="AZ19" s="2">
        <f t="shared" si="20"/>
        <v>228035</v>
      </c>
    </row>
    <row r="20" spans="2:123" s="5" customFormat="1" x14ac:dyDescent="0.2">
      <c r="B20" s="5" t="s">
        <v>8</v>
      </c>
      <c r="C20" s="6">
        <f t="shared" ref="C20" si="22">C18+C19</f>
        <v>72383</v>
      </c>
      <c r="D20" s="6">
        <f t="shared" ref="D20:F20" si="23">D18+D19</f>
        <v>59700</v>
      </c>
      <c r="E20" s="6">
        <f t="shared" ref="E20" si="24">E18+E19</f>
        <v>63404</v>
      </c>
      <c r="F20" s="6">
        <f t="shared" si="23"/>
        <v>69981</v>
      </c>
      <c r="G20" s="6">
        <f t="shared" ref="G20" si="25">G18+G19</f>
        <v>87437</v>
      </c>
      <c r="H20" s="6">
        <f t="shared" ref="H20" si="26">H18+H19</f>
        <v>75452</v>
      </c>
      <c r="I20" s="6">
        <f t="shared" ref="I20" si="27">I18+I19</f>
        <v>88912</v>
      </c>
      <c r="J20" s="6">
        <f t="shared" ref="J20:O20" si="28">J18+J19</f>
        <v>96145</v>
      </c>
      <c r="K20" s="6">
        <f t="shared" si="28"/>
        <v>125555</v>
      </c>
      <c r="L20" s="6">
        <f t="shared" si="28"/>
        <v>108518</v>
      </c>
      <c r="M20" s="6">
        <f t="shared" si="28"/>
        <v>113080</v>
      </c>
      <c r="N20" s="6">
        <f t="shared" si="28"/>
        <v>110812</v>
      </c>
      <c r="O20" s="6">
        <f t="shared" si="28"/>
        <v>137412</v>
      </c>
      <c r="P20" s="6">
        <f>P18+P19</f>
        <v>116444</v>
      </c>
      <c r="Q20" s="6">
        <f>Q18+Q19</f>
        <v>121234</v>
      </c>
      <c r="R20" s="6">
        <f>+R18+R19</f>
        <v>127101</v>
      </c>
      <c r="S20" s="6">
        <f>+S19+S18</f>
        <v>149204</v>
      </c>
      <c r="T20" s="6">
        <f>T19+T18</f>
        <v>127358</v>
      </c>
      <c r="U20" s="6">
        <f>SUM(U9:U16)</f>
        <v>129101.70999999999</v>
      </c>
      <c r="V20" s="6">
        <f t="shared" ref="V20:W20" si="29">SUM(V9:V16)</f>
        <v>135340.28999999998</v>
      </c>
      <c r="W20" s="6">
        <f t="shared" si="29"/>
        <v>158396.52000000002</v>
      </c>
      <c r="Z20" s="5">
        <v>0.51100000000000001</v>
      </c>
      <c r="AA20" s="5">
        <v>15.746</v>
      </c>
      <c r="AB20" s="5">
        <v>147.78700000000001</v>
      </c>
      <c r="AC20" s="5">
        <v>609.81899999999996</v>
      </c>
      <c r="AD20" s="5">
        <v>1639.8389999999999</v>
      </c>
      <c r="AE20" s="5">
        <v>2761.9830000000002</v>
      </c>
      <c r="AF20" s="5">
        <v>3122.433</v>
      </c>
      <c r="AG20" s="5">
        <v>3932.9360000000001</v>
      </c>
      <c r="AH20" s="5">
        <v>5263.6989999999996</v>
      </c>
      <c r="AI20" s="5">
        <v>6921</v>
      </c>
      <c r="AJ20" s="5">
        <v>8490</v>
      </c>
      <c r="AK20" s="5">
        <v>10711</v>
      </c>
      <c r="AL20" s="5">
        <v>14835</v>
      </c>
      <c r="AM20" s="5">
        <v>19166</v>
      </c>
      <c r="AN20" s="5">
        <v>24509</v>
      </c>
      <c r="AO20" s="5">
        <v>34204</v>
      </c>
      <c r="AP20" s="5">
        <v>48077</v>
      </c>
      <c r="AQ20" s="5">
        <v>61093</v>
      </c>
      <c r="AR20" s="5">
        <v>74452</v>
      </c>
      <c r="AS20" s="5">
        <f>+AS3+AS6+AS9</f>
        <v>88988</v>
      </c>
      <c r="AT20" s="5">
        <f t="shared" ref="AT20:AU20" si="30">+AT3+AT6+AT9</f>
        <v>107006</v>
      </c>
      <c r="AU20" s="5">
        <f t="shared" si="30"/>
        <v>135987</v>
      </c>
      <c r="AV20" s="6">
        <f t="shared" ref="AV20" si="31">AV18+AV19</f>
        <v>177866</v>
      </c>
      <c r="AW20" s="6">
        <f t="shared" ref="AW20" si="32">AW18+AW19</f>
        <v>232887</v>
      </c>
      <c r="AX20" s="6">
        <f>AX18+AX19</f>
        <v>280522</v>
      </c>
      <c r="AY20" s="6">
        <f>AY18+AY19</f>
        <v>386064</v>
      </c>
      <c r="AZ20" s="6">
        <f>AZ18+AZ19</f>
        <v>469822</v>
      </c>
      <c r="BA20" s="5">
        <f>SUM(BA9:BA16)</f>
        <v>513983</v>
      </c>
      <c r="BB20" s="5">
        <f>SUM(BB9:BB16)</f>
        <v>550196.52</v>
      </c>
      <c r="BC20" s="5">
        <f t="shared" ref="BC20:BI20" si="33">SUM(BC9:BC16)</f>
        <v>605589.68800000008</v>
      </c>
      <c r="BD20" s="5">
        <f t="shared" si="33"/>
        <v>671307.84860000014</v>
      </c>
      <c r="BE20" s="5">
        <f t="shared" si="33"/>
        <v>750052.88485000003</v>
      </c>
      <c r="BF20" s="5">
        <f t="shared" si="33"/>
        <v>845309.3672945</v>
      </c>
      <c r="BG20" s="5">
        <f t="shared" si="33"/>
        <v>928419.92175922508</v>
      </c>
      <c r="BH20" s="5">
        <f t="shared" si="33"/>
        <v>1023855.0211671864</v>
      </c>
      <c r="BI20" s="5">
        <f t="shared" si="33"/>
        <v>1133864.6962095457</v>
      </c>
    </row>
    <row r="21" spans="2:123" s="2" customFormat="1" x14ac:dyDescent="0.2">
      <c r="B21" s="2" t="s">
        <v>22</v>
      </c>
      <c r="C21" s="4">
        <v>44786</v>
      </c>
      <c r="D21" s="4">
        <v>33920</v>
      </c>
      <c r="E21" s="4">
        <v>36337</v>
      </c>
      <c r="F21" s="4">
        <v>41302</v>
      </c>
      <c r="G21" s="4">
        <v>53977</v>
      </c>
      <c r="H21" s="4">
        <v>44257</v>
      </c>
      <c r="I21" s="4">
        <v>52660</v>
      </c>
      <c r="J21" s="4">
        <v>57106</v>
      </c>
      <c r="K21" s="4">
        <v>79284</v>
      </c>
      <c r="L21" s="4">
        <v>62403</v>
      </c>
      <c r="M21" s="4">
        <v>64176</v>
      </c>
      <c r="N21" s="4">
        <v>62930</v>
      </c>
      <c r="O21" s="4">
        <v>82835</v>
      </c>
      <c r="P21" s="4">
        <v>66499</v>
      </c>
      <c r="Q21" s="4">
        <v>66424</v>
      </c>
      <c r="R21" s="4">
        <v>70268</v>
      </c>
      <c r="S21" s="4">
        <v>85640</v>
      </c>
      <c r="T21" s="4">
        <v>67791</v>
      </c>
      <c r="U21" s="4">
        <f t="shared" ref="U21:W21" si="34">SUM(U11:U13)*0.68+U9*0.5</f>
        <v>69846.67240000001</v>
      </c>
      <c r="V21" s="4">
        <f t="shared" si="34"/>
        <v>73056.081999999995</v>
      </c>
      <c r="W21" s="4">
        <f t="shared" si="34"/>
        <v>86846.90800000001</v>
      </c>
      <c r="AF21" s="2">
        <v>2323.875</v>
      </c>
      <c r="AG21" s="2">
        <v>2940.3180000000002</v>
      </c>
      <c r="AH21" s="2">
        <v>4006.5309999999999</v>
      </c>
      <c r="AS21" s="2">
        <v>62752</v>
      </c>
      <c r="AT21" s="2">
        <v>71651</v>
      </c>
      <c r="AU21" s="2">
        <v>88265</v>
      </c>
      <c r="AV21" s="2">
        <v>111934</v>
      </c>
      <c r="AW21" s="2">
        <v>139156</v>
      </c>
      <c r="AX21" s="2">
        <f t="shared" si="5"/>
        <v>165536</v>
      </c>
      <c r="AY21" s="2">
        <f t="shared" si="21"/>
        <v>233307</v>
      </c>
      <c r="AZ21" s="2">
        <f t="shared" si="20"/>
        <v>272344</v>
      </c>
      <c r="BA21" s="2">
        <f>SUM(P21:S21)</f>
        <v>288831</v>
      </c>
      <c r="BB21" s="2">
        <f>SUM(T21:W21)</f>
        <v>297540.66240000003</v>
      </c>
      <c r="BC21" s="4">
        <f t="shared" ref="BC21:BI21" si="35">SUM(BC11:BC13)*0.8+BC9*0.7</f>
        <v>396951.8112</v>
      </c>
      <c r="BD21" s="4">
        <f t="shared" si="35"/>
        <v>438489.25176000013</v>
      </c>
      <c r="BE21" s="4">
        <f t="shared" si="35"/>
        <v>488610.51934800006</v>
      </c>
      <c r="BF21" s="4">
        <f t="shared" si="35"/>
        <v>549696.8918154001</v>
      </c>
      <c r="BG21" s="4">
        <f t="shared" si="35"/>
        <v>605773.29667617008</v>
      </c>
      <c r="BH21" s="4">
        <f t="shared" si="35"/>
        <v>670371.83383397863</v>
      </c>
      <c r="BI21" s="4">
        <f t="shared" si="35"/>
        <v>745062.27231447748</v>
      </c>
    </row>
    <row r="22" spans="2:123" s="2" customFormat="1" x14ac:dyDescent="0.2">
      <c r="B22" s="2" t="s">
        <v>23</v>
      </c>
      <c r="C22" s="4">
        <v>10028</v>
      </c>
      <c r="D22" s="4">
        <v>8601</v>
      </c>
      <c r="E22" s="4">
        <v>9271</v>
      </c>
      <c r="F22" s="4">
        <v>10167</v>
      </c>
      <c r="G22" s="4">
        <v>12192</v>
      </c>
      <c r="H22" s="4">
        <v>11531</v>
      </c>
      <c r="I22" s="4">
        <v>13806</v>
      </c>
      <c r="J22" s="4">
        <v>14705</v>
      </c>
      <c r="K22" s="4">
        <v>18474</v>
      </c>
      <c r="L22" s="4">
        <v>16530</v>
      </c>
      <c r="M22" s="4">
        <v>17638</v>
      </c>
      <c r="N22" s="4">
        <v>18498</v>
      </c>
      <c r="O22" s="4">
        <v>22445</v>
      </c>
      <c r="P22" s="4">
        <v>20271</v>
      </c>
      <c r="Q22" s="4">
        <v>20342</v>
      </c>
      <c r="R22" s="4">
        <v>20583</v>
      </c>
      <c r="S22" s="4">
        <v>23103</v>
      </c>
      <c r="T22" s="4">
        <v>20905</v>
      </c>
      <c r="U22" s="4">
        <f t="shared" ref="U22:W22" si="36">(U13+U11)*0.25</f>
        <v>20144.482500000002</v>
      </c>
      <c r="V22" s="4">
        <f t="shared" si="36"/>
        <v>21154.912499999999</v>
      </c>
      <c r="W22" s="4">
        <f t="shared" si="36"/>
        <v>25974.025000000001</v>
      </c>
      <c r="AF22" s="2">
        <v>798.55799999999999</v>
      </c>
      <c r="AG22" s="2">
        <v>392.46699999999998</v>
      </c>
      <c r="AH22" s="2">
        <v>477.03199999999998</v>
      </c>
      <c r="AS22" s="2">
        <v>10766</v>
      </c>
      <c r="AT22" s="2">
        <v>13410</v>
      </c>
      <c r="AU22" s="2">
        <v>17619</v>
      </c>
      <c r="AV22" s="2">
        <v>25249</v>
      </c>
      <c r="AW22" s="2">
        <v>34027</v>
      </c>
      <c r="AX22" s="2">
        <f t="shared" si="5"/>
        <v>40231</v>
      </c>
      <c r="AY22" s="2">
        <f t="shared" si="21"/>
        <v>58516</v>
      </c>
      <c r="AZ22" s="2">
        <f t="shared" si="20"/>
        <v>75111</v>
      </c>
      <c r="BA22" s="2">
        <f>SUM(P22:S22)</f>
        <v>84299</v>
      </c>
      <c r="BB22" s="2">
        <f>SUM(T22:W22)</f>
        <v>88178.42</v>
      </c>
      <c r="BC22" s="4">
        <f t="shared" ref="BC22:BI22" si="37">(BC13+BC11)*0.1</f>
        <v>36751.0164</v>
      </c>
      <c r="BD22" s="4">
        <f t="shared" si="37"/>
        <v>38588.567220000004</v>
      </c>
      <c r="BE22" s="4">
        <f t="shared" si="37"/>
        <v>40517.99558100001</v>
      </c>
      <c r="BF22" s="4">
        <f t="shared" si="37"/>
        <v>42543.89536005001</v>
      </c>
      <c r="BG22" s="4">
        <f t="shared" si="37"/>
        <v>44671.090128052514</v>
      </c>
      <c r="BH22" s="4">
        <f t="shared" si="37"/>
        <v>46904.644634455144</v>
      </c>
      <c r="BI22" s="4">
        <f t="shared" si="37"/>
        <v>49249.876866177896</v>
      </c>
    </row>
    <row r="23" spans="2:123" s="2" customFormat="1" x14ac:dyDescent="0.2">
      <c r="B23" s="2" t="s">
        <v>29</v>
      </c>
      <c r="C23" s="4">
        <f t="shared" ref="C23" si="38">C20-C21-C22</f>
        <v>17569</v>
      </c>
      <c r="D23" s="4">
        <f>D20-D21-D22</f>
        <v>17179</v>
      </c>
      <c r="E23" s="4">
        <f t="shared" ref="E23" si="39">E20-E21-E22</f>
        <v>17796</v>
      </c>
      <c r="F23" s="4">
        <f>F20-F21-F22</f>
        <v>18512</v>
      </c>
      <c r="G23" s="4">
        <f t="shared" ref="G23" si="40">G20-G21-G22</f>
        <v>21268</v>
      </c>
      <c r="H23" s="4">
        <f t="shared" ref="H23" si="41">H20-H21-H22</f>
        <v>19664</v>
      </c>
      <c r="I23" s="4">
        <f t="shared" ref="I23" si="42">I20-I21-I22</f>
        <v>22446</v>
      </c>
      <c r="J23" s="4">
        <f>J20-J21-J22</f>
        <v>24334</v>
      </c>
      <c r="K23" s="4">
        <f t="shared" ref="K23" si="43">K20-K21-K22</f>
        <v>27797</v>
      </c>
      <c r="L23" s="4">
        <f>L20-L21-L22</f>
        <v>29585</v>
      </c>
      <c r="M23" s="4">
        <f t="shared" ref="M23:W23" si="44">M20-M21-M22</f>
        <v>31266</v>
      </c>
      <c r="N23" s="4">
        <f t="shared" si="44"/>
        <v>29384</v>
      </c>
      <c r="O23" s="4">
        <f t="shared" si="44"/>
        <v>32132</v>
      </c>
      <c r="P23" s="4">
        <f t="shared" si="44"/>
        <v>29674</v>
      </c>
      <c r="Q23" s="4">
        <f t="shared" si="44"/>
        <v>34468</v>
      </c>
      <c r="R23" s="4">
        <f>R20-R21-R22</f>
        <v>36250</v>
      </c>
      <c r="S23" s="4">
        <f>S20-S21-S22</f>
        <v>40461</v>
      </c>
      <c r="T23" s="4">
        <f>T20-T21-T22</f>
        <v>38662</v>
      </c>
      <c r="U23" s="4">
        <f t="shared" si="44"/>
        <v>39110.555099999983</v>
      </c>
      <c r="V23" s="4">
        <f t="shared" si="44"/>
        <v>41129.295499999986</v>
      </c>
      <c r="W23" s="4">
        <f t="shared" si="44"/>
        <v>45575.587000000007</v>
      </c>
      <c r="AF23" s="2">
        <f>AF20-AF21-AF22</f>
        <v>0</v>
      </c>
      <c r="AG23" s="2">
        <f>AG20-AG21-AG22</f>
        <v>600.15099999999995</v>
      </c>
      <c r="AH23" s="2">
        <f>AH20-AH21-AH22</f>
        <v>780.13599999999974</v>
      </c>
      <c r="AS23" s="4">
        <f t="shared" ref="AS23:AV23" si="45">AS20-AS21-AS22</f>
        <v>15470</v>
      </c>
      <c r="AT23" s="4">
        <f t="shared" si="45"/>
        <v>21945</v>
      </c>
      <c r="AU23" s="4">
        <f t="shared" si="45"/>
        <v>30103</v>
      </c>
      <c r="AV23" s="4">
        <f t="shared" si="45"/>
        <v>40683</v>
      </c>
      <c r="AW23" s="4">
        <f t="shared" ref="AW23:AX23" si="46">AW20-AW21-AW22</f>
        <v>59704</v>
      </c>
      <c r="AX23" s="4">
        <f t="shared" si="46"/>
        <v>74755</v>
      </c>
      <c r="AY23" s="4">
        <f t="shared" ref="AY23:BI23" si="47">AY20-AY21-AY22</f>
        <v>94241</v>
      </c>
      <c r="AZ23" s="4">
        <f t="shared" si="47"/>
        <v>122367</v>
      </c>
      <c r="BA23" s="4">
        <f t="shared" si="47"/>
        <v>140853</v>
      </c>
      <c r="BB23" s="4">
        <f t="shared" si="47"/>
        <v>164477.4376</v>
      </c>
      <c r="BC23" s="4">
        <f t="shared" si="47"/>
        <v>171886.86040000009</v>
      </c>
      <c r="BD23" s="4">
        <f t="shared" si="47"/>
        <v>194230.02962000002</v>
      </c>
      <c r="BE23" s="4">
        <f t="shared" si="47"/>
        <v>220924.36992099998</v>
      </c>
      <c r="BF23" s="4">
        <f t="shared" si="47"/>
        <v>253068.58011904988</v>
      </c>
      <c r="BG23" s="4">
        <f t="shared" si="47"/>
        <v>277975.53495500248</v>
      </c>
      <c r="BH23" s="4">
        <f t="shared" si="47"/>
        <v>306578.54269875266</v>
      </c>
      <c r="BI23" s="4">
        <f t="shared" si="47"/>
        <v>339552.54702889035</v>
      </c>
    </row>
    <row r="24" spans="2:123" s="2" customFormat="1" x14ac:dyDescent="0.2">
      <c r="B24" s="2" t="s">
        <v>24</v>
      </c>
      <c r="C24" s="4">
        <v>7669</v>
      </c>
      <c r="D24" s="4">
        <v>7927</v>
      </c>
      <c r="E24" s="4">
        <v>9065</v>
      </c>
      <c r="F24" s="4">
        <v>9200</v>
      </c>
      <c r="G24" s="4">
        <v>9740</v>
      </c>
      <c r="H24" s="4">
        <v>9325</v>
      </c>
      <c r="I24" s="4">
        <v>10388</v>
      </c>
      <c r="J24" s="4">
        <v>10976</v>
      </c>
      <c r="K24" s="4">
        <v>12049</v>
      </c>
      <c r="L24" s="4">
        <v>12488</v>
      </c>
      <c r="M24" s="4">
        <v>13871</v>
      </c>
      <c r="N24" s="4">
        <v>14380</v>
      </c>
      <c r="O24" s="4">
        <v>15313</v>
      </c>
      <c r="P24" s="4">
        <v>14842</v>
      </c>
      <c r="Q24" s="4">
        <v>18072</v>
      </c>
      <c r="R24" s="4">
        <v>19485</v>
      </c>
      <c r="S24" s="4">
        <v>20814</v>
      </c>
      <c r="T24" s="4">
        <v>20450</v>
      </c>
      <c r="U24" s="4">
        <f t="shared" ref="U24:W24" si="48">+Q24*1.1</f>
        <v>19879.2</v>
      </c>
      <c r="V24" s="4">
        <f t="shared" si="48"/>
        <v>21433.5</v>
      </c>
      <c r="W24" s="4">
        <f t="shared" si="48"/>
        <v>22895.4</v>
      </c>
      <c r="AF24" s="2">
        <v>241.16499999999999</v>
      </c>
      <c r="AG24" s="2">
        <v>215.61699999999999</v>
      </c>
      <c r="AH24" s="2">
        <v>207.809</v>
      </c>
      <c r="AS24" s="2">
        <v>9275</v>
      </c>
      <c r="AT24" s="2">
        <v>12540</v>
      </c>
      <c r="AU24" s="2">
        <v>16085</v>
      </c>
      <c r="AV24" s="2">
        <v>22620</v>
      </c>
      <c r="AW24" s="2">
        <v>28837</v>
      </c>
      <c r="AX24" s="2">
        <f t="shared" si="5"/>
        <v>35932</v>
      </c>
      <c r="AY24" s="2">
        <f t="shared" si="21"/>
        <v>42738</v>
      </c>
      <c r="AZ24" s="2">
        <f t="shared" si="20"/>
        <v>56052</v>
      </c>
      <c r="BA24" s="2">
        <f>SUM(P24:S24)</f>
        <v>73213</v>
      </c>
      <c r="BB24" s="2">
        <f>SUM(T24:W24)</f>
        <v>84658.1</v>
      </c>
      <c r="BC24" s="2">
        <f>+BB24*1.03</f>
        <v>87197.843000000008</v>
      </c>
      <c r="BD24" s="2">
        <f t="shared" ref="BD24:BI24" si="49">+BC24*1.03</f>
        <v>89813.778290000017</v>
      </c>
      <c r="BE24" s="2">
        <f t="shared" si="49"/>
        <v>92508.191638700024</v>
      </c>
      <c r="BF24" s="2">
        <f t="shared" si="49"/>
        <v>95283.43738786102</v>
      </c>
      <c r="BG24" s="2">
        <f t="shared" si="49"/>
        <v>98141.940509496853</v>
      </c>
      <c r="BH24" s="2">
        <f t="shared" si="49"/>
        <v>101086.19872478176</v>
      </c>
      <c r="BI24" s="2">
        <f t="shared" si="49"/>
        <v>104118.78468652522</v>
      </c>
    </row>
    <row r="25" spans="2:123" s="2" customFormat="1" x14ac:dyDescent="0.2">
      <c r="B25" s="2" t="s">
        <v>25</v>
      </c>
      <c r="C25" s="4">
        <v>4911</v>
      </c>
      <c r="D25" s="4">
        <v>3664</v>
      </c>
      <c r="E25" s="4">
        <v>4291</v>
      </c>
      <c r="F25" s="4">
        <v>4752</v>
      </c>
      <c r="G25" s="4">
        <v>6172</v>
      </c>
      <c r="H25" s="4">
        <v>4828</v>
      </c>
      <c r="I25" s="4">
        <v>4345</v>
      </c>
      <c r="J25" s="4">
        <v>5434</v>
      </c>
      <c r="K25" s="4">
        <v>7403</v>
      </c>
      <c r="L25" s="4">
        <v>6207</v>
      </c>
      <c r="M25" s="4">
        <v>7524</v>
      </c>
      <c r="N25" s="4">
        <v>8010</v>
      </c>
      <c r="O25" s="4">
        <v>10810</v>
      </c>
      <c r="P25" s="4">
        <v>8320</v>
      </c>
      <c r="Q25" s="4">
        <v>10086</v>
      </c>
      <c r="R25" s="4">
        <v>11014</v>
      </c>
      <c r="S25" s="4">
        <v>12818</v>
      </c>
      <c r="T25" s="4">
        <v>10172</v>
      </c>
      <c r="U25" s="4">
        <f t="shared" ref="U25:U26" si="50">+Q25*1.05</f>
        <v>10590.300000000001</v>
      </c>
      <c r="V25" s="4">
        <f t="shared" ref="V25:V26" si="51">+R25*1.05</f>
        <v>11564.7</v>
      </c>
      <c r="W25" s="4">
        <f t="shared" ref="W25:W26" si="52">+S25*1.05</f>
        <v>13458.900000000001</v>
      </c>
      <c r="AF25" s="2">
        <v>138.28299999999999</v>
      </c>
      <c r="AG25" s="2">
        <v>125.383</v>
      </c>
      <c r="AH25" s="2">
        <v>122.78700000000001</v>
      </c>
      <c r="AS25" s="2">
        <v>4332</v>
      </c>
      <c r="AT25" s="2">
        <v>5254</v>
      </c>
      <c r="AU25" s="2">
        <v>7233</v>
      </c>
      <c r="AV25" s="2">
        <v>10069</v>
      </c>
      <c r="AW25" s="2">
        <v>13814</v>
      </c>
      <c r="AX25" s="2">
        <f t="shared" si="5"/>
        <v>18879</v>
      </c>
      <c r="AY25" s="2">
        <f t="shared" si="21"/>
        <v>22010</v>
      </c>
      <c r="AZ25" s="2">
        <f t="shared" si="20"/>
        <v>32551</v>
      </c>
      <c r="BA25" s="2">
        <f>SUM(P25:S25)</f>
        <v>42238</v>
      </c>
      <c r="BB25" s="2">
        <f>SUM(T25:W25)</f>
        <v>45785.900000000009</v>
      </c>
      <c r="BC25" s="2">
        <f t="shared" ref="BC25:BI25" si="53">+BB25*1.03</f>
        <v>47159.477000000014</v>
      </c>
      <c r="BD25" s="2">
        <f t="shared" si="53"/>
        <v>48574.261310000016</v>
      </c>
      <c r="BE25" s="2">
        <f t="shared" si="53"/>
        <v>50031.489149300018</v>
      </c>
      <c r="BF25" s="2">
        <f t="shared" si="53"/>
        <v>51532.433823779022</v>
      </c>
      <c r="BG25" s="2">
        <f t="shared" si="53"/>
        <v>53078.406838492396</v>
      </c>
      <c r="BH25" s="2">
        <f t="shared" si="53"/>
        <v>54670.759043647166</v>
      </c>
      <c r="BI25" s="2">
        <f t="shared" si="53"/>
        <v>56310.881814956585</v>
      </c>
    </row>
    <row r="26" spans="2:123" x14ac:dyDescent="0.2">
      <c r="B26" s="2" t="s">
        <v>26</v>
      </c>
      <c r="C26" s="4">
        <v>1117</v>
      </c>
      <c r="D26" s="4">
        <v>1173</v>
      </c>
      <c r="E26" s="4">
        <v>1270</v>
      </c>
      <c r="F26" s="4">
        <v>1348</v>
      </c>
      <c r="G26" s="4">
        <v>1412</v>
      </c>
      <c r="H26" s="4">
        <v>1452</v>
      </c>
      <c r="I26" s="4">
        <v>1580</v>
      </c>
      <c r="J26" s="4">
        <v>1668</v>
      </c>
      <c r="K26" s="4">
        <v>1968</v>
      </c>
      <c r="L26" s="4">
        <v>1987</v>
      </c>
      <c r="M26" s="4">
        <v>2158</v>
      </c>
      <c r="N26" s="4">
        <v>2153</v>
      </c>
      <c r="O26" s="4">
        <v>2525</v>
      </c>
      <c r="P26" s="4">
        <v>2594</v>
      </c>
      <c r="Q26" s="4">
        <v>2903</v>
      </c>
      <c r="R26" s="4">
        <v>3061</v>
      </c>
      <c r="S26" s="4">
        <v>3333</v>
      </c>
      <c r="T26" s="4">
        <v>3043</v>
      </c>
      <c r="U26" s="4">
        <f t="shared" si="50"/>
        <v>3048.15</v>
      </c>
      <c r="V26" s="4">
        <f t="shared" si="51"/>
        <v>3214.05</v>
      </c>
      <c r="W26" s="4">
        <f t="shared" si="52"/>
        <v>3499.65</v>
      </c>
      <c r="AF26" s="2">
        <v>89.861999999999995</v>
      </c>
      <c r="AG26" s="2">
        <v>79.049000000000007</v>
      </c>
      <c r="AH26" s="2">
        <v>88.302000000000007</v>
      </c>
      <c r="AS26" s="2">
        <v>1552</v>
      </c>
      <c r="AT26" s="2">
        <v>1747</v>
      </c>
      <c r="AU26" s="2">
        <v>2432</v>
      </c>
      <c r="AV26" s="2">
        <v>3674</v>
      </c>
      <c r="AW26" s="2">
        <v>4336</v>
      </c>
      <c r="AX26" s="2">
        <f t="shared" si="5"/>
        <v>5203</v>
      </c>
      <c r="AY26" s="2">
        <f t="shared" si="21"/>
        <v>6668</v>
      </c>
      <c r="AZ26" s="2">
        <f t="shared" si="20"/>
        <v>8823</v>
      </c>
      <c r="BA26" s="2">
        <f>SUM(P26:S26)</f>
        <v>11891</v>
      </c>
      <c r="BB26" s="2">
        <f>SUM(T26:W26)</f>
        <v>12804.85</v>
      </c>
      <c r="BC26" s="2">
        <f t="shared" ref="BC26:BI26" si="54">+BB26*1.03</f>
        <v>13188.995500000001</v>
      </c>
      <c r="BD26" s="2">
        <f t="shared" si="54"/>
        <v>13584.665365000001</v>
      </c>
      <c r="BE26" s="2">
        <f t="shared" si="54"/>
        <v>13992.205325950001</v>
      </c>
      <c r="BF26" s="2">
        <f t="shared" si="54"/>
        <v>14411.971485728502</v>
      </c>
      <c r="BG26" s="2">
        <f t="shared" si="54"/>
        <v>14844.330630300357</v>
      </c>
      <c r="BH26" s="2">
        <f t="shared" si="54"/>
        <v>15289.660549209368</v>
      </c>
      <c r="BI26" s="2">
        <f t="shared" si="54"/>
        <v>15748.350365685648</v>
      </c>
    </row>
    <row r="27" spans="2:123" x14ac:dyDescent="0.2">
      <c r="B27" s="2" t="s">
        <v>27</v>
      </c>
      <c r="C27" s="4">
        <f t="shared" ref="C27" si="55">SUM(C24:C26)</f>
        <v>13697</v>
      </c>
      <c r="D27" s="4">
        <f>SUM(D24:D26)</f>
        <v>12764</v>
      </c>
      <c r="E27" s="4">
        <f t="shared" ref="E27" si="56">SUM(E24:E26)</f>
        <v>14626</v>
      </c>
      <c r="F27" s="4">
        <f>SUM(F24:F26)</f>
        <v>15300</v>
      </c>
      <c r="G27" s="4">
        <f t="shared" ref="G27" si="57">SUM(G24:G26)</f>
        <v>17324</v>
      </c>
      <c r="H27" s="4">
        <f t="shared" ref="H27" si="58">SUM(H24:H26)</f>
        <v>15605</v>
      </c>
      <c r="I27" s="4">
        <f t="shared" ref="I27" si="59">SUM(I24:I26)</f>
        <v>16313</v>
      </c>
      <c r="J27" s="4">
        <f>SUM(J24:J26)</f>
        <v>18078</v>
      </c>
      <c r="K27" s="4">
        <f t="shared" ref="K27" si="60">SUM(K24:K26)</f>
        <v>21420</v>
      </c>
      <c r="L27" s="4">
        <f>SUM(L24:L26)</f>
        <v>20682</v>
      </c>
      <c r="M27" s="4">
        <f t="shared" ref="M27:P27" si="61">SUM(M24:M26)</f>
        <v>23553</v>
      </c>
      <c r="N27" s="4">
        <f t="shared" si="61"/>
        <v>24543</v>
      </c>
      <c r="O27" s="4">
        <f t="shared" si="61"/>
        <v>28648</v>
      </c>
      <c r="P27" s="4">
        <f t="shared" si="61"/>
        <v>25756</v>
      </c>
      <c r="Q27" s="4">
        <f t="shared" ref="Q27:W27" si="62">SUM(Q24:Q26)</f>
        <v>31061</v>
      </c>
      <c r="R27" s="4">
        <f>SUM(R24:R26)</f>
        <v>33560</v>
      </c>
      <c r="S27" s="4">
        <f t="shared" si="62"/>
        <v>36965</v>
      </c>
      <c r="T27" s="4">
        <f t="shared" si="62"/>
        <v>33665</v>
      </c>
      <c r="U27" s="4">
        <f t="shared" si="62"/>
        <v>33517.65</v>
      </c>
      <c r="V27" s="4">
        <f t="shared" si="62"/>
        <v>36212.25</v>
      </c>
      <c r="W27" s="4">
        <f t="shared" si="62"/>
        <v>39853.950000000004</v>
      </c>
      <c r="AF27" s="2">
        <f>AF26+AF25+AF24</f>
        <v>469.30999999999995</v>
      </c>
      <c r="AG27" s="2">
        <f>AG26+AG25+AG24</f>
        <v>420.04899999999998</v>
      </c>
      <c r="AH27" s="2">
        <f>AH26+AH25+AH24</f>
        <v>418.89800000000002</v>
      </c>
      <c r="AS27" s="4">
        <f t="shared" ref="AS27:AU27" si="63">SUM(AS24:AS26)</f>
        <v>15159</v>
      </c>
      <c r="AT27" s="4">
        <f t="shared" si="63"/>
        <v>19541</v>
      </c>
      <c r="AU27" s="4">
        <f t="shared" si="63"/>
        <v>25750</v>
      </c>
      <c r="AV27" s="4">
        <f t="shared" ref="AV27" si="64">SUM(AV24:AV26)</f>
        <v>36363</v>
      </c>
      <c r="AW27" s="4">
        <f t="shared" ref="AW27:AX27" si="65">SUM(AW24:AW26)</f>
        <v>46987</v>
      </c>
      <c r="AX27" s="4">
        <f t="shared" si="65"/>
        <v>60014</v>
      </c>
      <c r="AY27" s="4">
        <f t="shared" ref="AY27:AZ27" si="66">SUM(AY24:AY26)</f>
        <v>71416</v>
      </c>
      <c r="AZ27" s="4">
        <f t="shared" si="66"/>
        <v>97426</v>
      </c>
      <c r="BA27" s="4">
        <f t="shared" ref="BA27:BB27" si="67">SUM(BA24:BA26)</f>
        <v>127342</v>
      </c>
      <c r="BB27" s="4">
        <f t="shared" si="67"/>
        <v>143248.85</v>
      </c>
      <c r="BC27" s="4">
        <f t="shared" ref="BC27:BI27" si="68">SUM(BC24:BC26)</f>
        <v>147546.3155</v>
      </c>
      <c r="BD27" s="4">
        <f t="shared" si="68"/>
        <v>151972.70496500001</v>
      </c>
      <c r="BE27" s="4">
        <f t="shared" si="68"/>
        <v>156531.88611395005</v>
      </c>
      <c r="BF27" s="4">
        <f t="shared" si="68"/>
        <v>161227.84269736856</v>
      </c>
      <c r="BG27" s="4">
        <f t="shared" si="68"/>
        <v>166064.6779782896</v>
      </c>
      <c r="BH27" s="4">
        <f t="shared" si="68"/>
        <v>171046.61831763829</v>
      </c>
      <c r="BI27" s="4">
        <f t="shared" si="68"/>
        <v>176178.01686716746</v>
      </c>
    </row>
    <row r="28" spans="2:123" x14ac:dyDescent="0.2">
      <c r="B28" s="2" t="s">
        <v>28</v>
      </c>
      <c r="C28" s="4">
        <f t="shared" ref="C28" si="69">C23-C27</f>
        <v>3872</v>
      </c>
      <c r="D28" s="4">
        <f>D23-D27</f>
        <v>4415</v>
      </c>
      <c r="E28" s="4">
        <f t="shared" ref="E28" si="70">E23-E27</f>
        <v>3170</v>
      </c>
      <c r="F28" s="4">
        <f>F23-F27</f>
        <v>3212</v>
      </c>
      <c r="G28" s="4">
        <f t="shared" ref="G28" si="71">G23-G27</f>
        <v>3944</v>
      </c>
      <c r="H28" s="4">
        <f t="shared" ref="H28" si="72">H23-H27</f>
        <v>4059</v>
      </c>
      <c r="I28" s="4">
        <f t="shared" ref="I28" si="73">I23-I27</f>
        <v>6133</v>
      </c>
      <c r="J28" s="4">
        <f>J23-J27</f>
        <v>6256</v>
      </c>
      <c r="K28" s="4">
        <f t="shared" ref="K28" si="74">K23-K27</f>
        <v>6377</v>
      </c>
      <c r="L28" s="4">
        <f>L23-L27</f>
        <v>8903</v>
      </c>
      <c r="M28" s="4">
        <f t="shared" ref="M28:P28" si="75">M23-M27</f>
        <v>7713</v>
      </c>
      <c r="N28" s="4">
        <f t="shared" si="75"/>
        <v>4841</v>
      </c>
      <c r="O28" s="4">
        <f t="shared" si="75"/>
        <v>3484</v>
      </c>
      <c r="P28" s="4">
        <f t="shared" si="75"/>
        <v>3918</v>
      </c>
      <c r="Q28" s="4">
        <f t="shared" ref="Q28:W28" si="76">Q23-Q27</f>
        <v>3407</v>
      </c>
      <c r="R28" s="4">
        <f>R23-R27</f>
        <v>2690</v>
      </c>
      <c r="S28" s="4">
        <f t="shared" si="76"/>
        <v>3496</v>
      </c>
      <c r="T28" s="4">
        <f>T23-T27</f>
        <v>4997</v>
      </c>
      <c r="U28" s="4">
        <f t="shared" si="76"/>
        <v>5592.9050999999818</v>
      </c>
      <c r="V28" s="4">
        <f t="shared" si="76"/>
        <v>4917.0454999999856</v>
      </c>
      <c r="W28" s="4">
        <f t="shared" si="76"/>
        <v>5721.6370000000024</v>
      </c>
      <c r="AF28" s="2">
        <f>AF23-AF27</f>
        <v>-469.30999999999995</v>
      </c>
      <c r="AG28" s="2">
        <f>AG23-AG27</f>
        <v>180.10199999999998</v>
      </c>
      <c r="AH28" s="2">
        <f>AH23-AH27</f>
        <v>361.23799999999972</v>
      </c>
      <c r="AS28" s="4">
        <f t="shared" ref="AS28:AU28" si="77">AS23-AS27</f>
        <v>311</v>
      </c>
      <c r="AT28" s="4">
        <f t="shared" si="77"/>
        <v>2404</v>
      </c>
      <c r="AU28" s="4">
        <f t="shared" si="77"/>
        <v>4353</v>
      </c>
      <c r="AV28" s="4">
        <f t="shared" ref="AV28" si="78">AV23-AV27</f>
        <v>4320</v>
      </c>
      <c r="AW28" s="4">
        <f t="shared" ref="AW28:AX28" si="79">AW23-AW27</f>
        <v>12717</v>
      </c>
      <c r="AX28" s="4">
        <f t="shared" si="79"/>
        <v>14741</v>
      </c>
      <c r="AY28" s="4">
        <f t="shared" ref="AY28:AZ28" si="80">AY23-AY27</f>
        <v>22825</v>
      </c>
      <c r="AZ28" s="4">
        <f t="shared" si="80"/>
        <v>24941</v>
      </c>
      <c r="BA28" s="4">
        <f t="shared" ref="BA28:BB28" si="81">BA23-BA27</f>
        <v>13511</v>
      </c>
      <c r="BB28" s="4">
        <f t="shared" si="81"/>
        <v>21228.587599999999</v>
      </c>
      <c r="BC28" s="4">
        <f t="shared" ref="BC28:BI28" si="82">BC23-BC27</f>
        <v>24340.544900000095</v>
      </c>
      <c r="BD28" s="4">
        <f t="shared" si="82"/>
        <v>42257.324655000004</v>
      </c>
      <c r="BE28" s="4">
        <f t="shared" si="82"/>
        <v>64392.483807049925</v>
      </c>
      <c r="BF28" s="4">
        <f t="shared" si="82"/>
        <v>91840.737421681319</v>
      </c>
      <c r="BG28" s="4">
        <f t="shared" si="82"/>
        <v>111910.85697671288</v>
      </c>
      <c r="BH28" s="4">
        <f t="shared" si="82"/>
        <v>135531.92438111437</v>
      </c>
      <c r="BI28" s="4">
        <f t="shared" si="82"/>
        <v>163374.53016172288</v>
      </c>
    </row>
    <row r="29" spans="2:123" s="2" customFormat="1" x14ac:dyDescent="0.2">
      <c r="B29" s="2" t="s">
        <v>31</v>
      </c>
      <c r="C29" s="4">
        <f>-86+150-387-199</f>
        <v>-522</v>
      </c>
      <c r="D29" s="4">
        <f>5+183-366+164</f>
        <v>-14</v>
      </c>
      <c r="E29" s="4">
        <f>-86+215-383-27</f>
        <v>-281</v>
      </c>
      <c r="F29" s="4">
        <f>-55+224-396-353</f>
        <v>-580</v>
      </c>
      <c r="G29" s="4">
        <f>-65+211-455+418</f>
        <v>109</v>
      </c>
      <c r="H29" s="4">
        <f>-70+202-402-406</f>
        <v>-676</v>
      </c>
      <c r="I29" s="4">
        <f>-290+135-403+646</f>
        <v>88</v>
      </c>
      <c r="J29" s="4">
        <f>-62+118-428+925</f>
        <v>553</v>
      </c>
      <c r="K29" s="4">
        <f>496+100-414+1206</f>
        <v>1388</v>
      </c>
      <c r="L29" s="4">
        <f>-38+105-399+1697</f>
        <v>1365</v>
      </c>
      <c r="M29" s="4">
        <f>-11+106-435+1261</f>
        <v>921</v>
      </c>
      <c r="N29" s="4">
        <f>11+119-493-163</f>
        <v>-526</v>
      </c>
      <c r="O29" s="4">
        <f>-24+118-482+11838</f>
        <v>11450</v>
      </c>
      <c r="P29" s="4">
        <f>-249+108-472-8570</f>
        <v>-9183</v>
      </c>
      <c r="Q29" s="4">
        <f>159-584</f>
        <v>-425</v>
      </c>
      <c r="R29" s="4">
        <f>-165+277-617+759</f>
        <v>254</v>
      </c>
      <c r="S29" s="4">
        <f>445-694</f>
        <v>-249</v>
      </c>
      <c r="T29" s="2">
        <f>-223+611-823-443</f>
        <v>-878</v>
      </c>
      <c r="AF29" s="2">
        <f>29.103-139.232</f>
        <v>-110.12899999999999</v>
      </c>
      <c r="AG29" s="2">
        <f>23.687-142.925</f>
        <v>-119.23800000000001</v>
      </c>
      <c r="AH29" s="2">
        <f>21.955-129.979</f>
        <v>-108.02400000000002</v>
      </c>
      <c r="AS29" s="2">
        <f>-133+39-210-118</f>
        <v>-422</v>
      </c>
      <c r="AT29" s="2">
        <f>-171+50-459-256</f>
        <v>-836</v>
      </c>
      <c r="AU29" s="2">
        <f>-167+100-484+90</f>
        <v>-461</v>
      </c>
      <c r="AV29" s="2">
        <f>-214+202-848+346</f>
        <v>-514</v>
      </c>
      <c r="AW29" s="2">
        <f>-296+440-1417-183</f>
        <v>-1456</v>
      </c>
      <c r="AX29" s="2">
        <f t="shared" ref="AX29" si="83">SUM(D29:G29)</f>
        <v>-766</v>
      </c>
      <c r="AY29" s="2">
        <f t="shared" ref="AY29" si="84">SUM(H29:K29)</f>
        <v>1353</v>
      </c>
      <c r="AZ29" s="2">
        <f t="shared" ref="AZ29" si="85">SUM(L29:O29)</f>
        <v>13210</v>
      </c>
      <c r="BA29" s="2">
        <f>SUM(P29:S29)</f>
        <v>-9603</v>
      </c>
      <c r="BB29" s="2">
        <f>SUM(T29:W29)</f>
        <v>-878</v>
      </c>
      <c r="BC29" s="2">
        <f>+BB46*$BL$45</f>
        <v>111.17849459999974</v>
      </c>
      <c r="BD29" s="2">
        <f t="shared" ref="BD29:BI29" si="86">+BC46*$BL$45</f>
        <v>319.0181434541006</v>
      </c>
      <c r="BE29" s="2">
        <f t="shared" si="86"/>
        <v>680.91705724096039</v>
      </c>
      <c r="BF29" s="2">
        <f t="shared" si="86"/>
        <v>1234.0409645874331</v>
      </c>
      <c r="BG29" s="2">
        <f t="shared" si="86"/>
        <v>2025.1765808707173</v>
      </c>
      <c r="BH29" s="2">
        <f t="shared" si="86"/>
        <v>2993.6328661101779</v>
      </c>
      <c r="BI29" s="2">
        <f t="shared" si="86"/>
        <v>4171.1001027115863</v>
      </c>
    </row>
    <row r="30" spans="2:123" s="2" customFormat="1" x14ac:dyDescent="0.2">
      <c r="B30" s="2" t="s">
        <v>30</v>
      </c>
      <c r="C30" s="4">
        <f t="shared" ref="C30" si="87">C28+C29</f>
        <v>3350</v>
      </c>
      <c r="D30" s="4">
        <f>D28+D29</f>
        <v>4401</v>
      </c>
      <c r="E30" s="4">
        <f t="shared" ref="E30" si="88">E28+E29</f>
        <v>2889</v>
      </c>
      <c r="F30" s="4">
        <f>F28+F29</f>
        <v>2632</v>
      </c>
      <c r="G30" s="4">
        <f t="shared" ref="G30" si="89">G28+G29</f>
        <v>4053</v>
      </c>
      <c r="H30" s="4">
        <f t="shared" ref="H30" si="90">H28+H29</f>
        <v>3383</v>
      </c>
      <c r="I30" s="4">
        <f t="shared" ref="I30" si="91">I28+I29</f>
        <v>6221</v>
      </c>
      <c r="J30" s="4">
        <f>J28+J29</f>
        <v>6809</v>
      </c>
      <c r="K30" s="4">
        <f t="shared" ref="K30" si="92">K28+K29</f>
        <v>7765</v>
      </c>
      <c r="L30" s="4">
        <f>L28+L29</f>
        <v>10268</v>
      </c>
      <c r="M30" s="4">
        <f t="shared" ref="M30:W30" si="93">M28+M29</f>
        <v>8634</v>
      </c>
      <c r="N30" s="4">
        <f t="shared" si="93"/>
        <v>4315</v>
      </c>
      <c r="O30" s="4">
        <f t="shared" si="93"/>
        <v>14934</v>
      </c>
      <c r="P30" s="4">
        <f t="shared" si="93"/>
        <v>-5265</v>
      </c>
      <c r="Q30" s="4">
        <f t="shared" si="93"/>
        <v>2982</v>
      </c>
      <c r="R30" s="4">
        <f t="shared" si="93"/>
        <v>2944</v>
      </c>
      <c r="S30" s="4">
        <f t="shared" si="93"/>
        <v>3247</v>
      </c>
      <c r="T30" s="4">
        <f t="shared" si="93"/>
        <v>4119</v>
      </c>
      <c r="U30" s="4">
        <f t="shared" si="93"/>
        <v>5592.9050999999818</v>
      </c>
      <c r="V30" s="4">
        <f t="shared" si="93"/>
        <v>4917.0454999999856</v>
      </c>
      <c r="W30" s="4">
        <f t="shared" si="93"/>
        <v>5721.6370000000024</v>
      </c>
      <c r="AF30" s="2">
        <f>AF28+AF29</f>
        <v>-579.43899999999996</v>
      </c>
      <c r="AG30" s="2">
        <f>AG28+AG29</f>
        <v>60.863999999999962</v>
      </c>
      <c r="AH30" s="2">
        <f>AH28+AH29</f>
        <v>253.21399999999971</v>
      </c>
      <c r="AS30" s="4">
        <f t="shared" ref="AS30:AU30" si="94">AS28+AS29</f>
        <v>-111</v>
      </c>
      <c r="AT30" s="4">
        <f t="shared" si="94"/>
        <v>1568</v>
      </c>
      <c r="AU30" s="4">
        <f t="shared" si="94"/>
        <v>3892</v>
      </c>
      <c r="AV30" s="4">
        <f t="shared" ref="AV30" si="95">AV28+AV29</f>
        <v>3806</v>
      </c>
      <c r="AW30" s="4">
        <f t="shared" ref="AW30:AX30" si="96">AW28+AW29</f>
        <v>11261</v>
      </c>
      <c r="AX30" s="4">
        <f t="shared" si="96"/>
        <v>13975</v>
      </c>
      <c r="AY30" s="4">
        <f t="shared" ref="AY30:BI30" si="97">AY28+AY29</f>
        <v>24178</v>
      </c>
      <c r="AZ30" s="4">
        <f t="shared" si="97"/>
        <v>38151</v>
      </c>
      <c r="BA30" s="4">
        <f t="shared" si="97"/>
        <v>3908</v>
      </c>
      <c r="BB30" s="4">
        <f t="shared" si="97"/>
        <v>20350.587599999999</v>
      </c>
      <c r="BC30" s="4">
        <f t="shared" si="97"/>
        <v>24451.723394600096</v>
      </c>
      <c r="BD30" s="4">
        <f t="shared" si="97"/>
        <v>42576.342798454105</v>
      </c>
      <c r="BE30" s="4">
        <f t="shared" si="97"/>
        <v>65073.400864290888</v>
      </c>
      <c r="BF30" s="4">
        <f t="shared" si="97"/>
        <v>93074.77838626875</v>
      </c>
      <c r="BG30" s="4">
        <f t="shared" si="97"/>
        <v>113936.03355758359</v>
      </c>
      <c r="BH30" s="4">
        <f t="shared" si="97"/>
        <v>138525.55724722455</v>
      </c>
      <c r="BI30" s="4">
        <f t="shared" si="97"/>
        <v>167545.63026443447</v>
      </c>
    </row>
    <row r="31" spans="2:123" s="2" customFormat="1" x14ac:dyDescent="0.2">
      <c r="B31" s="2" t="s">
        <v>32</v>
      </c>
      <c r="C31" s="4">
        <f>327-4</f>
        <v>323</v>
      </c>
      <c r="D31" s="4">
        <f>836+4</f>
        <v>840</v>
      </c>
      <c r="E31" s="4">
        <f>257+7</f>
        <v>264</v>
      </c>
      <c r="F31" s="4">
        <f>494+4</f>
        <v>498</v>
      </c>
      <c r="G31" s="4">
        <f>786-1</f>
        <v>785</v>
      </c>
      <c r="H31" s="4">
        <f>744+104</f>
        <v>848</v>
      </c>
      <c r="I31" s="4">
        <f>984-6</f>
        <v>978</v>
      </c>
      <c r="J31" s="4">
        <f>569-91</f>
        <v>478</v>
      </c>
      <c r="K31" s="4">
        <f>566-23</f>
        <v>543</v>
      </c>
      <c r="L31" s="4">
        <f>2156+5</f>
        <v>2161</v>
      </c>
      <c r="M31" s="4">
        <f>868-12</f>
        <v>856</v>
      </c>
      <c r="N31" s="4">
        <f>1155+4</f>
        <v>1159</v>
      </c>
      <c r="O31" s="4">
        <f>612-1</f>
        <v>611</v>
      </c>
      <c r="P31" s="4">
        <f>-1422+1</f>
        <v>-1421</v>
      </c>
      <c r="Q31" s="4">
        <v>0</v>
      </c>
      <c r="R31" s="4">
        <f>69+3</f>
        <v>72</v>
      </c>
      <c r="S31" s="4">
        <v>0</v>
      </c>
      <c r="T31" s="4">
        <f>948-1</f>
        <v>947</v>
      </c>
      <c r="U31" s="4">
        <f t="shared" ref="U31:W31" si="98">+U30*0.15</f>
        <v>838.93576499999722</v>
      </c>
      <c r="V31" s="4">
        <f t="shared" si="98"/>
        <v>737.55682499999784</v>
      </c>
      <c r="W31" s="4">
        <f t="shared" si="98"/>
        <v>858.24555000000032</v>
      </c>
      <c r="AF31" s="2">
        <v>0</v>
      </c>
      <c r="AG31" s="2">
        <v>0</v>
      </c>
      <c r="AH31" s="2">
        <v>0</v>
      </c>
      <c r="AS31" s="2">
        <f>167-37</f>
        <v>130</v>
      </c>
      <c r="AT31" s="2">
        <f>950+22</f>
        <v>972</v>
      </c>
      <c r="AU31" s="2">
        <f>1425+96</f>
        <v>1521</v>
      </c>
      <c r="AV31" s="2">
        <f>769+4</f>
        <v>773</v>
      </c>
      <c r="AW31" s="2">
        <f>1197-9</f>
        <v>1188</v>
      </c>
      <c r="AX31" s="2">
        <f t="shared" ref="AX31" si="99">SUM(D31:G31)</f>
        <v>2387</v>
      </c>
      <c r="AY31" s="2">
        <f t="shared" ref="AY31" si="100">SUM(H31:K31)</f>
        <v>2847</v>
      </c>
      <c r="AZ31" s="2">
        <f t="shared" ref="AZ31" si="101">SUM(L31:O31)</f>
        <v>4787</v>
      </c>
      <c r="BA31" s="2">
        <f>SUM(P31:S31)</f>
        <v>-1349</v>
      </c>
      <c r="BB31" s="2">
        <f>SUM(T31:W31)</f>
        <v>3381.7381399999958</v>
      </c>
      <c r="BC31" s="2">
        <f>+BC30*0.15</f>
        <v>3667.7585091900141</v>
      </c>
      <c r="BD31" s="2">
        <f t="shared" ref="BD31:BI31" si="102">+BD30*0.15</f>
        <v>6386.4514197681156</v>
      </c>
      <c r="BE31" s="2">
        <f t="shared" si="102"/>
        <v>9761.0101296436333</v>
      </c>
      <c r="BF31" s="2">
        <f t="shared" si="102"/>
        <v>13961.216757940312</v>
      </c>
      <c r="BG31" s="2">
        <f t="shared" si="102"/>
        <v>17090.405033637537</v>
      </c>
      <c r="BH31" s="2">
        <f t="shared" si="102"/>
        <v>20778.833587083682</v>
      </c>
      <c r="BI31" s="2">
        <f t="shared" si="102"/>
        <v>25131.84453966517</v>
      </c>
    </row>
    <row r="32" spans="2:123" s="2" customFormat="1" x14ac:dyDescent="0.2">
      <c r="B32" s="2" t="s">
        <v>33</v>
      </c>
      <c r="C32" s="4">
        <f t="shared" ref="C32" si="103">C30-C31</f>
        <v>3027</v>
      </c>
      <c r="D32" s="4">
        <f>D30-D31</f>
        <v>3561</v>
      </c>
      <c r="E32" s="4">
        <f t="shared" ref="E32" si="104">E30-E31</f>
        <v>2625</v>
      </c>
      <c r="F32" s="4">
        <f>F30-F31</f>
        <v>2134</v>
      </c>
      <c r="G32" s="4">
        <f t="shared" ref="G32" si="105">G30-G31</f>
        <v>3268</v>
      </c>
      <c r="H32" s="4">
        <f t="shared" ref="H32" si="106">H30-H31</f>
        <v>2535</v>
      </c>
      <c r="I32" s="4">
        <f t="shared" ref="I32" si="107">I30-I31</f>
        <v>5243</v>
      </c>
      <c r="J32" s="4">
        <f>J30-J31</f>
        <v>6331</v>
      </c>
      <c r="K32" s="4">
        <f t="shared" ref="K32" si="108">K30-K31</f>
        <v>7222</v>
      </c>
      <c r="L32" s="4">
        <f>L30-L31</f>
        <v>8107</v>
      </c>
      <c r="M32" s="4">
        <f t="shared" ref="M32:W32" si="109">M30-M31</f>
        <v>7778</v>
      </c>
      <c r="N32" s="4">
        <f t="shared" si="109"/>
        <v>3156</v>
      </c>
      <c r="O32" s="4">
        <f t="shared" si="109"/>
        <v>14323</v>
      </c>
      <c r="P32" s="4">
        <f t="shared" si="109"/>
        <v>-3844</v>
      </c>
      <c r="Q32" s="4">
        <f t="shared" si="109"/>
        <v>2982</v>
      </c>
      <c r="R32" s="4">
        <f t="shared" si="109"/>
        <v>2872</v>
      </c>
      <c r="S32" s="4">
        <f t="shared" si="109"/>
        <v>3247</v>
      </c>
      <c r="T32" s="4">
        <f t="shared" si="109"/>
        <v>3172</v>
      </c>
      <c r="U32" s="4">
        <f t="shared" si="109"/>
        <v>4753.9693349999843</v>
      </c>
      <c r="V32" s="4">
        <f t="shared" si="109"/>
        <v>4179.4886749999878</v>
      </c>
      <c r="W32" s="4">
        <f t="shared" si="109"/>
        <v>4863.3914500000019</v>
      </c>
      <c r="AF32" s="2">
        <f>AF30-AF31</f>
        <v>-579.43899999999996</v>
      </c>
      <c r="AG32" s="2">
        <f>AG30-AG31</f>
        <v>60.863999999999962</v>
      </c>
      <c r="AH32" s="2">
        <f>AH30-AH31</f>
        <v>253.21399999999971</v>
      </c>
      <c r="AS32" s="4">
        <f t="shared" ref="AS32:AU32" si="110">AS30-AS31</f>
        <v>-241</v>
      </c>
      <c r="AT32" s="4">
        <f t="shared" si="110"/>
        <v>596</v>
      </c>
      <c r="AU32" s="4">
        <f t="shared" si="110"/>
        <v>2371</v>
      </c>
      <c r="AV32" s="4">
        <f t="shared" ref="AV32" si="111">AV30-AV31</f>
        <v>3033</v>
      </c>
      <c r="AW32" s="4">
        <f t="shared" ref="AW32:AX32" si="112">AW30-AW31</f>
        <v>10073</v>
      </c>
      <c r="AX32" s="4">
        <f t="shared" si="112"/>
        <v>11588</v>
      </c>
      <c r="AY32" s="4">
        <f t="shared" ref="AY32:BB32" si="113">AY30-AY31</f>
        <v>21331</v>
      </c>
      <c r="AZ32" s="4">
        <f t="shared" si="113"/>
        <v>33364</v>
      </c>
      <c r="BA32" s="4">
        <f t="shared" si="113"/>
        <v>5257</v>
      </c>
      <c r="BB32" s="4">
        <f t="shared" si="113"/>
        <v>16968.849460000005</v>
      </c>
      <c r="BC32" s="4">
        <f t="shared" ref="BC32:BI32" si="114">BC30-BC31</f>
        <v>20783.964885410081</v>
      </c>
      <c r="BD32" s="4">
        <f t="shared" si="114"/>
        <v>36189.891378685992</v>
      </c>
      <c r="BE32" s="4">
        <f t="shared" si="114"/>
        <v>55312.390734647255</v>
      </c>
      <c r="BF32" s="4">
        <f t="shared" si="114"/>
        <v>79113.561628328433</v>
      </c>
      <c r="BG32" s="4">
        <f t="shared" si="114"/>
        <v>96845.628523946056</v>
      </c>
      <c r="BH32" s="4">
        <f t="shared" si="114"/>
        <v>117746.72366014088</v>
      </c>
      <c r="BI32" s="4">
        <f t="shared" si="114"/>
        <v>142413.78572476929</v>
      </c>
      <c r="BJ32" s="2">
        <f>+BI32*(1+$BL$46)</f>
        <v>142413.78572476929</v>
      </c>
      <c r="BK32" s="2">
        <f t="shared" ref="BK32:DS32" si="115">+BJ32*(1+$BL$46)</f>
        <v>142413.78572476929</v>
      </c>
      <c r="BL32" s="2">
        <f t="shared" si="115"/>
        <v>142413.78572476929</v>
      </c>
      <c r="BM32" s="2">
        <f t="shared" si="115"/>
        <v>142413.78572476929</v>
      </c>
      <c r="BN32" s="2">
        <f t="shared" si="115"/>
        <v>142413.78572476929</v>
      </c>
      <c r="BO32" s="2">
        <f t="shared" si="115"/>
        <v>142413.78572476929</v>
      </c>
      <c r="BP32" s="2">
        <f t="shared" si="115"/>
        <v>142413.78572476929</v>
      </c>
      <c r="BQ32" s="2">
        <f t="shared" si="115"/>
        <v>142413.78572476929</v>
      </c>
      <c r="BR32" s="2">
        <f t="shared" si="115"/>
        <v>142413.78572476929</v>
      </c>
      <c r="BS32" s="2">
        <f t="shared" si="115"/>
        <v>142413.78572476929</v>
      </c>
      <c r="BT32" s="2">
        <f t="shared" si="115"/>
        <v>142413.78572476929</v>
      </c>
      <c r="BU32" s="2">
        <f t="shared" si="115"/>
        <v>142413.78572476929</v>
      </c>
      <c r="BV32" s="2">
        <f t="shared" si="115"/>
        <v>142413.78572476929</v>
      </c>
      <c r="BW32" s="2">
        <f t="shared" si="115"/>
        <v>142413.78572476929</v>
      </c>
      <c r="BX32" s="2">
        <f t="shared" si="115"/>
        <v>142413.78572476929</v>
      </c>
      <c r="BY32" s="2">
        <f t="shared" si="115"/>
        <v>142413.78572476929</v>
      </c>
      <c r="BZ32" s="2">
        <f t="shared" si="115"/>
        <v>142413.78572476929</v>
      </c>
      <c r="CA32" s="2">
        <f t="shared" si="115"/>
        <v>142413.78572476929</v>
      </c>
      <c r="CB32" s="2">
        <f t="shared" si="115"/>
        <v>142413.78572476929</v>
      </c>
      <c r="CC32" s="2">
        <f t="shared" si="115"/>
        <v>142413.78572476929</v>
      </c>
      <c r="CD32" s="2">
        <f t="shared" si="115"/>
        <v>142413.78572476929</v>
      </c>
      <c r="CE32" s="2">
        <f t="shared" si="115"/>
        <v>142413.78572476929</v>
      </c>
      <c r="CF32" s="2">
        <f t="shared" si="115"/>
        <v>142413.78572476929</v>
      </c>
      <c r="CG32" s="2">
        <f t="shared" si="115"/>
        <v>142413.78572476929</v>
      </c>
      <c r="CH32" s="2">
        <f t="shared" si="115"/>
        <v>142413.78572476929</v>
      </c>
      <c r="CI32" s="2">
        <f t="shared" si="115"/>
        <v>142413.78572476929</v>
      </c>
      <c r="CJ32" s="2">
        <f t="shared" si="115"/>
        <v>142413.78572476929</v>
      </c>
      <c r="CK32" s="2">
        <f t="shared" si="115"/>
        <v>142413.78572476929</v>
      </c>
      <c r="CL32" s="2">
        <f t="shared" si="115"/>
        <v>142413.78572476929</v>
      </c>
      <c r="CM32" s="2">
        <f t="shared" si="115"/>
        <v>142413.78572476929</v>
      </c>
      <c r="CN32" s="2">
        <f t="shared" si="115"/>
        <v>142413.78572476929</v>
      </c>
      <c r="CO32" s="2">
        <f t="shared" si="115"/>
        <v>142413.78572476929</v>
      </c>
      <c r="CP32" s="2">
        <f t="shared" si="115"/>
        <v>142413.78572476929</v>
      </c>
      <c r="CQ32" s="2">
        <f t="shared" si="115"/>
        <v>142413.78572476929</v>
      </c>
      <c r="CR32" s="2">
        <f t="shared" si="115"/>
        <v>142413.78572476929</v>
      </c>
      <c r="CS32" s="2">
        <f t="shared" si="115"/>
        <v>142413.78572476929</v>
      </c>
      <c r="CT32" s="2">
        <f t="shared" si="115"/>
        <v>142413.78572476929</v>
      </c>
      <c r="CU32" s="2">
        <f t="shared" si="115"/>
        <v>142413.78572476929</v>
      </c>
      <c r="CV32" s="2">
        <f t="shared" si="115"/>
        <v>142413.78572476929</v>
      </c>
      <c r="CW32" s="2">
        <f t="shared" si="115"/>
        <v>142413.78572476929</v>
      </c>
      <c r="CX32" s="2">
        <f t="shared" si="115"/>
        <v>142413.78572476929</v>
      </c>
      <c r="CY32" s="2">
        <f t="shared" si="115"/>
        <v>142413.78572476929</v>
      </c>
      <c r="CZ32" s="2">
        <f t="shared" si="115"/>
        <v>142413.78572476929</v>
      </c>
      <c r="DA32" s="2">
        <f t="shared" si="115"/>
        <v>142413.78572476929</v>
      </c>
      <c r="DB32" s="2">
        <f t="shared" si="115"/>
        <v>142413.78572476929</v>
      </c>
      <c r="DC32" s="2">
        <f t="shared" si="115"/>
        <v>142413.78572476929</v>
      </c>
      <c r="DD32" s="2">
        <f t="shared" si="115"/>
        <v>142413.78572476929</v>
      </c>
      <c r="DE32" s="2">
        <f t="shared" si="115"/>
        <v>142413.78572476929</v>
      </c>
      <c r="DF32" s="2">
        <f t="shared" si="115"/>
        <v>142413.78572476929</v>
      </c>
      <c r="DG32" s="2">
        <f t="shared" si="115"/>
        <v>142413.78572476929</v>
      </c>
      <c r="DH32" s="2">
        <f t="shared" si="115"/>
        <v>142413.78572476929</v>
      </c>
      <c r="DI32" s="2">
        <f t="shared" si="115"/>
        <v>142413.78572476929</v>
      </c>
      <c r="DJ32" s="2">
        <f t="shared" si="115"/>
        <v>142413.78572476929</v>
      </c>
      <c r="DK32" s="2">
        <f t="shared" si="115"/>
        <v>142413.78572476929</v>
      </c>
      <c r="DL32" s="2">
        <f t="shared" si="115"/>
        <v>142413.78572476929</v>
      </c>
      <c r="DM32" s="2">
        <f t="shared" si="115"/>
        <v>142413.78572476929</v>
      </c>
      <c r="DN32" s="2">
        <f t="shared" si="115"/>
        <v>142413.78572476929</v>
      </c>
      <c r="DO32" s="2">
        <f t="shared" si="115"/>
        <v>142413.78572476929</v>
      </c>
      <c r="DP32" s="2">
        <f t="shared" si="115"/>
        <v>142413.78572476929</v>
      </c>
      <c r="DQ32" s="2">
        <f t="shared" si="115"/>
        <v>142413.78572476929</v>
      </c>
      <c r="DR32" s="2">
        <f t="shared" si="115"/>
        <v>142413.78572476929</v>
      </c>
      <c r="DS32" s="2">
        <f t="shared" si="115"/>
        <v>142413.78572476929</v>
      </c>
    </row>
    <row r="33" spans="2:64" x14ac:dyDescent="0.2">
      <c r="B33" s="2" t="s">
        <v>34</v>
      </c>
      <c r="C33" s="7">
        <f t="shared" ref="C33" si="116">C32/C34</f>
        <v>6.0419161676646711</v>
      </c>
      <c r="D33" s="7">
        <f>D32/D34</f>
        <v>7.0936254980079685</v>
      </c>
      <c r="E33" s="7">
        <f t="shared" ref="E33" si="117">E32/E34</f>
        <v>5.2186878727634198</v>
      </c>
      <c r="F33" s="7">
        <f>F32/F34</f>
        <v>4.2341269841269842</v>
      </c>
      <c r="G33" s="7">
        <f t="shared" ref="G33" si="118">G32/G34</f>
        <v>6.4712871287128717</v>
      </c>
      <c r="H33" s="7">
        <f t="shared" ref="H33" si="119">H32/H34</f>
        <v>5.0098814229249014</v>
      </c>
      <c r="I33" s="7">
        <f t="shared" ref="I33" si="120">I32/I34</f>
        <v>10.300589390962672</v>
      </c>
      <c r="J33" s="7">
        <f>J32/J34</f>
        <v>12.365234375</v>
      </c>
      <c r="K33" s="7">
        <f t="shared" ref="K33" si="121">K32/K34</f>
        <v>14.077972709551657</v>
      </c>
      <c r="L33" s="7">
        <f>L32/L34</f>
        <v>15.803118908382066</v>
      </c>
      <c r="M33" s="7">
        <f>M32/M34</f>
        <v>0.75617343962667705</v>
      </c>
      <c r="N33" s="7">
        <f>N32/N34</f>
        <v>6.1281553398058248</v>
      </c>
      <c r="O33" s="7">
        <f>O32/O34</f>
        <v>1.3873498643936459</v>
      </c>
      <c r="P33" s="7">
        <f>P32/P34</f>
        <v>-7.5520628683693518</v>
      </c>
      <c r="Q33" s="7">
        <f t="shared" ref="Q33:W33" si="122">Q32/Q34</f>
        <v>0.29307125307125309</v>
      </c>
      <c r="R33" s="7">
        <f t="shared" si="122"/>
        <v>0.27799825767108705</v>
      </c>
      <c r="S33" s="7">
        <f t="shared" si="122"/>
        <v>0.31499805975941014</v>
      </c>
      <c r="T33" s="7">
        <f t="shared" si="122"/>
        <v>0.3065622885860636</v>
      </c>
      <c r="U33" s="7">
        <f t="shared" si="122"/>
        <v>0.45945388373441426</v>
      </c>
      <c r="V33" s="7">
        <f t="shared" si="122"/>
        <v>0.40393241277664904</v>
      </c>
      <c r="W33" s="7">
        <f t="shared" si="122"/>
        <v>0.47002913404851665</v>
      </c>
      <c r="AF33" s="1">
        <f>AF32/AF34</f>
        <v>-1.5909431620681416</v>
      </c>
      <c r="AG33" s="1">
        <f>AG32/AG34</f>
        <v>0.16086139500955421</v>
      </c>
      <c r="AH33" s="1">
        <f>AH32/AH34</f>
        <v>0.60382208741105259</v>
      </c>
      <c r="AS33" s="7">
        <f t="shared" ref="AS33" si="123">AS32/AS34</f>
        <v>-0.52164502164502169</v>
      </c>
      <c r="AT33" s="7">
        <f t="shared" ref="AT33" si="124">AT32/AT34</f>
        <v>1.249475890985325</v>
      </c>
      <c r="AU33" s="7">
        <f t="shared" ref="AU33" si="125">AU32/AU34</f>
        <v>4.8987603305785123</v>
      </c>
      <c r="AV33" s="7">
        <f t="shared" ref="AV33" si="126">AV32/AV34</f>
        <v>6.1521298174442194</v>
      </c>
      <c r="AW33" s="7">
        <f t="shared" ref="AW33:AX33" si="127">AW32/AW34</f>
        <v>20.146000000000001</v>
      </c>
      <c r="AX33" s="7">
        <f t="shared" si="127"/>
        <v>23.014895729890764</v>
      </c>
      <c r="AY33" s="7">
        <f>AY32/AY34</f>
        <v>41.825490196078434</v>
      </c>
      <c r="AZ33" s="7">
        <f>AZ32/AZ34</f>
        <v>6.1676679914964412</v>
      </c>
      <c r="BA33" s="7">
        <f t="shared" ref="BA33:BB33" si="128">BA32/BA34</f>
        <v>0.51665847665847664</v>
      </c>
      <c r="BB33" s="7">
        <f t="shared" si="128"/>
        <v>1.6399777191456466</v>
      </c>
      <c r="BC33" s="7">
        <f t="shared" ref="BC33" si="129">BC32/BC34</f>
        <v>2.0086947796859072</v>
      </c>
      <c r="BD33" s="7">
        <f t="shared" ref="BD33" si="130">BD32/BD34</f>
        <v>3.4976216660564408</v>
      </c>
      <c r="BE33" s="7">
        <f t="shared" ref="BE33" si="131">BE32/BE34</f>
        <v>5.3457418318978691</v>
      </c>
      <c r="BF33" s="7">
        <f t="shared" ref="BF33" si="132">BF32/BF34</f>
        <v>7.6460386226276631</v>
      </c>
      <c r="BG33" s="7">
        <f t="shared" ref="BG33" si="133">BG32/BG34</f>
        <v>9.3597785371553162</v>
      </c>
      <c r="BH33" s="7">
        <f t="shared" ref="BH33" si="134">BH32/BH34</f>
        <v>11.379793530505546</v>
      </c>
      <c r="BI33" s="7">
        <f t="shared" ref="BI33" si="135">BI32/BI34</f>
        <v>13.763775560526653</v>
      </c>
    </row>
    <row r="34" spans="2:64" x14ac:dyDescent="0.2">
      <c r="B34" s="2" t="s">
        <v>2</v>
      </c>
      <c r="C34" s="3">
        <v>501</v>
      </c>
      <c r="D34" s="3">
        <v>502</v>
      </c>
      <c r="E34" s="3">
        <v>503</v>
      </c>
      <c r="F34" s="3">
        <v>504</v>
      </c>
      <c r="G34" s="3">
        <v>505</v>
      </c>
      <c r="H34" s="3">
        <v>506</v>
      </c>
      <c r="I34" s="3">
        <v>509</v>
      </c>
      <c r="J34" s="3">
        <v>512</v>
      </c>
      <c r="K34" s="3">
        <v>513</v>
      </c>
      <c r="L34" s="3">
        <v>513</v>
      </c>
      <c r="M34" s="4">
        <v>10286</v>
      </c>
      <c r="N34" s="3">
        <v>515</v>
      </c>
      <c r="O34" s="3">
        <v>10324</v>
      </c>
      <c r="P34" s="3">
        <v>509</v>
      </c>
      <c r="Q34" s="4">
        <v>10175</v>
      </c>
      <c r="R34" s="4">
        <v>10331</v>
      </c>
      <c r="S34" s="4">
        <v>10308</v>
      </c>
      <c r="T34" s="4">
        <v>10347</v>
      </c>
      <c r="U34" s="4">
        <f t="shared" ref="U34:W34" si="136">+T34</f>
        <v>10347</v>
      </c>
      <c r="V34" s="4">
        <f t="shared" si="136"/>
        <v>10347</v>
      </c>
      <c r="W34" s="4">
        <f t="shared" si="136"/>
        <v>10347</v>
      </c>
      <c r="AD34" s="2">
        <v>161.096869</v>
      </c>
      <c r="AF34" s="2">
        <v>364.21100000000001</v>
      </c>
      <c r="AG34" s="2">
        <v>378.363</v>
      </c>
      <c r="AH34" s="2">
        <v>419.35199999999998</v>
      </c>
      <c r="AS34" s="2">
        <v>462</v>
      </c>
      <c r="AT34" s="2">
        <v>477</v>
      </c>
      <c r="AU34" s="2">
        <v>484</v>
      </c>
      <c r="AV34" s="4">
        <v>493</v>
      </c>
      <c r="AW34" s="4">
        <v>500</v>
      </c>
      <c r="AX34" s="4">
        <f>AVERAGE(D34:G34)</f>
        <v>503.5</v>
      </c>
      <c r="AY34" s="4">
        <f>AVERAGE(H34:K34)</f>
        <v>510</v>
      </c>
      <c r="AZ34" s="4">
        <f>AVERAGE(L34:O34)</f>
        <v>5409.5</v>
      </c>
      <c r="BA34" s="2">
        <f>Q34</f>
        <v>10175</v>
      </c>
      <c r="BB34" s="2">
        <f>AVERAGE(T34:W34)</f>
        <v>10347</v>
      </c>
      <c r="BC34" s="2">
        <f>+BB34</f>
        <v>10347</v>
      </c>
      <c r="BD34" s="2">
        <f t="shared" ref="BD34:BI34" si="137">+BC34</f>
        <v>10347</v>
      </c>
      <c r="BE34" s="2">
        <f t="shared" si="137"/>
        <v>10347</v>
      </c>
      <c r="BF34" s="2">
        <f t="shared" si="137"/>
        <v>10347</v>
      </c>
      <c r="BG34" s="2">
        <f t="shared" si="137"/>
        <v>10347</v>
      </c>
      <c r="BH34" s="2">
        <f t="shared" si="137"/>
        <v>10347</v>
      </c>
      <c r="BI34" s="2">
        <f t="shared" si="137"/>
        <v>10347</v>
      </c>
    </row>
    <row r="36" spans="2:64" s="11" customFormat="1" x14ac:dyDescent="0.2">
      <c r="B36" s="5" t="s">
        <v>38</v>
      </c>
      <c r="C36" s="9"/>
      <c r="D36" s="9"/>
      <c r="E36" s="9"/>
      <c r="F36" s="9"/>
      <c r="G36" s="10">
        <f>G20/C20-1</f>
        <v>0.20797701117665746</v>
      </c>
      <c r="H36" s="10">
        <f>H20/D20-1</f>
        <v>0.26385259631490787</v>
      </c>
      <c r="I36" s="10">
        <f t="shared" ref="I36:K36" si="138">I20/E20-1</f>
        <v>0.40230900258658764</v>
      </c>
      <c r="J36" s="10">
        <f t="shared" si="138"/>
        <v>0.37387290836084075</v>
      </c>
      <c r="K36" s="10">
        <f t="shared" si="138"/>
        <v>0.43594816839553041</v>
      </c>
      <c r="L36" s="10">
        <f t="shared" ref="L36" si="139">L20/H20-1</f>
        <v>0.43823888034777081</v>
      </c>
      <c r="M36" s="10">
        <f t="shared" ref="M36" si="140">M20/I20-1</f>
        <v>0.27181932697498645</v>
      </c>
      <c r="N36" s="10">
        <f t="shared" ref="N36" si="141">N20/J20-1</f>
        <v>0.15255083467679031</v>
      </c>
      <c r="O36" s="10">
        <f t="shared" ref="O36" si="142">O20/K20-1</f>
        <v>9.4436701047349692E-2</v>
      </c>
      <c r="P36" s="10">
        <f>P20/L20-1</f>
        <v>7.3038574245747334E-2</v>
      </c>
      <c r="Q36" s="10">
        <f t="shared" ref="Q36:W36" si="143">Q20/M20-1</f>
        <v>7.2108241952600016E-2</v>
      </c>
      <c r="R36" s="10">
        <f>R20/N20-1</f>
        <v>0.14699671515720314</v>
      </c>
      <c r="S36" s="10">
        <f t="shared" si="143"/>
        <v>8.5814921549791867E-2</v>
      </c>
      <c r="T36" s="10">
        <f>T20/P20-1</f>
        <v>9.3727456975026602E-2</v>
      </c>
      <c r="U36" s="10">
        <f t="shared" si="143"/>
        <v>6.4896893610703277E-2</v>
      </c>
      <c r="V36" s="10">
        <f t="shared" si="143"/>
        <v>6.4824745674699535E-2</v>
      </c>
      <c r="W36" s="10">
        <f t="shared" si="143"/>
        <v>6.1610412589474972E-2</v>
      </c>
      <c r="AC36" s="15">
        <f t="shared" ref="AC36:AD36" si="144">AC20/AB20-1</f>
        <v>3.1263372285789677</v>
      </c>
      <c r="AD36" s="15">
        <f t="shared" si="144"/>
        <v>1.6890585567192891</v>
      </c>
      <c r="AE36" s="15">
        <f t="shared" ref="AE36" si="145">AE20/AD20-1</f>
        <v>0.68430132470321792</v>
      </c>
      <c r="AF36" s="15">
        <f t="shared" ref="AF36" si="146">AF20/AE20-1</f>
        <v>0.1305040617556299</v>
      </c>
      <c r="AG36" s="15">
        <f t="shared" ref="AG36" si="147">AG20/AF20-1</f>
        <v>0.25957418461821291</v>
      </c>
      <c r="AH36" s="15">
        <f t="shared" ref="AH36" si="148">AH20/AG20-1</f>
        <v>0.3383637567455966</v>
      </c>
      <c r="AI36" s="15">
        <f t="shared" ref="AI36" si="149">AI20/AH20-1</f>
        <v>0.31485481977597884</v>
      </c>
      <c r="AJ36" s="15">
        <f t="shared" ref="AJ36" si="150">AJ20/AI20-1</f>
        <v>0.22670134373645423</v>
      </c>
      <c r="AK36" s="15">
        <f t="shared" ref="AK36" si="151">AK20/AJ20-1</f>
        <v>0.26160188457008249</v>
      </c>
      <c r="AL36" s="15">
        <f t="shared" ref="AL36" si="152">AL20/AK20-1</f>
        <v>0.38502474092054895</v>
      </c>
      <c r="AM36" s="15">
        <f t="shared" ref="AM36" si="153">AM20/AL20-1</f>
        <v>0.29194472531176263</v>
      </c>
      <c r="AN36" s="15">
        <f t="shared" ref="AN36" si="154">AN20/AM20-1</f>
        <v>0.27877491391004905</v>
      </c>
      <c r="AO36" s="15">
        <f t="shared" ref="AO36" si="155">AO20/AN20-1</f>
        <v>0.39556897466236896</v>
      </c>
      <c r="AP36" s="15">
        <f t="shared" ref="AP36" si="156">AP20/AO20-1</f>
        <v>0.40559583674424049</v>
      </c>
      <c r="AQ36" s="15">
        <f t="shared" ref="AQ36" si="157">AQ20/AP20-1</f>
        <v>0.27073236682821311</v>
      </c>
      <c r="AR36" s="15">
        <f t="shared" ref="AR36:AV36" si="158">AR20/AQ20-1</f>
        <v>0.21866662301736706</v>
      </c>
      <c r="AS36" s="15">
        <f t="shared" si="158"/>
        <v>0.1952398861011122</v>
      </c>
      <c r="AT36" s="15">
        <f t="shared" si="158"/>
        <v>0.20247673843664304</v>
      </c>
      <c r="AU36" s="15">
        <f t="shared" si="158"/>
        <v>0.27083528026465808</v>
      </c>
      <c r="AV36" s="15">
        <f t="shared" si="158"/>
        <v>0.30796326119408479</v>
      </c>
      <c r="AW36" s="15">
        <f t="shared" ref="AW36" si="159">AW20/AV20-1</f>
        <v>0.3093396152159491</v>
      </c>
      <c r="AX36" s="15">
        <f t="shared" ref="AX36" si="160">AX20/AW20-1</f>
        <v>0.20454125820676983</v>
      </c>
      <c r="AY36" s="15">
        <f t="shared" ref="AY36" si="161">AY20/AX20-1</f>
        <v>0.37623430604373276</v>
      </c>
      <c r="AZ36" s="15">
        <f>AZ20/AY20-1</f>
        <v>0.21695366571345676</v>
      </c>
      <c r="BA36" s="15">
        <f t="shared" ref="BA36:BI36" si="162">BA20/AZ20-1</f>
        <v>9.399517263985091E-2</v>
      </c>
      <c r="BB36" s="15">
        <f>BB20/BA20-1</f>
        <v>7.0456649344433631E-2</v>
      </c>
      <c r="BC36" s="15">
        <f t="shared" si="162"/>
        <v>0.10067887743092241</v>
      </c>
      <c r="BD36" s="15">
        <f t="shared" si="162"/>
        <v>0.10851928608137085</v>
      </c>
      <c r="BE36" s="15">
        <f t="shared" si="162"/>
        <v>0.1173009319259728</v>
      </c>
      <c r="BF36" s="15">
        <f t="shared" si="162"/>
        <v>0.12699968811339213</v>
      </c>
      <c r="BG36" s="15">
        <f t="shared" si="162"/>
        <v>9.8319689430071078E-2</v>
      </c>
      <c r="BH36" s="15">
        <f t="shared" si="162"/>
        <v>0.10279303273364193</v>
      </c>
      <c r="BI36" s="15">
        <f t="shared" si="162"/>
        <v>0.10744653565985263</v>
      </c>
    </row>
    <row r="37" spans="2:64" x14ac:dyDescent="0.2">
      <c r="B37" s="2" t="s">
        <v>100</v>
      </c>
      <c r="D37" s="8"/>
      <c r="E37" s="8"/>
      <c r="F37" s="8"/>
      <c r="G37" s="8"/>
      <c r="H37" s="8">
        <f t="shared" ref="H37:H38" si="163">+H18/D18-1</f>
        <v>0.22045911968030807</v>
      </c>
      <c r="I37" s="8">
        <f t="shared" ref="I37:I38" si="164">+I18/E18-1</f>
        <v>0.40127175368139234</v>
      </c>
      <c r="J37" s="8">
        <f t="shared" ref="J37:J38" si="165">+J18/F18-1</f>
        <v>0.32844988168957356</v>
      </c>
      <c r="K37" s="8">
        <f t="shared" ref="K37:K38" si="166">+K18/G18-1</f>
        <v>0.40588025800324479</v>
      </c>
      <c r="L37" s="8">
        <f t="shared" ref="L37:P37" si="167">+L18/H18-1</f>
        <v>0.37403503740350375</v>
      </c>
      <c r="M37" s="8">
        <f t="shared" si="167"/>
        <v>0.15444630204601539</v>
      </c>
      <c r="N37" s="8">
        <f t="shared" si="167"/>
        <v>3.9830219426232549E-2</v>
      </c>
      <c r="O37" s="8">
        <f t="shared" si="167"/>
        <v>5.0664264805224679E-3</v>
      </c>
      <c r="P37" s="8">
        <f t="shared" si="167"/>
        <v>-1.8020211859247515E-2</v>
      </c>
      <c r="Q37" s="8">
        <f>+Q18/M18-1</f>
        <v>-2.4636231984001111E-2</v>
      </c>
      <c r="R37" s="8">
        <f>+R18/N18-1</f>
        <v>8.1347036956046281E-2</v>
      </c>
      <c r="S37" s="8">
        <f>+S18/O18-1</f>
        <v>-1.2392181023860194E-2</v>
      </c>
      <c r="T37" s="8">
        <f>+T18/P18-1</f>
        <v>9.317155256398868E-3</v>
      </c>
      <c r="U37" s="8"/>
      <c r="V37" s="8"/>
      <c r="W37" s="8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</row>
    <row r="38" spans="2:64" x14ac:dyDescent="0.2">
      <c r="B38" s="2" t="s">
        <v>101</v>
      </c>
      <c r="D38" s="8"/>
      <c r="E38" s="8"/>
      <c r="F38" s="8"/>
      <c r="G38" s="8"/>
      <c r="H38" s="8">
        <f t="shared" si="163"/>
        <v>0.32238265727662596</v>
      </c>
      <c r="I38" s="8">
        <f t="shared" si="164"/>
        <v>0.40365906780891536</v>
      </c>
      <c r="J38" s="8">
        <f t="shared" si="165"/>
        <v>0.43351512146752613</v>
      </c>
      <c r="K38" s="8">
        <f t="shared" si="166"/>
        <v>0.47713782355332701</v>
      </c>
      <c r="L38" s="8">
        <f t="shared" ref="L38" si="168">+L19/H19-1</f>
        <v>0.5181636964089138</v>
      </c>
      <c r="M38" s="8">
        <f t="shared" ref="M38" si="169">+M19/I19-1</f>
        <v>0.42433019551049966</v>
      </c>
      <c r="N38" s="8">
        <f t="shared" ref="N38" si="170">+N19/J19-1</f>
        <v>0.28970971386410271</v>
      </c>
      <c r="O38" s="8">
        <f t="shared" ref="O38" si="171">+O19/K19-1</f>
        <v>0.21095799922934355</v>
      </c>
      <c r="P38" s="8">
        <f t="shared" ref="P38:T38" si="172">+P19/L19-1</f>
        <v>0.17563250827993016</v>
      </c>
      <c r="Q38" s="8">
        <f t="shared" si="172"/>
        <v>0.17399593289273008</v>
      </c>
      <c r="R38" s="8">
        <f t="shared" si="172"/>
        <v>0.21140231693363853</v>
      </c>
      <c r="S38" s="8">
        <f t="shared" si="172"/>
        <v>0.19208739923631746</v>
      </c>
      <c r="T38" s="8">
        <f t="shared" si="172"/>
        <v>0.17316508026471511</v>
      </c>
      <c r="U38" s="8"/>
      <c r="V38" s="8"/>
      <c r="W38" s="8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</row>
    <row r="39" spans="2:64" x14ac:dyDescent="0.2">
      <c r="B39" s="2" t="s">
        <v>56</v>
      </c>
      <c r="G39" s="8">
        <f t="shared" ref="G39" si="173">+G11/C11-1</f>
        <v>0.14652704535181549</v>
      </c>
      <c r="H39" s="8">
        <f t="shared" ref="H39" si="174">+H11/D11-1</f>
        <v>0.24252491694352152</v>
      </c>
      <c r="I39" s="8">
        <f t="shared" ref="I39" si="175">+I11/E11-1</f>
        <v>0.47798924419540789</v>
      </c>
      <c r="J39" s="8">
        <f t="shared" ref="J39" si="176">+J11/F11-1</f>
        <v>0.37989097862381915</v>
      </c>
      <c r="K39" s="8">
        <f t="shared" ref="K39:O39" si="177">+K11/G11-1</f>
        <v>0.45543947258908823</v>
      </c>
      <c r="L39" s="8">
        <f t="shared" si="177"/>
        <v>0.44333187820582776</v>
      </c>
      <c r="M39" s="8">
        <f t="shared" si="177"/>
        <v>0.15820550810528156</v>
      </c>
      <c r="N39" s="8">
        <f t="shared" si="177"/>
        <v>3.2926577042399208E-2</v>
      </c>
      <c r="O39" s="8">
        <f t="shared" si="177"/>
        <v>-5.6583046154309313E-3</v>
      </c>
      <c r="P39" s="8">
        <f>+P11/L11-1</f>
        <v>-3.3496531256497986E-2</v>
      </c>
      <c r="Q39" s="8">
        <f t="shared" ref="Q39:W39" si="178">+Q11/M11-1</f>
        <v>-4.3305679402524611E-2</v>
      </c>
      <c r="R39" s="8">
        <f t="shared" si="178"/>
        <v>7.102238596772259E-2</v>
      </c>
      <c r="S39" s="8">
        <f t="shared" si="178"/>
        <v>-2.3367385546727237E-2</v>
      </c>
      <c r="T39" s="8">
        <f t="shared" si="178"/>
        <v>-6.4542627471686487E-4</v>
      </c>
      <c r="U39" s="8">
        <f t="shared" si="178"/>
        <v>3.0000000000000027E-2</v>
      </c>
      <c r="V39" s="8">
        <f t="shared" si="178"/>
        <v>3.0000000000000027E-2</v>
      </c>
      <c r="W39" s="8">
        <f t="shared" si="178"/>
        <v>3.0000000000000027E-2</v>
      </c>
      <c r="AW39" s="13"/>
      <c r="AX39" s="13">
        <f t="shared" ref="AX39" si="179">AX11/AW11-1</f>
        <v>0.14847097660728359</v>
      </c>
      <c r="AY39" s="13">
        <f t="shared" ref="AY39" si="180">AY11/AX11-1</f>
        <v>0.39719073679440986</v>
      </c>
      <c r="AZ39" s="13">
        <f>AZ11/AY11-1</f>
        <v>0.12529072860769497</v>
      </c>
      <c r="BA39" s="13">
        <f t="shared" ref="BA39:BI39" si="181">BA11/AZ11-1</f>
        <v>-9.3256782618484912E-3</v>
      </c>
      <c r="BB39" s="13">
        <f t="shared" si="181"/>
        <v>2.2877993127397689E-2</v>
      </c>
      <c r="BC39" s="13">
        <f t="shared" si="181"/>
        <v>5.0000000000000044E-2</v>
      </c>
      <c r="BD39" s="13">
        <f t="shared" si="181"/>
        <v>5.0000000000000044E-2</v>
      </c>
      <c r="BE39" s="13">
        <f t="shared" si="181"/>
        <v>5.0000000000000044E-2</v>
      </c>
      <c r="BF39" s="13">
        <f t="shared" si="181"/>
        <v>5.0000000000000044E-2</v>
      </c>
      <c r="BG39" s="13">
        <f t="shared" si="181"/>
        <v>5.0000000000000044E-2</v>
      </c>
      <c r="BH39" s="13">
        <f t="shared" si="181"/>
        <v>5.0000000000000044E-2</v>
      </c>
      <c r="BI39" s="13">
        <f t="shared" si="181"/>
        <v>5.0000000000000044E-2</v>
      </c>
    </row>
    <row r="40" spans="2:64" x14ac:dyDescent="0.2">
      <c r="B40" s="2" t="s">
        <v>57</v>
      </c>
      <c r="G40" s="8">
        <f t="shared" ref="G40:O40" si="182">+G13/C13-1</f>
        <v>0.30359411193304942</v>
      </c>
      <c r="H40" s="8">
        <f t="shared" si="182"/>
        <v>0.29961403823714217</v>
      </c>
      <c r="I40" s="8">
        <f t="shared" si="182"/>
        <v>0.52106671125229886</v>
      </c>
      <c r="J40" s="8">
        <f t="shared" si="182"/>
        <v>0.54677565849227983</v>
      </c>
      <c r="K40" s="8">
        <f t="shared" si="182"/>
        <v>0.56637624670411557</v>
      </c>
      <c r="L40" s="8">
        <f t="shared" si="182"/>
        <v>0.63747496374058987</v>
      </c>
      <c r="M40" s="8">
        <f t="shared" si="182"/>
        <v>0.37867546029128873</v>
      </c>
      <c r="N40" s="8">
        <f t="shared" si="182"/>
        <v>0.18672930123311793</v>
      </c>
      <c r="O40" s="8">
        <f t="shared" si="182"/>
        <v>0.10952537783144867</v>
      </c>
      <c r="P40" s="8">
        <f>+P13/L13-1</f>
        <v>6.8581551309629285E-2</v>
      </c>
      <c r="Q40" s="8">
        <f t="shared" ref="Q40:W40" si="183">+Q13/M13-1</f>
        <v>9.1329479768786026E-2</v>
      </c>
      <c r="R40" s="8">
        <f t="shared" si="183"/>
        <v>0.18200560778492503</v>
      </c>
      <c r="S40" s="8">
        <f t="shared" si="183"/>
        <v>0.19851583113456472</v>
      </c>
      <c r="T40" s="8">
        <f t="shared" si="183"/>
        <v>0.177027827116637</v>
      </c>
      <c r="U40" s="8">
        <f t="shared" si="183"/>
        <v>3.0000000000000027E-2</v>
      </c>
      <c r="V40" s="8">
        <f t="shared" si="183"/>
        <v>3.0000000000000027E-2</v>
      </c>
      <c r="W40" s="8">
        <f t="shared" si="183"/>
        <v>3.0000000000000027E-2</v>
      </c>
      <c r="AW40" s="13"/>
      <c r="AX40" s="13">
        <f t="shared" ref="AX40" si="184">AX13/AW13-1</f>
        <v>0.25771435255585451</v>
      </c>
      <c r="AY40" s="13">
        <f t="shared" ref="AY40" si="185">AY13/AX13-1</f>
        <v>0.4961961273041795</v>
      </c>
      <c r="AZ40" s="13">
        <f>AZ13/AY13-1</f>
        <v>0.28505538495965776</v>
      </c>
      <c r="BA40" s="13">
        <f t="shared" ref="BA40:BI40" si="186">BA13/AZ13-1</f>
        <v>0.13882708047133496</v>
      </c>
      <c r="BB40" s="13">
        <f t="shared" si="186"/>
        <v>6.1643531890312131E-2</v>
      </c>
      <c r="BC40" s="13">
        <f t="shared" si="186"/>
        <v>5.0000000000000044E-2</v>
      </c>
      <c r="BD40" s="13">
        <f t="shared" si="186"/>
        <v>5.0000000000000044E-2</v>
      </c>
      <c r="BE40" s="13">
        <f t="shared" si="186"/>
        <v>5.0000000000000044E-2</v>
      </c>
      <c r="BF40" s="13">
        <f t="shared" si="186"/>
        <v>5.0000000000000044E-2</v>
      </c>
      <c r="BG40" s="13">
        <f t="shared" si="186"/>
        <v>5.0000000000000044E-2</v>
      </c>
      <c r="BH40" s="13">
        <f t="shared" si="186"/>
        <v>5.0000000000000044E-2</v>
      </c>
      <c r="BI40" s="13">
        <f t="shared" si="186"/>
        <v>5.0000000000000044E-2</v>
      </c>
    </row>
    <row r="41" spans="2:64" x14ac:dyDescent="0.2">
      <c r="B41" s="2" t="s">
        <v>58</v>
      </c>
      <c r="G41" s="8">
        <f t="shared" ref="G41:O42" si="187">+G14/C14-1</f>
        <v>0.3223036120232381</v>
      </c>
      <c r="H41" s="8">
        <f t="shared" si="187"/>
        <v>0.27959465684016571</v>
      </c>
      <c r="I41" s="8">
        <f t="shared" si="187"/>
        <v>0.28699743370402042</v>
      </c>
      <c r="J41" s="8">
        <f t="shared" si="187"/>
        <v>0.32580189630825096</v>
      </c>
      <c r="K41" s="8">
        <f t="shared" si="187"/>
        <v>0.34880611270296091</v>
      </c>
      <c r="L41" s="8">
        <f t="shared" si="187"/>
        <v>0.36429085673146155</v>
      </c>
      <c r="M41" s="8">
        <f t="shared" si="187"/>
        <v>0.31555333998005985</v>
      </c>
      <c r="N41" s="8">
        <f t="shared" si="187"/>
        <v>0.23980523432744971</v>
      </c>
      <c r="O41" s="8">
        <f t="shared" si="187"/>
        <v>0.15040362554878905</v>
      </c>
      <c r="P41" s="8">
        <f>+P14/L14-1</f>
        <v>0.10949868073878632</v>
      </c>
      <c r="Q41" s="8">
        <f t="shared" ref="Q41:W42" si="188">+Q14/M14-1</f>
        <v>0.10092206643930779</v>
      </c>
      <c r="R41" s="8">
        <f t="shared" si="188"/>
        <v>9.2660775650466265E-2</v>
      </c>
      <c r="S41" s="8">
        <f t="shared" si="188"/>
        <v>0.13123230333620572</v>
      </c>
      <c r="T41" s="8">
        <f t="shared" si="188"/>
        <v>0.14827586206896548</v>
      </c>
      <c r="U41" s="8">
        <f t="shared" si="188"/>
        <v>8.0000000000000071E-2</v>
      </c>
      <c r="V41" s="8">
        <f t="shared" si="188"/>
        <v>8.0000000000000071E-2</v>
      </c>
      <c r="W41" s="8">
        <f t="shared" si="188"/>
        <v>8.0000000000000071E-2</v>
      </c>
      <c r="AW41" s="13"/>
      <c r="AX41" s="13">
        <f t="shared" ref="AX41" si="189">AX14/AW14-1</f>
        <v>0.35596809486835612</v>
      </c>
      <c r="AY41" s="13">
        <f t="shared" ref="AY41" si="190">AY14/AX14-1</f>
        <v>0.31218115564810001</v>
      </c>
      <c r="AZ41" s="13">
        <f>AZ14/AY14-1</f>
        <v>0.26028484151227826</v>
      </c>
      <c r="BA41" s="13">
        <f t="shared" ref="BA41:BI41" si="191">BA14/AZ14-1</f>
        <v>0.10859984890455809</v>
      </c>
      <c r="BB41" s="13">
        <f t="shared" si="191"/>
        <v>9.6304162644102353E-2</v>
      </c>
      <c r="BC41" s="13">
        <f t="shared" si="191"/>
        <v>0.10000000000000009</v>
      </c>
      <c r="BD41" s="13">
        <f t="shared" si="191"/>
        <v>0.10000000000000009</v>
      </c>
      <c r="BE41" s="13">
        <f t="shared" si="191"/>
        <v>0.10000000000000009</v>
      </c>
      <c r="BF41" s="13">
        <f t="shared" si="191"/>
        <v>0.10000000000000009</v>
      </c>
      <c r="BG41" s="13">
        <f t="shared" si="191"/>
        <v>5.0000000000000044E-2</v>
      </c>
      <c r="BH41" s="13">
        <f t="shared" si="191"/>
        <v>5.0000000000000044E-2</v>
      </c>
      <c r="BI41" s="13">
        <f t="shared" si="191"/>
        <v>5.0000000000000044E-2</v>
      </c>
    </row>
    <row r="42" spans="2:64" x14ac:dyDescent="0.2">
      <c r="B42" s="2" t="s">
        <v>59</v>
      </c>
      <c r="G42" s="8">
        <f t="shared" si="187"/>
        <v>0.41145218417945695</v>
      </c>
      <c r="H42" s="8">
        <f t="shared" si="187"/>
        <v>0.43814432989690721</v>
      </c>
      <c r="I42" s="8">
        <f t="shared" si="187"/>
        <v>0.40606262491672229</v>
      </c>
      <c r="J42" s="8">
        <f t="shared" si="187"/>
        <v>0.50529838259899607</v>
      </c>
      <c r="K42" s="8">
        <f t="shared" si="187"/>
        <v>0.53701380175658731</v>
      </c>
      <c r="L42" s="8">
        <f t="shared" si="187"/>
        <v>0.63364055299539168</v>
      </c>
      <c r="M42" s="8">
        <f t="shared" si="187"/>
        <v>0.76522151149016815</v>
      </c>
      <c r="N42" s="8">
        <f t="shared" si="187"/>
        <v>0.41015190811411628</v>
      </c>
      <c r="O42" s="8">
        <f t="shared" si="187"/>
        <v>0.32190476190476192</v>
      </c>
      <c r="P42" s="8">
        <f t="shared" ref="P42" si="192">+P15/L15-1</f>
        <v>0.23444601159692846</v>
      </c>
      <c r="Q42" s="8">
        <f t="shared" si="188"/>
        <v>0.17527848610924712</v>
      </c>
      <c r="R42" s="8">
        <f t="shared" si="188"/>
        <v>0.25433526011560703</v>
      </c>
      <c r="S42" s="8">
        <f t="shared" si="188"/>
        <v>0.18948126801152743</v>
      </c>
      <c r="T42" s="8">
        <f t="shared" si="188"/>
        <v>0.20718547670432907</v>
      </c>
      <c r="U42" s="8">
        <f t="shared" si="188"/>
        <v>0.10000000000000009</v>
      </c>
      <c r="V42" s="8">
        <f t="shared" si="188"/>
        <v>0.10000000000000009</v>
      </c>
      <c r="W42" s="8">
        <f t="shared" si="188"/>
        <v>0.10000000000000009</v>
      </c>
      <c r="AW42" s="13"/>
      <c r="AX42" s="13">
        <f t="shared" ref="AX42" si="193">AX15/AW15-1</f>
        <v>0.39354966363276622</v>
      </c>
      <c r="AY42" s="13">
        <f t="shared" ref="AY42:AZ42" si="194">AY15/AX15-1</f>
        <v>0.4819679114013915</v>
      </c>
      <c r="AZ42" s="13">
        <f t="shared" si="194"/>
        <v>0.49269461077844312</v>
      </c>
      <c r="BA42" s="13">
        <f t="shared" ref="BA42:BI42" si="195">BA15/AZ15-1</f>
        <v>0.21113607188703476</v>
      </c>
      <c r="BB42" s="13">
        <f t="shared" si="195"/>
        <v>0.12237208193115867</v>
      </c>
      <c r="BC42" s="13">
        <f t="shared" si="195"/>
        <v>0.10000000000000009</v>
      </c>
      <c r="BD42" s="13">
        <f t="shared" si="195"/>
        <v>0.10000000000000009</v>
      </c>
      <c r="BE42" s="13">
        <f t="shared" si="195"/>
        <v>0.10000000000000009</v>
      </c>
      <c r="BF42" s="13">
        <f t="shared" si="195"/>
        <v>0.10000000000000009</v>
      </c>
      <c r="BG42" s="13">
        <f t="shared" si="195"/>
        <v>5.0000000000000044E-2</v>
      </c>
      <c r="BH42" s="13">
        <f t="shared" si="195"/>
        <v>5.0000000000000044E-2</v>
      </c>
      <c r="BI42" s="13">
        <f t="shared" si="195"/>
        <v>5.0000000000000044E-2</v>
      </c>
    </row>
    <row r="43" spans="2:64" x14ac:dyDescent="0.2">
      <c r="B43" s="2" t="s">
        <v>39</v>
      </c>
      <c r="G43" s="8">
        <f t="shared" ref="G43:H43" si="196">G9/C9-1</f>
        <v>0.33970390309555865</v>
      </c>
      <c r="H43" s="8">
        <f t="shared" si="196"/>
        <v>0.32783264033264037</v>
      </c>
      <c r="I43" s="8">
        <f t="shared" ref="I43" si="197">I9/E9-1</f>
        <v>0.28958358191146649</v>
      </c>
      <c r="J43" s="8">
        <f t="shared" ref="J43" si="198">J9/F9-1</f>
        <v>0.28971650917176217</v>
      </c>
      <c r="K43" s="8">
        <f t="shared" ref="K43" si="199">K9/G9-1</f>
        <v>0.28008840667068524</v>
      </c>
      <c r="L43" s="8">
        <f t="shared" ref="L43" si="200">L9/H9-1</f>
        <v>0.32136216850963883</v>
      </c>
      <c r="M43" s="8">
        <f t="shared" ref="M43" si="201">M9/I9-1</f>
        <v>0.37018874907475952</v>
      </c>
      <c r="N43" s="8">
        <f t="shared" ref="N43" si="202">N9/J9-1</f>
        <v>0.3886733902249806</v>
      </c>
      <c r="O43" s="8">
        <f t="shared" ref="O43:T43" si="203">O9/K9-1</f>
        <v>0.39538533982106427</v>
      </c>
      <c r="P43" s="8">
        <f t="shared" si="203"/>
        <v>0.36569651188624741</v>
      </c>
      <c r="Q43" s="8">
        <f t="shared" si="203"/>
        <v>0.33290566547369838</v>
      </c>
      <c r="R43" s="8">
        <f t="shared" si="203"/>
        <v>0.27486033519553077</v>
      </c>
      <c r="S43" s="8">
        <f t="shared" si="203"/>
        <v>0.20236220472440936</v>
      </c>
      <c r="T43" s="8">
        <f t="shared" si="203"/>
        <v>0.157963234097934</v>
      </c>
      <c r="U43" s="8">
        <f t="shared" ref="U43:W43" si="204">U9/Q9-1</f>
        <v>0.19999999999999996</v>
      </c>
      <c r="V43" s="8">
        <f t="shared" si="204"/>
        <v>0.19999999999999996</v>
      </c>
      <c r="W43" s="8">
        <f t="shared" si="204"/>
        <v>0.19999999999999996</v>
      </c>
      <c r="AT43" s="13">
        <f t="shared" ref="AT43:AV43" si="205">AT9/AS9-1</f>
        <v>0.69681309216192933</v>
      </c>
      <c r="AU43" s="13">
        <f t="shared" si="205"/>
        <v>0.55063451776649752</v>
      </c>
      <c r="AV43" s="13">
        <f t="shared" si="205"/>
        <v>0.42884033063262139</v>
      </c>
      <c r="AW43" s="13">
        <f t="shared" ref="AW43" si="206">AW9/AV9-1</f>
        <v>0.46944269431238905</v>
      </c>
      <c r="AX43" s="13">
        <f t="shared" ref="AX43" si="207">AX9/AW9-1</f>
        <v>0.36526992788930035</v>
      </c>
      <c r="AY43" s="13">
        <f t="shared" ref="AY43" si="208">AY9/AX9-1</f>
        <v>0.29532347399074976</v>
      </c>
      <c r="AZ43" s="13">
        <f>AZ9/AY9-1</f>
        <v>0.37099404893101173</v>
      </c>
      <c r="BA43" s="13">
        <f t="shared" ref="BA43:BI43" si="209">BA9/AZ9-1</f>
        <v>0.28767563743931057</v>
      </c>
      <c r="BB43" s="13">
        <f t="shared" si="209"/>
        <v>0.19032161406312431</v>
      </c>
      <c r="BC43" s="13">
        <f t="shared" si="209"/>
        <v>0.30000000000000004</v>
      </c>
      <c r="BD43" s="13">
        <f t="shared" si="209"/>
        <v>0.30000000000000004</v>
      </c>
      <c r="BE43" s="13">
        <f t="shared" si="209"/>
        <v>0.30000000000000004</v>
      </c>
      <c r="BF43" s="13">
        <f t="shared" si="209"/>
        <v>0.30000000000000004</v>
      </c>
      <c r="BG43" s="13">
        <f t="shared" si="209"/>
        <v>0.19999999999999996</v>
      </c>
      <c r="BH43" s="13">
        <f t="shared" si="209"/>
        <v>0.19999999999999996</v>
      </c>
      <c r="BI43" s="13">
        <f t="shared" si="209"/>
        <v>0.19999999999999996</v>
      </c>
    </row>
    <row r="44" spans="2:64" x14ac:dyDescent="0.2">
      <c r="B44" s="2" t="s">
        <v>29</v>
      </c>
      <c r="C44" s="16">
        <f t="shared" ref="C44:H44" si="210">C23/C20</f>
        <v>0.24272273876462705</v>
      </c>
      <c r="D44" s="16">
        <f t="shared" si="210"/>
        <v>0.28775544388609714</v>
      </c>
      <c r="E44" s="16">
        <f t="shared" si="210"/>
        <v>0.28067629802536115</v>
      </c>
      <c r="F44" s="16">
        <f t="shared" si="210"/>
        <v>0.26452894357039769</v>
      </c>
      <c r="G44" s="16">
        <f t="shared" si="210"/>
        <v>0.24323798849457323</v>
      </c>
      <c r="H44" s="16">
        <f t="shared" si="210"/>
        <v>0.26061602078142393</v>
      </c>
      <c r="I44" s="16">
        <f>I23/I20</f>
        <v>0.25245186251574592</v>
      </c>
      <c r="J44" s="16">
        <f>J23/J20</f>
        <v>0.25309688491341203</v>
      </c>
      <c r="K44" s="16">
        <f>K23/K20</f>
        <v>0.22139301501334077</v>
      </c>
      <c r="L44" s="16">
        <f>L23/L20</f>
        <v>0.2726275825208721</v>
      </c>
      <c r="M44" s="16">
        <f t="shared" ref="M44:P44" si="211">M23/M20</f>
        <v>0.27649451715599577</v>
      </c>
      <c r="N44" s="16">
        <f t="shared" si="211"/>
        <v>0.26516983720174708</v>
      </c>
      <c r="O44" s="16">
        <f>O23/O20</f>
        <v>0.23383692836142403</v>
      </c>
      <c r="P44" s="16">
        <f t="shared" si="211"/>
        <v>0.25483494211809971</v>
      </c>
      <c r="Q44" s="16">
        <f t="shared" ref="Q44:W44" si="212">Q23/Q20</f>
        <v>0.2843096821023805</v>
      </c>
      <c r="R44" s="16">
        <f>R23/R20</f>
        <v>0.28520625329462396</v>
      </c>
      <c r="S44" s="16">
        <f>S23/S20</f>
        <v>0.27117905686174631</v>
      </c>
      <c r="T44" s="16">
        <f>T23/T20</f>
        <v>0.30356946560090453</v>
      </c>
      <c r="U44" s="16">
        <f t="shared" si="212"/>
        <v>0.30294374179861744</v>
      </c>
      <c r="V44" s="16">
        <f t="shared" si="212"/>
        <v>0.3038954290699391</v>
      </c>
      <c r="W44" s="16">
        <f t="shared" si="212"/>
        <v>0.28773098676662845</v>
      </c>
      <c r="AS44" s="14">
        <f t="shared" ref="AS44:AU44" si="213">AS23/AS20</f>
        <v>0.17384366431428958</v>
      </c>
      <c r="AT44" s="14">
        <f t="shared" si="213"/>
        <v>0.20508195802104554</v>
      </c>
      <c r="AU44" s="14">
        <f t="shared" si="213"/>
        <v>0.22136674829211617</v>
      </c>
      <c r="AV44" s="14">
        <f t="shared" ref="AV44" si="214">AV23/AV20</f>
        <v>0.22872836854710848</v>
      </c>
      <c r="AW44" s="14">
        <f t="shared" ref="AW44:AX44" si="215">AW23/AW20</f>
        <v>0.25636467471348767</v>
      </c>
      <c r="AX44" s="14">
        <f t="shared" si="215"/>
        <v>0.26648533804835273</v>
      </c>
      <c r="AY44" s="14">
        <f t="shared" ref="AY44" si="216">AY23/AY20</f>
        <v>0.24410719466202496</v>
      </c>
      <c r="AZ44" s="14">
        <f>AZ23/AZ20</f>
        <v>0.26045395915900066</v>
      </c>
      <c r="BA44" s="14">
        <f t="shared" ref="BA44:BI44" si="217">BA23/BA20</f>
        <v>0.27404213758042584</v>
      </c>
      <c r="BB44" s="14">
        <f t="shared" si="217"/>
        <v>0.29894307146835464</v>
      </c>
      <c r="BC44" s="14">
        <f t="shared" si="217"/>
        <v>0.2838338627721152</v>
      </c>
      <c r="BD44" s="14">
        <f t="shared" si="217"/>
        <v>0.28933078918273203</v>
      </c>
      <c r="BE44" s="14">
        <f t="shared" si="217"/>
        <v>0.29454505726643759</v>
      </c>
      <c r="BF44" s="14">
        <f t="shared" si="217"/>
        <v>0.29937983643671434</v>
      </c>
      <c r="BG44" s="14">
        <f t="shared" si="217"/>
        <v>0.29940712003279502</v>
      </c>
      <c r="BH44" s="14">
        <f t="shared" si="217"/>
        <v>0.29943550244961009</v>
      </c>
      <c r="BI44" s="14">
        <f t="shared" si="217"/>
        <v>0.29946478461142489</v>
      </c>
      <c r="BK44" t="s">
        <v>77</v>
      </c>
      <c r="BL44" s="13">
        <v>0.08</v>
      </c>
    </row>
    <row r="45" spans="2:64" x14ac:dyDescent="0.2">
      <c r="BK45" t="s">
        <v>76</v>
      </c>
      <c r="BL45" s="13">
        <v>0.01</v>
      </c>
    </row>
    <row r="46" spans="2:64" x14ac:dyDescent="0.2">
      <c r="B46" s="2" t="s">
        <v>75</v>
      </c>
      <c r="K46" s="4">
        <f t="shared" ref="K46:T46" si="218">+K47-K60</f>
        <v>52580</v>
      </c>
      <c r="L46" s="4">
        <f t="shared" si="218"/>
        <v>41402</v>
      </c>
      <c r="M46" s="4">
        <f t="shared" si="218"/>
        <v>39615</v>
      </c>
      <c r="N46" s="4">
        <f t="shared" si="218"/>
        <v>28933</v>
      </c>
      <c r="O46" s="4">
        <f t="shared" si="218"/>
        <v>47305</v>
      </c>
      <c r="P46" s="4">
        <f t="shared" si="218"/>
        <v>18829</v>
      </c>
      <c r="Q46" s="4">
        <f t="shared" si="218"/>
        <v>2657</v>
      </c>
      <c r="R46" s="4">
        <f t="shared" si="218"/>
        <v>-257</v>
      </c>
      <c r="S46" s="4">
        <f t="shared" si="218"/>
        <v>2876</v>
      </c>
      <c r="T46" s="4">
        <f t="shared" si="218"/>
        <v>-2679</v>
      </c>
      <c r="U46" s="4">
        <f t="shared" ref="U46:W46" si="219">+T46+U32</f>
        <v>2074.9693349999843</v>
      </c>
      <c r="V46" s="4">
        <f t="shared" si="219"/>
        <v>6254.4580099999721</v>
      </c>
      <c r="W46" s="4">
        <f t="shared" si="219"/>
        <v>11117.849459999974</v>
      </c>
      <c r="X46" s="4"/>
      <c r="Y46" s="4"/>
      <c r="Z46" s="4"/>
      <c r="AA46" s="4"/>
      <c r="AB46" s="4"/>
      <c r="BA46" s="2">
        <f>+S46</f>
        <v>2876</v>
      </c>
      <c r="BB46" s="2">
        <f>+W46</f>
        <v>11117.849459999974</v>
      </c>
      <c r="BC46" s="2">
        <f>+BB46+BC32</f>
        <v>31901.814345410057</v>
      </c>
      <c r="BD46" s="2">
        <f t="shared" ref="BD46:BI46" si="220">+BC46+BD32</f>
        <v>68091.705724096042</v>
      </c>
      <c r="BE46" s="2">
        <f t="shared" si="220"/>
        <v>123404.0964587433</v>
      </c>
      <c r="BF46" s="2">
        <f t="shared" si="220"/>
        <v>202517.65808707173</v>
      </c>
      <c r="BG46" s="2">
        <f t="shared" si="220"/>
        <v>299363.28661101777</v>
      </c>
      <c r="BH46" s="2">
        <f t="shared" si="220"/>
        <v>417110.01027115865</v>
      </c>
      <c r="BI46" s="2">
        <f t="shared" si="220"/>
        <v>559523.79599592788</v>
      </c>
      <c r="BK46" t="s">
        <v>78</v>
      </c>
      <c r="BL46" s="13">
        <v>0</v>
      </c>
    </row>
    <row r="47" spans="2:64" s="2" customFormat="1" x14ac:dyDescent="0.2">
      <c r="B47" s="2" t="s">
        <v>4</v>
      </c>
      <c r="C47" s="4"/>
      <c r="D47" s="4"/>
      <c r="E47" s="4"/>
      <c r="F47" s="4"/>
      <c r="G47" s="4"/>
      <c r="H47" s="4"/>
      <c r="I47" s="4"/>
      <c r="J47" s="4"/>
      <c r="K47" s="4">
        <f>42122+42274</f>
        <v>84396</v>
      </c>
      <c r="L47" s="4">
        <f>33834+39436</f>
        <v>73270</v>
      </c>
      <c r="M47" s="4">
        <f>40380+49514</f>
        <v>89894</v>
      </c>
      <c r="N47" s="4">
        <f>29944+49044</f>
        <v>78988</v>
      </c>
      <c r="O47" s="4">
        <f>36220+59829</f>
        <v>96049</v>
      </c>
      <c r="P47" s="4">
        <f>36393+29992</f>
        <v>66385</v>
      </c>
      <c r="Q47" s="4">
        <f>37478+23232</f>
        <v>60710</v>
      </c>
      <c r="R47" s="4">
        <f>34947+23715</f>
        <v>58662</v>
      </c>
      <c r="S47" s="4">
        <f>53888+16138</f>
        <v>70026</v>
      </c>
      <c r="T47" s="2">
        <f>49343+15062</f>
        <v>64405</v>
      </c>
      <c r="BK47" s="2" t="s">
        <v>79</v>
      </c>
      <c r="BL47" s="2">
        <f>NPV(BL44,BB32:DS32)+Main!K5-Main!K6</f>
        <v>1316805.5506389481</v>
      </c>
    </row>
    <row r="48" spans="2:64" s="2" customFormat="1" x14ac:dyDescent="0.2">
      <c r="B48" s="2" t="s">
        <v>63</v>
      </c>
      <c r="C48" s="4"/>
      <c r="D48" s="4"/>
      <c r="E48" s="4"/>
      <c r="F48" s="4"/>
      <c r="G48" s="4"/>
      <c r="H48" s="4"/>
      <c r="I48" s="4"/>
      <c r="J48" s="4"/>
      <c r="K48" s="4">
        <v>23795</v>
      </c>
      <c r="L48" s="4">
        <v>23849</v>
      </c>
      <c r="M48" s="4">
        <v>24119</v>
      </c>
      <c r="N48" s="4">
        <v>30933</v>
      </c>
      <c r="O48" s="4">
        <v>32640</v>
      </c>
      <c r="P48" s="4">
        <v>34987</v>
      </c>
      <c r="Q48" s="4">
        <v>38153</v>
      </c>
      <c r="R48" s="4">
        <v>36647</v>
      </c>
      <c r="S48" s="4">
        <v>34405</v>
      </c>
      <c r="T48" s="2">
        <v>34170</v>
      </c>
      <c r="BL48" s="1">
        <f>+BL47/Main!K3</f>
        <v>127.46157686951391</v>
      </c>
    </row>
    <row r="49" spans="2:20" s="2" customFormat="1" x14ac:dyDescent="0.2">
      <c r="B49" s="2" t="s">
        <v>64</v>
      </c>
      <c r="C49" s="4"/>
      <c r="D49" s="4"/>
      <c r="E49" s="4"/>
      <c r="F49" s="4"/>
      <c r="G49" s="4"/>
      <c r="H49" s="4"/>
      <c r="I49" s="4"/>
      <c r="J49" s="4"/>
      <c r="K49" s="4">
        <v>24542</v>
      </c>
      <c r="L49" s="4">
        <v>24289</v>
      </c>
      <c r="M49" s="4">
        <v>26835</v>
      </c>
      <c r="N49" s="4">
        <v>28610</v>
      </c>
      <c r="O49" s="4">
        <v>32891</v>
      </c>
      <c r="P49" s="4">
        <v>32504</v>
      </c>
      <c r="Q49" s="4">
        <v>34804</v>
      </c>
      <c r="R49" s="4">
        <v>36154</v>
      </c>
      <c r="S49" s="4">
        <v>42360</v>
      </c>
      <c r="T49" s="2">
        <v>37646</v>
      </c>
    </row>
    <row r="50" spans="2:20" s="2" customFormat="1" x14ac:dyDescent="0.2">
      <c r="B50" s="2" t="s">
        <v>65</v>
      </c>
      <c r="C50" s="4"/>
      <c r="D50" s="4"/>
      <c r="E50" s="4"/>
      <c r="F50" s="4"/>
      <c r="G50" s="4"/>
      <c r="H50" s="4"/>
      <c r="I50" s="4"/>
      <c r="J50" s="4"/>
      <c r="K50" s="4">
        <v>113114</v>
      </c>
      <c r="L50" s="4">
        <v>121461</v>
      </c>
      <c r="M50" s="4">
        <v>133502</v>
      </c>
      <c r="N50" s="4">
        <v>147152</v>
      </c>
      <c r="O50" s="4">
        <v>160281</v>
      </c>
      <c r="P50" s="4">
        <v>168468</v>
      </c>
      <c r="Q50" s="4">
        <v>173706</v>
      </c>
      <c r="R50" s="4">
        <v>177195</v>
      </c>
      <c r="S50" s="4">
        <v>186715</v>
      </c>
      <c r="T50" s="2">
        <v>190754</v>
      </c>
    </row>
    <row r="51" spans="2:20" s="2" customFormat="1" x14ac:dyDescent="0.2">
      <c r="B51" s="2" t="s">
        <v>66</v>
      </c>
      <c r="C51" s="4"/>
      <c r="D51" s="4"/>
      <c r="E51" s="4"/>
      <c r="F51" s="4"/>
      <c r="G51" s="4"/>
      <c r="H51" s="4"/>
      <c r="I51" s="4"/>
      <c r="J51" s="4"/>
      <c r="K51" s="4">
        <v>37553</v>
      </c>
      <c r="L51" s="4">
        <v>39328</v>
      </c>
      <c r="M51" s="4">
        <v>43346</v>
      </c>
      <c r="N51" s="4">
        <v>52151</v>
      </c>
      <c r="O51" s="4">
        <v>56082</v>
      </c>
      <c r="P51" s="4">
        <v>56161</v>
      </c>
      <c r="Q51" s="4">
        <v>58430</v>
      </c>
      <c r="R51" s="4">
        <v>62033</v>
      </c>
      <c r="S51" s="4">
        <v>66123</v>
      </c>
      <c r="T51" s="2">
        <v>68262</v>
      </c>
    </row>
    <row r="52" spans="2:20" s="2" customFormat="1" x14ac:dyDescent="0.2">
      <c r="B52" s="2" t="s">
        <v>67</v>
      </c>
      <c r="C52" s="4"/>
      <c r="D52" s="4"/>
      <c r="E52" s="4"/>
      <c r="F52" s="4"/>
      <c r="G52" s="4"/>
      <c r="H52" s="4"/>
      <c r="I52" s="4"/>
      <c r="J52" s="4"/>
      <c r="K52" s="4">
        <v>15017</v>
      </c>
      <c r="L52" s="4">
        <v>15220</v>
      </c>
      <c r="M52" s="4">
        <v>15350</v>
      </c>
      <c r="N52" s="4">
        <v>15345</v>
      </c>
      <c r="O52" s="4">
        <v>15371</v>
      </c>
      <c r="P52" s="4">
        <v>20229</v>
      </c>
      <c r="Q52" s="4">
        <v>20195</v>
      </c>
      <c r="R52" s="4">
        <v>20168</v>
      </c>
      <c r="S52" s="4">
        <v>20288</v>
      </c>
      <c r="T52" s="2">
        <f>22749</f>
        <v>22749</v>
      </c>
    </row>
    <row r="53" spans="2:20" s="2" customFormat="1" x14ac:dyDescent="0.2">
      <c r="B53" s="2" t="s">
        <v>68</v>
      </c>
      <c r="C53" s="4"/>
      <c r="D53" s="4"/>
      <c r="E53" s="4"/>
      <c r="F53" s="4"/>
      <c r="G53" s="4"/>
      <c r="H53" s="4"/>
      <c r="I53" s="4"/>
      <c r="J53" s="4"/>
      <c r="K53" s="4">
        <v>22778</v>
      </c>
      <c r="L53" s="4">
        <v>25660</v>
      </c>
      <c r="M53" s="4">
        <v>27273</v>
      </c>
      <c r="N53" s="4">
        <v>29227</v>
      </c>
      <c r="O53" s="4">
        <v>27235</v>
      </c>
      <c r="P53" s="4">
        <v>32033</v>
      </c>
      <c r="Q53" s="4">
        <v>33730</v>
      </c>
      <c r="R53" s="4">
        <v>37503</v>
      </c>
      <c r="S53" s="4">
        <v>42758</v>
      </c>
      <c r="T53" s="2">
        <v>46392</v>
      </c>
    </row>
    <row r="54" spans="2:20" s="2" customFormat="1" x14ac:dyDescent="0.2">
      <c r="B54" s="2" t="s">
        <v>62</v>
      </c>
      <c r="C54" s="4"/>
      <c r="D54" s="4"/>
      <c r="E54" s="4"/>
      <c r="F54" s="4"/>
      <c r="G54" s="4"/>
      <c r="H54" s="4"/>
      <c r="I54" s="4"/>
      <c r="J54" s="4"/>
      <c r="K54" s="4">
        <f t="shared" ref="K54:T54" si="221">SUM(K47:K53)</f>
        <v>321195</v>
      </c>
      <c r="L54" s="4">
        <f t="shared" si="221"/>
        <v>323077</v>
      </c>
      <c r="M54" s="4">
        <f t="shared" si="221"/>
        <v>360319</v>
      </c>
      <c r="N54" s="4">
        <f t="shared" si="221"/>
        <v>382406</v>
      </c>
      <c r="O54" s="4">
        <f t="shared" si="221"/>
        <v>420549</v>
      </c>
      <c r="P54" s="4">
        <f t="shared" si="221"/>
        <v>410767</v>
      </c>
      <c r="Q54" s="4">
        <f t="shared" si="221"/>
        <v>419728</v>
      </c>
      <c r="R54" s="4">
        <f t="shared" si="221"/>
        <v>428362</v>
      </c>
      <c r="S54" s="4">
        <f t="shared" si="221"/>
        <v>462675</v>
      </c>
      <c r="T54" s="4">
        <f t="shared" si="221"/>
        <v>464378</v>
      </c>
    </row>
    <row r="56" spans="2:20" s="2" customFormat="1" x14ac:dyDescent="0.2">
      <c r="B56" s="2" t="s">
        <v>71</v>
      </c>
      <c r="C56" s="4"/>
      <c r="D56" s="4"/>
      <c r="E56" s="4"/>
      <c r="F56" s="4"/>
      <c r="G56" s="4"/>
      <c r="H56" s="4"/>
      <c r="I56" s="4"/>
      <c r="J56" s="4"/>
      <c r="K56" s="4">
        <v>72539</v>
      </c>
      <c r="L56" s="4">
        <v>63926</v>
      </c>
      <c r="M56" s="4">
        <v>66090</v>
      </c>
      <c r="N56" s="4">
        <v>71474</v>
      </c>
      <c r="O56" s="4">
        <v>78664</v>
      </c>
      <c r="P56" s="4">
        <v>68547</v>
      </c>
      <c r="Q56" s="4">
        <v>71219</v>
      </c>
      <c r="R56" s="4">
        <v>67760</v>
      </c>
      <c r="S56" s="4">
        <v>79600</v>
      </c>
      <c r="T56" s="2">
        <v>66907</v>
      </c>
    </row>
    <row r="57" spans="2:20" s="2" customFormat="1" x14ac:dyDescent="0.2">
      <c r="B57" s="2" t="s">
        <v>72</v>
      </c>
      <c r="C57" s="4"/>
      <c r="D57" s="4"/>
      <c r="E57" s="4"/>
      <c r="F57" s="4"/>
      <c r="G57" s="4"/>
      <c r="H57" s="4"/>
      <c r="I57" s="4"/>
      <c r="J57" s="4"/>
      <c r="K57" s="4">
        <v>44138</v>
      </c>
      <c r="L57" s="4">
        <v>40939</v>
      </c>
      <c r="M57" s="4">
        <v>41007</v>
      </c>
      <c r="N57" s="4">
        <v>41546</v>
      </c>
      <c r="O57" s="4">
        <v>51775</v>
      </c>
      <c r="P57" s="4">
        <v>58141</v>
      </c>
      <c r="Q57" s="4">
        <v>56254</v>
      </c>
      <c r="R57" s="4">
        <v>59974</v>
      </c>
      <c r="S57" s="4">
        <v>62566</v>
      </c>
      <c r="T57" s="2">
        <v>66382</v>
      </c>
    </row>
    <row r="58" spans="2:20" s="2" customFormat="1" x14ac:dyDescent="0.2">
      <c r="B58" s="2" t="s">
        <v>73</v>
      </c>
      <c r="C58" s="4"/>
      <c r="D58" s="4"/>
      <c r="E58" s="4"/>
      <c r="F58" s="4"/>
      <c r="G58" s="4"/>
      <c r="H58" s="4"/>
      <c r="I58" s="4"/>
      <c r="J58" s="4"/>
      <c r="K58" s="4">
        <v>9708</v>
      </c>
      <c r="L58" s="4">
        <v>10539</v>
      </c>
      <c r="M58" s="4">
        <v>10695</v>
      </c>
      <c r="N58" s="4">
        <v>10974</v>
      </c>
      <c r="O58" s="4">
        <v>11827</v>
      </c>
      <c r="P58" s="4">
        <v>12820</v>
      </c>
      <c r="Q58" s="4">
        <v>12818</v>
      </c>
      <c r="R58" s="4">
        <v>12629</v>
      </c>
      <c r="S58" s="4">
        <v>13227</v>
      </c>
      <c r="T58" s="2">
        <v>14281</v>
      </c>
    </row>
    <row r="59" spans="2:20" s="2" customFormat="1" x14ac:dyDescent="0.2">
      <c r="B59" s="2" t="s">
        <v>66</v>
      </c>
      <c r="C59" s="4"/>
      <c r="D59" s="4"/>
      <c r="E59" s="4"/>
      <c r="F59" s="4"/>
      <c r="G59" s="4"/>
      <c r="H59" s="4"/>
      <c r="I59" s="4"/>
      <c r="J59" s="4"/>
      <c r="K59" s="4">
        <v>52573</v>
      </c>
      <c r="L59" s="4">
        <v>53067</v>
      </c>
      <c r="M59" s="4">
        <v>56297</v>
      </c>
      <c r="N59" s="4">
        <v>63848</v>
      </c>
      <c r="O59" s="4">
        <v>67651</v>
      </c>
      <c r="P59" s="4">
        <v>65731</v>
      </c>
      <c r="Q59" s="4">
        <v>66524</v>
      </c>
      <c r="R59" s="4">
        <v>69332</v>
      </c>
      <c r="S59" s="4">
        <v>72968</v>
      </c>
      <c r="T59" s="2">
        <v>74267</v>
      </c>
    </row>
    <row r="60" spans="2:20" s="2" customFormat="1" x14ac:dyDescent="0.2">
      <c r="B60" s="2" t="s">
        <v>5</v>
      </c>
      <c r="C60" s="4"/>
      <c r="D60" s="4"/>
      <c r="E60" s="4"/>
      <c r="F60" s="4"/>
      <c r="G60" s="4"/>
      <c r="H60" s="4"/>
      <c r="I60" s="4"/>
      <c r="J60" s="4"/>
      <c r="K60" s="4">
        <v>31816</v>
      </c>
      <c r="L60" s="4">
        <v>31868</v>
      </c>
      <c r="M60" s="4">
        <v>50279</v>
      </c>
      <c r="N60" s="4">
        <v>50055</v>
      </c>
      <c r="O60" s="4">
        <v>48744</v>
      </c>
      <c r="P60" s="4">
        <v>47556</v>
      </c>
      <c r="Q60" s="4">
        <v>58053</v>
      </c>
      <c r="R60" s="4">
        <v>58919</v>
      </c>
      <c r="S60" s="4">
        <v>67150</v>
      </c>
      <c r="T60" s="2">
        <v>67084</v>
      </c>
    </row>
    <row r="61" spans="2:20" s="2" customFormat="1" x14ac:dyDescent="0.2">
      <c r="B61" s="2" t="s">
        <v>74</v>
      </c>
      <c r="C61" s="4"/>
      <c r="D61" s="4"/>
      <c r="E61" s="4"/>
      <c r="F61" s="4"/>
      <c r="G61" s="4"/>
      <c r="H61" s="4"/>
      <c r="I61" s="4"/>
      <c r="J61" s="4"/>
      <c r="K61" s="4">
        <v>17017</v>
      </c>
      <c r="L61" s="4">
        <v>19418</v>
      </c>
      <c r="M61" s="4">
        <v>21148</v>
      </c>
      <c r="N61" s="4">
        <v>23945</v>
      </c>
      <c r="O61" s="4">
        <v>23643</v>
      </c>
      <c r="P61" s="4">
        <v>23971</v>
      </c>
      <c r="Q61" s="4">
        <v>23458</v>
      </c>
      <c r="R61" s="4">
        <v>22259</v>
      </c>
      <c r="S61" s="4">
        <v>21121</v>
      </c>
      <c r="T61" s="2">
        <v>20931</v>
      </c>
    </row>
    <row r="62" spans="2:20" s="2" customFormat="1" x14ac:dyDescent="0.2">
      <c r="B62" s="2" t="s">
        <v>70</v>
      </c>
      <c r="C62" s="4"/>
      <c r="D62" s="4"/>
      <c r="E62" s="4"/>
      <c r="F62" s="4"/>
      <c r="G62" s="4"/>
      <c r="H62" s="4"/>
      <c r="I62" s="4"/>
      <c r="J62" s="4"/>
      <c r="K62" s="4">
        <v>93404</v>
      </c>
      <c r="L62" s="4">
        <v>103320</v>
      </c>
      <c r="M62" s="4">
        <v>114803</v>
      </c>
      <c r="N62" s="4">
        <v>120564</v>
      </c>
      <c r="O62" s="4">
        <v>138245</v>
      </c>
      <c r="P62" s="4">
        <v>134001</v>
      </c>
      <c r="Q62" s="4">
        <v>131402</v>
      </c>
      <c r="R62" s="4">
        <v>137489</v>
      </c>
      <c r="S62" s="4">
        <v>146043</v>
      </c>
      <c r="T62" s="2">
        <v>154526</v>
      </c>
    </row>
    <row r="63" spans="2:20" s="2" customFormat="1" x14ac:dyDescent="0.2">
      <c r="B63" s="2" t="s">
        <v>69</v>
      </c>
      <c r="C63" s="4"/>
      <c r="D63" s="4"/>
      <c r="E63" s="4"/>
      <c r="F63" s="4"/>
      <c r="G63" s="4"/>
      <c r="H63" s="4"/>
      <c r="I63" s="4"/>
      <c r="J63" s="4"/>
      <c r="K63" s="4">
        <f t="shared" ref="K63:T63" si="222">SUM(K56:K62)</f>
        <v>321195</v>
      </c>
      <c r="L63" s="4">
        <f t="shared" si="222"/>
        <v>323077</v>
      </c>
      <c r="M63" s="4">
        <f t="shared" si="222"/>
        <v>360319</v>
      </c>
      <c r="N63" s="4">
        <f t="shared" si="222"/>
        <v>382406</v>
      </c>
      <c r="O63" s="4">
        <f t="shared" si="222"/>
        <v>420549</v>
      </c>
      <c r="P63" s="4">
        <f t="shared" si="222"/>
        <v>410767</v>
      </c>
      <c r="Q63" s="4">
        <f t="shared" si="222"/>
        <v>419728</v>
      </c>
      <c r="R63" s="4">
        <f t="shared" si="222"/>
        <v>428362</v>
      </c>
      <c r="S63" s="4">
        <f t="shared" si="222"/>
        <v>462675</v>
      </c>
      <c r="T63" s="4">
        <f t="shared" si="222"/>
        <v>464378</v>
      </c>
    </row>
    <row r="65" spans="2:34" s="2" customFormat="1" x14ac:dyDescent="0.2">
      <c r="B65" s="2" t="s">
        <v>84</v>
      </c>
      <c r="C65" s="4"/>
      <c r="D65" s="4"/>
      <c r="E65" s="4"/>
      <c r="F65" s="4"/>
      <c r="G65" s="4"/>
      <c r="H65" s="4"/>
      <c r="I65" s="4"/>
      <c r="J65" s="4"/>
      <c r="K65" s="4">
        <f t="shared" ref="K65:O65" si="223">+K32</f>
        <v>7222</v>
      </c>
      <c r="L65" s="4">
        <f t="shared" si="223"/>
        <v>8107</v>
      </c>
      <c r="M65" s="4">
        <f t="shared" si="223"/>
        <v>7778</v>
      </c>
      <c r="N65" s="4">
        <f t="shared" si="223"/>
        <v>3156</v>
      </c>
      <c r="O65" s="4">
        <f t="shared" si="223"/>
        <v>14323</v>
      </c>
      <c r="P65" s="4">
        <f>+P32</f>
        <v>-3844</v>
      </c>
      <c r="Q65" s="4">
        <f>+Q32</f>
        <v>2982</v>
      </c>
      <c r="R65" s="4">
        <f>+R32</f>
        <v>2872</v>
      </c>
      <c r="S65" s="4">
        <f>+S32</f>
        <v>3247</v>
      </c>
      <c r="T65" s="4">
        <f>+T32</f>
        <v>3172</v>
      </c>
    </row>
    <row r="66" spans="2:34" s="2" customFormat="1" x14ac:dyDescent="0.2">
      <c r="B66" s="2" t="s">
        <v>85</v>
      </c>
      <c r="C66" s="4"/>
      <c r="D66" s="4"/>
      <c r="E66" s="4"/>
      <c r="F66" s="4"/>
      <c r="G66" s="4"/>
      <c r="H66" s="4"/>
      <c r="I66" s="4"/>
      <c r="J66" s="4"/>
      <c r="K66" s="4">
        <v>7222</v>
      </c>
      <c r="L66" s="4">
        <v>8107</v>
      </c>
      <c r="M66" s="4">
        <v>7778</v>
      </c>
      <c r="N66" s="4">
        <v>3156</v>
      </c>
      <c r="O66" s="4">
        <v>14323</v>
      </c>
      <c r="P66" s="4">
        <v>-3844</v>
      </c>
      <c r="Q66" s="4">
        <v>-2028</v>
      </c>
      <c r="R66" s="4">
        <v>2872</v>
      </c>
      <c r="S66" s="4">
        <v>278</v>
      </c>
      <c r="T66" s="4">
        <v>3172</v>
      </c>
    </row>
    <row r="67" spans="2:34" s="2" customFormat="1" x14ac:dyDescent="0.2">
      <c r="B67" s="2" t="s">
        <v>88</v>
      </c>
      <c r="C67" s="4"/>
      <c r="D67" s="4"/>
      <c r="E67" s="4"/>
      <c r="F67" s="4"/>
      <c r="G67" s="4"/>
      <c r="H67" s="4"/>
      <c r="I67" s="4"/>
      <c r="J67" s="4"/>
      <c r="K67" s="4">
        <v>7618</v>
      </c>
      <c r="L67" s="4">
        <v>7508</v>
      </c>
      <c r="M67" s="4">
        <v>8038</v>
      </c>
      <c r="N67" s="4">
        <v>8948</v>
      </c>
      <c r="O67" s="4">
        <v>9802</v>
      </c>
      <c r="P67" s="4">
        <v>8978</v>
      </c>
      <c r="Q67" s="4">
        <v>9594</v>
      </c>
      <c r="R67" s="4">
        <v>10204</v>
      </c>
      <c r="S67" s="4">
        <v>12685</v>
      </c>
      <c r="T67" s="2">
        <v>11123</v>
      </c>
    </row>
    <row r="68" spans="2:34" s="2" customFormat="1" x14ac:dyDescent="0.2">
      <c r="B68" s="2" t="s">
        <v>89</v>
      </c>
      <c r="C68" s="4"/>
      <c r="D68" s="4"/>
      <c r="E68" s="4"/>
      <c r="F68" s="4"/>
      <c r="G68" s="4"/>
      <c r="H68" s="4"/>
      <c r="I68" s="4"/>
      <c r="J68" s="4"/>
      <c r="K68" s="4">
        <v>2562</v>
      </c>
      <c r="L68" s="4">
        <v>2306</v>
      </c>
      <c r="M68" s="4">
        <v>3591</v>
      </c>
      <c r="N68" s="4">
        <v>3180</v>
      </c>
      <c r="O68" s="4">
        <v>3680</v>
      </c>
      <c r="P68" s="4">
        <v>3250</v>
      </c>
      <c r="Q68" s="4">
        <v>5209</v>
      </c>
      <c r="R68" s="4">
        <v>5556</v>
      </c>
      <c r="S68" s="4">
        <v>5606</v>
      </c>
      <c r="T68" s="2">
        <v>4748</v>
      </c>
    </row>
    <row r="69" spans="2:34" s="2" customFormat="1" x14ac:dyDescent="0.2">
      <c r="B69" s="2" t="s">
        <v>45</v>
      </c>
      <c r="C69" s="4"/>
      <c r="D69" s="4"/>
      <c r="E69" s="4"/>
      <c r="F69" s="4"/>
      <c r="G69" s="4"/>
      <c r="H69" s="4"/>
      <c r="I69" s="4"/>
      <c r="J69" s="4"/>
      <c r="K69" s="4">
        <v>-487</v>
      </c>
      <c r="L69" s="4">
        <v>30</v>
      </c>
      <c r="M69" s="4">
        <v>18</v>
      </c>
      <c r="N69" s="4">
        <v>24</v>
      </c>
      <c r="O69" s="4">
        <v>65</v>
      </c>
      <c r="P69" s="4">
        <v>215</v>
      </c>
      <c r="Q69" s="4">
        <v>122</v>
      </c>
      <c r="R69" s="4">
        <v>123</v>
      </c>
      <c r="S69" s="4">
        <v>3445</v>
      </c>
      <c r="T69" s="2">
        <v>534</v>
      </c>
    </row>
    <row r="70" spans="2:34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>
        <v>-1327</v>
      </c>
      <c r="L70" s="4">
        <v>-1456</v>
      </c>
      <c r="M70" s="4">
        <v>-1258</v>
      </c>
      <c r="N70" s="4">
        <v>340</v>
      </c>
      <c r="O70" s="4">
        <v>-11932</v>
      </c>
      <c r="P70" s="4">
        <v>8689</v>
      </c>
      <c r="Q70" s="4">
        <v>6104</v>
      </c>
      <c r="R70" s="4">
        <v>-1272</v>
      </c>
      <c r="S70" s="4">
        <v>0</v>
      </c>
      <c r="T70" s="2">
        <v>0</v>
      </c>
    </row>
    <row r="71" spans="2:34" s="2" customFormat="1" x14ac:dyDescent="0.2">
      <c r="B71" s="2" t="s">
        <v>90</v>
      </c>
      <c r="C71" s="4"/>
      <c r="D71" s="4"/>
      <c r="E71" s="4"/>
      <c r="F71" s="4"/>
      <c r="G71" s="4"/>
      <c r="H71" s="4"/>
      <c r="I71" s="4"/>
      <c r="J71" s="4"/>
      <c r="K71" s="4">
        <v>-1636</v>
      </c>
      <c r="L71" s="4">
        <v>1703</v>
      </c>
      <c r="M71" s="4">
        <v>701</v>
      </c>
      <c r="N71" s="4">
        <v>909</v>
      </c>
      <c r="O71" s="4">
        <v>-3623</v>
      </c>
      <c r="P71" s="4">
        <v>-2001</v>
      </c>
      <c r="Q71" s="4">
        <v>-1955</v>
      </c>
      <c r="R71" s="4">
        <v>-825</v>
      </c>
      <c r="S71" s="4">
        <v>-3367</v>
      </c>
      <c r="T71" s="2">
        <v>-472</v>
      </c>
    </row>
    <row r="72" spans="2:34" s="2" customFormat="1" x14ac:dyDescent="0.2">
      <c r="B72" s="2" t="s">
        <v>87</v>
      </c>
      <c r="C72" s="4"/>
      <c r="D72" s="4"/>
      <c r="E72" s="4"/>
      <c r="F72" s="4"/>
      <c r="G72" s="4"/>
      <c r="H72" s="4"/>
      <c r="I72" s="4"/>
      <c r="J72" s="4"/>
      <c r="K72" s="4">
        <f>329-4560+13249+7127+333</f>
        <v>16478</v>
      </c>
      <c r="L72" s="4">
        <f>-304-2255-8266-4060+900</f>
        <v>-13985</v>
      </c>
      <c r="M72" s="4">
        <f>-209-4462+47-1685+156</f>
        <v>-6153</v>
      </c>
      <c r="N72" s="4">
        <f>-7059-4890+3832-1465+338</f>
        <v>-9244</v>
      </c>
      <c r="O72" s="4">
        <f>-1915-6556+7989+9333+920</f>
        <v>9771</v>
      </c>
      <c r="P72" s="4">
        <f>-2614-1516-9380-5903+1336</f>
        <v>-18077</v>
      </c>
      <c r="Q72" s="4">
        <f>-3890-6799+3699-1412+321</f>
        <v>-8081</v>
      </c>
      <c r="R72" s="4">
        <f>732-4794-1226-20+54</f>
        <v>-5254</v>
      </c>
      <c r="S72" s="4">
        <f>3180-8788+9852+5777+505</f>
        <v>10526</v>
      </c>
      <c r="T72" s="2">
        <f>371+1521-11264-5763+818</f>
        <v>-14317</v>
      </c>
    </row>
    <row r="73" spans="2:34" s="2" customFormat="1" x14ac:dyDescent="0.2">
      <c r="B73" s="2" t="s">
        <v>86</v>
      </c>
      <c r="C73" s="4"/>
      <c r="D73" s="4"/>
      <c r="E73" s="4"/>
      <c r="F73" s="4"/>
      <c r="G73" s="4"/>
      <c r="H73" s="4"/>
      <c r="I73" s="4"/>
      <c r="J73" s="4"/>
      <c r="K73" s="4">
        <f t="shared" ref="K73:T73" si="224">SUM(K66:K72)</f>
        <v>30430</v>
      </c>
      <c r="L73" s="4">
        <f t="shared" si="224"/>
        <v>4213</v>
      </c>
      <c r="M73" s="4">
        <f t="shared" si="224"/>
        <v>12715</v>
      </c>
      <c r="N73" s="4">
        <f t="shared" si="224"/>
        <v>7313</v>
      </c>
      <c r="O73" s="4">
        <f t="shared" si="224"/>
        <v>22086</v>
      </c>
      <c r="P73" s="4">
        <f t="shared" si="224"/>
        <v>-2790</v>
      </c>
      <c r="Q73" s="4">
        <f t="shared" si="224"/>
        <v>8965</v>
      </c>
      <c r="R73" s="4">
        <f t="shared" si="224"/>
        <v>11404</v>
      </c>
      <c r="S73" s="4">
        <f t="shared" si="224"/>
        <v>29173</v>
      </c>
      <c r="T73" s="4">
        <f t="shared" si="224"/>
        <v>4788</v>
      </c>
      <c r="AF73" s="2">
        <v>-119.782</v>
      </c>
      <c r="AG73" s="2">
        <v>174.291</v>
      </c>
      <c r="AH73" s="2">
        <v>392.02199999999999</v>
      </c>
    </row>
    <row r="74" spans="2:34" s="2" customFormat="1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2:34" s="2" customFormat="1" x14ac:dyDescent="0.2">
      <c r="B75" s="2" t="s">
        <v>91</v>
      </c>
      <c r="C75" s="4"/>
      <c r="D75" s="4"/>
      <c r="E75" s="4"/>
      <c r="F75" s="4"/>
      <c r="G75" s="4"/>
      <c r="H75" s="4"/>
      <c r="I75" s="4"/>
      <c r="J75" s="4"/>
      <c r="K75" s="4">
        <v>-14824</v>
      </c>
      <c r="L75" s="4">
        <v>-12082</v>
      </c>
      <c r="M75" s="4">
        <v>-14288</v>
      </c>
      <c r="N75" s="4">
        <v>-15748</v>
      </c>
      <c r="O75" s="4">
        <v>-18935</v>
      </c>
      <c r="P75" s="4">
        <v>-14951</v>
      </c>
      <c r="Q75" s="4">
        <v>-15724</v>
      </c>
      <c r="R75" s="4">
        <v>-16378</v>
      </c>
      <c r="S75" s="4">
        <v>-16592</v>
      </c>
      <c r="T75" s="2">
        <v>-14207</v>
      </c>
    </row>
    <row r="76" spans="2:34" s="2" customFormat="1" x14ac:dyDescent="0.2">
      <c r="B76" s="2" t="s">
        <v>93</v>
      </c>
      <c r="C76" s="4"/>
      <c r="D76" s="4"/>
      <c r="E76" s="4"/>
      <c r="F76" s="4"/>
      <c r="G76" s="4"/>
      <c r="H76" s="4"/>
      <c r="I76" s="4"/>
      <c r="J76" s="4"/>
      <c r="K76" s="4">
        <v>1629</v>
      </c>
      <c r="L76" s="4">
        <v>895</v>
      </c>
      <c r="M76" s="4">
        <v>1300</v>
      </c>
      <c r="N76" s="4">
        <v>997</v>
      </c>
      <c r="O76" s="4">
        <v>2465</v>
      </c>
      <c r="P76" s="4">
        <v>1209</v>
      </c>
      <c r="Q76" s="4">
        <v>1626</v>
      </c>
      <c r="R76" s="4">
        <v>1337</v>
      </c>
      <c r="S76" s="4">
        <v>1152</v>
      </c>
      <c r="T76" s="2">
        <v>1137</v>
      </c>
    </row>
    <row r="77" spans="2:34" s="2" customFormat="1" x14ac:dyDescent="0.2">
      <c r="B77" s="2" t="s">
        <v>94</v>
      </c>
      <c r="C77" s="4"/>
      <c r="D77" s="4"/>
      <c r="E77" s="4"/>
      <c r="F77" s="4"/>
      <c r="G77" s="4"/>
      <c r="H77" s="4"/>
      <c r="I77" s="4"/>
      <c r="J77" s="4"/>
      <c r="K77" s="4">
        <v>-380</v>
      </c>
      <c r="L77" s="4">
        <v>-630</v>
      </c>
      <c r="M77" s="4">
        <v>-320</v>
      </c>
      <c r="N77" s="4">
        <v>-654</v>
      </c>
      <c r="O77" s="4">
        <v>-381</v>
      </c>
      <c r="P77" s="4">
        <v>-6341</v>
      </c>
      <c r="Q77" s="4">
        <v>-259</v>
      </c>
      <c r="R77" s="4">
        <v>-885</v>
      </c>
      <c r="S77" s="4">
        <v>-831</v>
      </c>
      <c r="T77" s="2">
        <v>-3513</v>
      </c>
    </row>
    <row r="78" spans="2:34" s="2" customFormat="1" x14ac:dyDescent="0.2">
      <c r="B78" s="2" t="s">
        <v>95</v>
      </c>
      <c r="C78" s="4"/>
      <c r="D78" s="4"/>
      <c r="E78" s="4"/>
      <c r="F78" s="4"/>
      <c r="G78" s="4"/>
      <c r="H78" s="4"/>
      <c r="I78" s="4"/>
      <c r="J78" s="4"/>
      <c r="K78" s="4">
        <f>17338-20801</f>
        <v>-3463</v>
      </c>
      <c r="L78" s="4">
        <f>17826-14675</f>
        <v>3151</v>
      </c>
      <c r="M78" s="4">
        <f>13213-21985</f>
        <v>-8772</v>
      </c>
      <c r="N78" s="4">
        <f>15808-15231</f>
        <v>577</v>
      </c>
      <c r="O78" s="4">
        <f>12537-8266</f>
        <v>4271</v>
      </c>
      <c r="P78" s="4">
        <f>22753-1764</f>
        <v>20989</v>
      </c>
      <c r="Q78" s="4">
        <f>2608-329</f>
        <v>2279</v>
      </c>
      <c r="R78" s="4">
        <f>557-239</f>
        <v>318</v>
      </c>
      <c r="S78" s="4">
        <f>5683-233</f>
        <v>5450</v>
      </c>
      <c r="T78" s="2">
        <f>1115-338</f>
        <v>777</v>
      </c>
    </row>
    <row r="79" spans="2:34" s="2" customFormat="1" x14ac:dyDescent="0.2">
      <c r="B79" s="2" t="s">
        <v>92</v>
      </c>
      <c r="C79" s="4"/>
      <c r="D79" s="4"/>
      <c r="E79" s="4"/>
      <c r="F79" s="4"/>
      <c r="G79" s="4"/>
      <c r="H79" s="4"/>
      <c r="I79" s="4"/>
      <c r="J79" s="4"/>
      <c r="K79" s="4">
        <f t="shared" ref="K79:T79" si="225">SUM(K75:K78)</f>
        <v>-17038</v>
      </c>
      <c r="L79" s="4">
        <f t="shared" si="225"/>
        <v>-8666</v>
      </c>
      <c r="M79" s="4">
        <f t="shared" si="225"/>
        <v>-22080</v>
      </c>
      <c r="N79" s="4">
        <f t="shared" si="225"/>
        <v>-14828</v>
      </c>
      <c r="O79" s="4">
        <f t="shared" si="225"/>
        <v>-12580</v>
      </c>
      <c r="P79" s="4">
        <f t="shared" si="225"/>
        <v>906</v>
      </c>
      <c r="Q79" s="4">
        <f t="shared" si="225"/>
        <v>-12078</v>
      </c>
      <c r="R79" s="4">
        <f t="shared" si="225"/>
        <v>-15608</v>
      </c>
      <c r="S79" s="4">
        <f t="shared" si="225"/>
        <v>-10821</v>
      </c>
      <c r="T79" s="4">
        <f t="shared" si="225"/>
        <v>-15806</v>
      </c>
    </row>
    <row r="80" spans="2:34" s="2" customFormat="1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2:29" s="2" customFormat="1" x14ac:dyDescent="0.2">
      <c r="B81" s="2" t="s">
        <v>97</v>
      </c>
      <c r="C81" s="4"/>
      <c r="D81" s="4"/>
      <c r="E81" s="4"/>
      <c r="F81" s="4"/>
      <c r="G81" s="4"/>
      <c r="H81" s="4"/>
      <c r="I81" s="4"/>
      <c r="J81" s="4"/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-2666</v>
      </c>
      <c r="Q81" s="4">
        <v>-3334</v>
      </c>
      <c r="R81" s="4">
        <v>0</v>
      </c>
      <c r="S81" s="4">
        <v>0</v>
      </c>
      <c r="T81" s="2">
        <v>0</v>
      </c>
    </row>
    <row r="82" spans="2:29" s="2" customFormat="1" x14ac:dyDescent="0.2">
      <c r="B82" s="2" t="s">
        <v>5</v>
      </c>
      <c r="C82" s="4"/>
      <c r="D82" s="4"/>
      <c r="E82" s="4"/>
      <c r="F82" s="4"/>
      <c r="G82" s="4"/>
      <c r="H82" s="4"/>
      <c r="I82" s="4"/>
      <c r="J82" s="4"/>
      <c r="K82" s="4">
        <f>2434-2291+531-113-2368-9</f>
        <v>-1816</v>
      </c>
      <c r="L82" s="4">
        <f>1926-2001+111-39-3406-67</f>
        <v>-3476</v>
      </c>
      <c r="M82" s="4">
        <f>18516-41-2804-28</f>
        <v>15643</v>
      </c>
      <c r="N82" s="4">
        <f>2187-1917+176-509-2693-20</f>
        <v>-2776</v>
      </c>
      <c r="O82" s="4">
        <f>2667-2659+200-1001-2260-47</f>
        <v>-3100</v>
      </c>
      <c r="P82" s="4">
        <f>13743-6231-2777-79</f>
        <v>4656</v>
      </c>
      <c r="Q82" s="4">
        <f>4865-7610+12824-1-2059-59</f>
        <v>7960</v>
      </c>
      <c r="R82" s="4">
        <f>12338-7916+107-1465-48</f>
        <v>3016</v>
      </c>
      <c r="S82" s="4">
        <f>10607-15797+8235-1257-1640-62</f>
        <v>86</v>
      </c>
      <c r="T82" s="2">
        <f>12780-3603-1386-1380-57</f>
        <v>6354</v>
      </c>
    </row>
    <row r="83" spans="2:29" s="2" customFormat="1" x14ac:dyDescent="0.2">
      <c r="B83" s="2" t="s">
        <v>96</v>
      </c>
      <c r="C83" s="4"/>
      <c r="D83" s="4"/>
      <c r="E83" s="4"/>
      <c r="F83" s="4"/>
      <c r="G83" s="4"/>
      <c r="H83" s="4"/>
      <c r="I83" s="4"/>
      <c r="J83" s="4"/>
      <c r="K83" s="4">
        <f t="shared" ref="K83:T83" si="226">SUM(K81:K82)</f>
        <v>-1816</v>
      </c>
      <c r="L83" s="4">
        <f t="shared" si="226"/>
        <v>-3476</v>
      </c>
      <c r="M83" s="4">
        <f t="shared" si="226"/>
        <v>15643</v>
      </c>
      <c r="N83" s="4">
        <f t="shared" si="226"/>
        <v>-2776</v>
      </c>
      <c r="O83" s="4">
        <f t="shared" si="226"/>
        <v>-3100</v>
      </c>
      <c r="P83" s="4">
        <f t="shared" si="226"/>
        <v>1990</v>
      </c>
      <c r="Q83" s="4">
        <f t="shared" si="226"/>
        <v>4626</v>
      </c>
      <c r="R83" s="4">
        <f t="shared" si="226"/>
        <v>3016</v>
      </c>
      <c r="S83" s="4">
        <f t="shared" si="226"/>
        <v>86</v>
      </c>
      <c r="T83" s="4">
        <f t="shared" si="226"/>
        <v>6354</v>
      </c>
    </row>
    <row r="84" spans="2:29" s="2" customFormat="1" x14ac:dyDescent="0.2">
      <c r="B84" s="2" t="s">
        <v>98</v>
      </c>
      <c r="C84" s="4"/>
      <c r="D84" s="4"/>
      <c r="E84" s="4"/>
      <c r="F84" s="4"/>
      <c r="G84" s="4"/>
      <c r="H84" s="4"/>
      <c r="I84" s="4"/>
      <c r="J84" s="4"/>
      <c r="K84" s="4">
        <v>599</v>
      </c>
      <c r="L84" s="4">
        <v>-293</v>
      </c>
      <c r="M84" s="4">
        <v>234</v>
      </c>
      <c r="N84" s="4">
        <v>-199</v>
      </c>
      <c r="O84" s="4">
        <v>-106</v>
      </c>
      <c r="P84" s="4">
        <v>16</v>
      </c>
      <c r="Q84" s="4">
        <v>-412</v>
      </c>
      <c r="R84" s="4">
        <v>-1334</v>
      </c>
      <c r="S84" s="4">
        <v>637</v>
      </c>
      <c r="T84" s="2">
        <v>145</v>
      </c>
    </row>
    <row r="85" spans="2:29" s="2" customFormat="1" x14ac:dyDescent="0.2">
      <c r="B85" s="2" t="s">
        <v>99</v>
      </c>
      <c r="C85" s="4"/>
      <c r="D85" s="4"/>
      <c r="E85" s="4"/>
      <c r="F85" s="4"/>
      <c r="G85" s="4"/>
      <c r="H85" s="4"/>
      <c r="I85" s="4"/>
      <c r="J85" s="4"/>
      <c r="K85" s="4">
        <f t="shared" ref="K85:T85" si="227">+K84+K83+K79+K73</f>
        <v>12175</v>
      </c>
      <c r="L85" s="4">
        <f t="shared" si="227"/>
        <v>-8222</v>
      </c>
      <c r="M85" s="4">
        <f t="shared" si="227"/>
        <v>6512</v>
      </c>
      <c r="N85" s="4">
        <f t="shared" si="227"/>
        <v>-10490</v>
      </c>
      <c r="O85" s="4">
        <f t="shared" si="227"/>
        <v>6300</v>
      </c>
      <c r="P85" s="4">
        <f t="shared" si="227"/>
        <v>122</v>
      </c>
      <c r="Q85" s="4">
        <f t="shared" si="227"/>
        <v>1101</v>
      </c>
      <c r="R85" s="4">
        <f t="shared" si="227"/>
        <v>-2522</v>
      </c>
      <c r="S85" s="4">
        <f t="shared" si="227"/>
        <v>19075</v>
      </c>
      <c r="T85" s="4">
        <f t="shared" si="227"/>
        <v>-4519</v>
      </c>
    </row>
    <row r="87" spans="2:29" s="2" customFormat="1" x14ac:dyDescent="0.2">
      <c r="B87" s="2" t="s">
        <v>46</v>
      </c>
      <c r="C87" s="4"/>
      <c r="D87" s="4"/>
      <c r="E87" s="4"/>
      <c r="F87" s="4"/>
      <c r="G87" s="4"/>
      <c r="H87" s="4"/>
      <c r="I87" s="4"/>
      <c r="J87" s="4"/>
      <c r="K87" s="4">
        <v>1298</v>
      </c>
      <c r="L87" s="4">
        <v>1271</v>
      </c>
      <c r="M87" s="4">
        <v>1335</v>
      </c>
      <c r="N87" s="4">
        <v>1468</v>
      </c>
      <c r="O87" s="4">
        <v>1608</v>
      </c>
      <c r="P87" s="4">
        <v>1622</v>
      </c>
      <c r="Q87" s="4">
        <v>1523</v>
      </c>
      <c r="R87" s="4">
        <v>1544</v>
      </c>
      <c r="S87" s="4">
        <v>1541</v>
      </c>
      <c r="T87" s="2">
        <v>1465</v>
      </c>
      <c r="AC87" s="2">
        <v>2.1</v>
      </c>
    </row>
    <row r="89" spans="2:29" s="2" customFormat="1" x14ac:dyDescent="0.2">
      <c r="B89" s="2" t="s">
        <v>81</v>
      </c>
      <c r="C89" s="4"/>
      <c r="D89" s="4"/>
      <c r="E89" s="4"/>
      <c r="F89" s="4"/>
      <c r="G89" s="4">
        <v>1900</v>
      </c>
      <c r="H89" s="4">
        <v>1312</v>
      </c>
      <c r="I89" s="4">
        <v>2141</v>
      </c>
      <c r="J89" s="4">
        <v>2252</v>
      </c>
      <c r="K89" s="4">
        <v>2946</v>
      </c>
      <c r="L89" s="4">
        <v>3450</v>
      </c>
      <c r="M89" s="4">
        <v>3147</v>
      </c>
      <c r="N89" s="4">
        <v>880</v>
      </c>
      <c r="O89" s="4">
        <v>-206</v>
      </c>
      <c r="P89" s="4">
        <v>-1568</v>
      </c>
      <c r="Q89" s="4">
        <v>-627</v>
      </c>
      <c r="R89" s="4">
        <v>-412</v>
      </c>
      <c r="S89" s="4">
        <v>-240</v>
      </c>
      <c r="T89" s="2">
        <v>898</v>
      </c>
    </row>
    <row r="90" spans="2:29" s="2" customFormat="1" x14ac:dyDescent="0.2">
      <c r="B90" s="2" t="s">
        <v>82</v>
      </c>
      <c r="C90" s="4"/>
      <c r="D90" s="4"/>
      <c r="E90" s="4"/>
      <c r="F90" s="4"/>
      <c r="G90" s="4">
        <v>-617</v>
      </c>
      <c r="H90" s="4">
        <v>-398</v>
      </c>
      <c r="I90" s="4">
        <v>345</v>
      </c>
      <c r="J90" s="4">
        <v>407</v>
      </c>
      <c r="K90" s="4">
        <v>363</v>
      </c>
      <c r="L90" s="4">
        <v>1252</v>
      </c>
      <c r="M90" s="4">
        <v>362</v>
      </c>
      <c r="N90" s="4">
        <v>-911</v>
      </c>
      <c r="O90" s="4">
        <v>-1627</v>
      </c>
      <c r="P90" s="4">
        <v>-1281</v>
      </c>
      <c r="Q90" s="4">
        <v>-1771</v>
      </c>
      <c r="R90" s="4">
        <v>-2466</v>
      </c>
      <c r="S90" s="4">
        <v>-2228</v>
      </c>
      <c r="T90" s="2">
        <v>-1247</v>
      </c>
    </row>
    <row r="91" spans="2:29" s="2" customFormat="1" x14ac:dyDescent="0.2">
      <c r="B91" s="2" t="s">
        <v>83</v>
      </c>
      <c r="C91" s="4"/>
      <c r="D91" s="4"/>
      <c r="E91" s="4"/>
      <c r="F91" s="4"/>
      <c r="G91" s="4">
        <v>2596</v>
      </c>
      <c r="H91" s="4">
        <v>3075</v>
      </c>
      <c r="I91" s="4">
        <v>3357</v>
      </c>
      <c r="J91" s="4">
        <v>3535</v>
      </c>
      <c r="K91" s="4">
        <v>3564</v>
      </c>
      <c r="L91" s="4">
        <v>4163</v>
      </c>
      <c r="M91" s="4">
        <v>4193</v>
      </c>
      <c r="N91" s="4">
        <v>4883</v>
      </c>
      <c r="O91" s="4">
        <v>5293</v>
      </c>
      <c r="P91" s="4">
        <v>6518</v>
      </c>
      <c r="Q91" s="4">
        <v>5715</v>
      </c>
      <c r="R91" s="4">
        <v>5403</v>
      </c>
      <c r="S91" s="4">
        <v>5205</v>
      </c>
      <c r="T91" s="2">
        <v>5123</v>
      </c>
    </row>
    <row r="93" spans="2:29" x14ac:dyDescent="0.2">
      <c r="B93" s="2" t="s">
        <v>102</v>
      </c>
      <c r="K93" s="4">
        <f>+K73+K75+K76</f>
        <v>17235</v>
      </c>
      <c r="L93" s="4">
        <f>+L73+L75+L76</f>
        <v>-6974</v>
      </c>
      <c r="M93" s="4">
        <f t="shared" ref="M93:S93" si="228">+M73+M75+M76</f>
        <v>-273</v>
      </c>
      <c r="N93" s="4">
        <f t="shared" si="228"/>
        <v>-7438</v>
      </c>
      <c r="O93" s="4">
        <f t="shared" si="228"/>
        <v>5616</v>
      </c>
      <c r="P93" s="4">
        <f t="shared" si="228"/>
        <v>-16532</v>
      </c>
      <c r="Q93" s="4">
        <f t="shared" si="228"/>
        <v>-5133</v>
      </c>
      <c r="R93" s="4">
        <f t="shared" si="228"/>
        <v>-3637</v>
      </c>
      <c r="S93" s="4">
        <f t="shared" si="228"/>
        <v>13733</v>
      </c>
      <c r="T93" s="4">
        <f>+T73+T75+T76</f>
        <v>-8282</v>
      </c>
    </row>
    <row r="94" spans="2:29" x14ac:dyDescent="0.2">
      <c r="B94" s="2" t="s">
        <v>107</v>
      </c>
      <c r="O94" s="2">
        <f>SUM(L93:O93)</f>
        <v>-9069</v>
      </c>
      <c r="P94" s="2">
        <f>SUM(M93:P93)</f>
        <v>-18627</v>
      </c>
      <c r="Q94" s="2">
        <f>SUM(N93:Q93)</f>
        <v>-23487</v>
      </c>
      <c r="R94" s="2">
        <f t="shared" ref="R94" si="229">SUM(O93:R93)</f>
        <v>-19686</v>
      </c>
      <c r="S94" s="2">
        <f>SUM(P93:S93)</f>
        <v>-11569</v>
      </c>
      <c r="T94" s="2">
        <f>SUM(Q93:T93)</f>
        <v>-3319</v>
      </c>
    </row>
    <row r="100" spans="2:30" x14ac:dyDescent="0.2">
      <c r="B100" t="s">
        <v>105</v>
      </c>
      <c r="AB100">
        <v>7.25</v>
      </c>
      <c r="AC100">
        <v>28.73</v>
      </c>
      <c r="AD100" s="1">
        <f>11495/AD34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2023-05-31T23:24:54Z</dcterms:modified>
</cp:coreProperties>
</file>