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31E6025-D680-4176-9110-CD011A3B3610}" xr6:coauthVersionLast="47" xr6:coauthVersionMax="47" xr10:uidLastSave="{00000000-0000-0000-0000-000000000000}"/>
  <bookViews>
    <workbookView xWindow="17235" yWindow="705" windowWidth="36330" windowHeight="19935" activeTab="2" xr2:uid="{4F5840C1-5FD8-4A3A-9BFB-E4B596159E87}"/>
  </bookViews>
  <sheets>
    <sheet name="Master" sheetId="3" r:id="rId1"/>
    <sheet name="Main" sheetId="1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3" i="2" l="1"/>
  <c r="Y43" i="2"/>
  <c r="W37" i="2"/>
  <c r="X37" i="2"/>
  <c r="Y37" i="2"/>
  <c r="Z32" i="2"/>
  <c r="Y32" i="2"/>
  <c r="Y30" i="2"/>
  <c r="Y26" i="2"/>
  <c r="J24" i="2"/>
  <c r="O19" i="2"/>
  <c r="M19" i="2"/>
  <c r="L19" i="2"/>
  <c r="K19" i="2"/>
  <c r="I19" i="2"/>
  <c r="Z5" i="2"/>
  <c r="N22" i="2"/>
  <c r="Z22" i="2" s="1"/>
  <c r="N23" i="2"/>
  <c r="Z23" i="2" s="1"/>
  <c r="Z30" i="2"/>
  <c r="Z21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4" i="2"/>
  <c r="Z3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O34" i="2"/>
  <c r="K34" i="2"/>
  <c r="O32" i="2"/>
  <c r="K32" i="2"/>
  <c r="N35" i="2"/>
  <c r="O30" i="2"/>
  <c r="K30" i="2"/>
  <c r="K26" i="2"/>
  <c r="O26" i="2"/>
  <c r="O37" i="2"/>
  <c r="I30" i="2"/>
  <c r="M30" i="2"/>
  <c r="I26" i="2"/>
  <c r="M26" i="2"/>
  <c r="H34" i="2"/>
  <c r="L34" i="2"/>
  <c r="H32" i="2"/>
  <c r="L32" i="2"/>
  <c r="H30" i="2"/>
  <c r="H26" i="2"/>
  <c r="L30" i="2"/>
  <c r="L26" i="2"/>
  <c r="L31" i="2" s="1"/>
  <c r="L33" i="2" s="1"/>
  <c r="J4" i="1"/>
  <c r="J7" i="1" s="1"/>
  <c r="N19" i="2" l="1"/>
  <c r="Y31" i="2"/>
  <c r="Y33" i="2" s="1"/>
  <c r="Y35" i="2" s="1"/>
  <c r="N24" i="2"/>
  <c r="O31" i="2"/>
  <c r="O33" i="2" s="1"/>
  <c r="L35" i="2"/>
  <c r="K31" i="2"/>
  <c r="K33" i="2" s="1"/>
  <c r="Z24" i="2"/>
  <c r="O35" i="2"/>
  <c r="K35" i="2"/>
  <c r="M31" i="2"/>
  <c r="M33" i="2" s="1"/>
  <c r="M35" i="2" s="1"/>
  <c r="I31" i="2"/>
  <c r="H31" i="2"/>
  <c r="H33" i="2" s="1"/>
  <c r="H35" i="2" s="1"/>
  <c r="Z26" i="2" l="1"/>
  <c r="Z31" i="2" s="1"/>
  <c r="Z33" i="2" s="1"/>
  <c r="Z35" i="2" s="1"/>
  <c r="Z37" i="2"/>
</calcChain>
</file>

<file path=xl/sharedStrings.xml><?xml version="1.0" encoding="utf-8"?>
<sst xmlns="http://schemas.openxmlformats.org/spreadsheetml/2006/main" count="165" uniqueCount="141">
  <si>
    <t>Price EUR</t>
  </si>
  <si>
    <t>Shares</t>
  </si>
  <si>
    <t>MC EUR</t>
  </si>
  <si>
    <t>Cash EUR</t>
  </si>
  <si>
    <t>Debt EUR</t>
  </si>
  <si>
    <t>EV EUR</t>
  </si>
  <si>
    <t>Q222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</si>
  <si>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</si>
  <si>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</si>
  <si>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</si>
  <si>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</si>
  <si>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</si>
  <si>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</si>
  <si>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</si>
  <si>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</si>
  <si>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</si>
  <si>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</si>
  <si>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</si>
  <si>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</si>
  <si>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Revenue</t>
  </si>
  <si>
    <t>Crop Science</t>
  </si>
  <si>
    <t>Pharma</t>
  </si>
  <si>
    <t>Xarelto</t>
  </si>
  <si>
    <t>Eylea</t>
  </si>
  <si>
    <t>Mirena/Kyleena/Jaydess</t>
  </si>
  <si>
    <t>Adalat</t>
  </si>
  <si>
    <t>Kogenate/Kovaltry/Jivi</t>
  </si>
  <si>
    <t>Yaz/Yasmin/Yasminelle</t>
  </si>
  <si>
    <t>Aspirin Cardio</t>
  </si>
  <si>
    <t>Adempas</t>
  </si>
  <si>
    <t>Stivarga</t>
  </si>
  <si>
    <t>Gadovist</t>
  </si>
  <si>
    <t>CT Fluid</t>
  </si>
  <si>
    <t>Ultravist</t>
  </si>
  <si>
    <t>Nubeqa</t>
  </si>
  <si>
    <t>Nexavar</t>
  </si>
  <si>
    <t>Betaferon</t>
  </si>
  <si>
    <t>Brand</t>
  </si>
  <si>
    <t>Xarelto (rivaroxaban)</t>
  </si>
  <si>
    <t>Indication</t>
  </si>
  <si>
    <t>VTE</t>
  </si>
  <si>
    <t>MOA</t>
  </si>
  <si>
    <t>Economics</t>
  </si>
  <si>
    <t>JNJ</t>
  </si>
  <si>
    <t>Approved</t>
  </si>
  <si>
    <t>IP</t>
  </si>
  <si>
    <t>Factor Xa</t>
  </si>
  <si>
    <t>Eylea (aflibercept)</t>
  </si>
  <si>
    <t>AMD</t>
  </si>
  <si>
    <t>VEGF</t>
  </si>
  <si>
    <t>REGN</t>
  </si>
  <si>
    <t>Mirena (intrauterine levonorgestrel)</t>
  </si>
  <si>
    <t>Birth Control</t>
  </si>
  <si>
    <t>Hormone</t>
  </si>
  <si>
    <t>Kyleena/Jaydess (intrauterine levonorgestrel)</t>
  </si>
  <si>
    <t>Adalat (nifedipine)</t>
  </si>
  <si>
    <t>CCB</t>
  </si>
  <si>
    <t>HTN</t>
  </si>
  <si>
    <t>Kogenate</t>
  </si>
  <si>
    <t>Consumer</t>
  </si>
  <si>
    <t>Pretax</t>
  </si>
  <si>
    <t>Interest</t>
  </si>
  <si>
    <t>Operating Income</t>
  </si>
  <si>
    <t>Operating Expenses</t>
  </si>
  <si>
    <t>G&amp;A</t>
  </si>
  <si>
    <t>R&amp;D</t>
  </si>
  <si>
    <t>S&amp;M</t>
  </si>
  <si>
    <t>Gross Profit</t>
  </si>
  <si>
    <t>COGS</t>
  </si>
  <si>
    <t>Net Income</t>
  </si>
  <si>
    <t>Taxes+MI</t>
  </si>
  <si>
    <t>Q123</t>
  </si>
  <si>
    <t>Q223</t>
  </si>
  <si>
    <t>Q323</t>
  </si>
  <si>
    <t>Q423</t>
  </si>
  <si>
    <t>Rev y/y</t>
  </si>
  <si>
    <t>Headcount</t>
  </si>
  <si>
    <t>Kerendia</t>
  </si>
  <si>
    <t>Adj rev y/y</t>
  </si>
  <si>
    <t>CEO: Werner Baumann</t>
  </si>
  <si>
    <t>AB-1005</t>
  </si>
  <si>
    <t>Parkinson's</t>
  </si>
  <si>
    <t>AAV2-GDNF</t>
  </si>
  <si>
    <t>ACTUS-101</t>
  </si>
  <si>
    <t>Pompe</t>
  </si>
  <si>
    <t>AB-1002</t>
  </si>
  <si>
    <t>CHF</t>
  </si>
  <si>
    <t>MSA</t>
  </si>
  <si>
    <t>bemdaneprocel</t>
  </si>
  <si>
    <t>BV-101</t>
  </si>
  <si>
    <t>Huntington's</t>
  </si>
  <si>
    <t>gene therapy</t>
  </si>
  <si>
    <t>LION-101</t>
  </si>
  <si>
    <t>LGMD 2I/R9</t>
  </si>
  <si>
    <t>adrenomedullin</t>
  </si>
  <si>
    <t>ARDS</t>
  </si>
  <si>
    <t>PEG-ADM</t>
  </si>
  <si>
    <t>asundexian</t>
  </si>
  <si>
    <t>MACE</t>
  </si>
  <si>
    <t>FXIa inhibitor</t>
  </si>
  <si>
    <t>gadoquatrane</t>
  </si>
  <si>
    <t>MRI</t>
  </si>
  <si>
    <t>contrast agent</t>
  </si>
  <si>
    <t>BAY 2395840</t>
  </si>
  <si>
    <t>BDKRB1 antagonist</t>
  </si>
  <si>
    <t>Neuropathic pain</t>
  </si>
  <si>
    <t>runcaciguat</t>
  </si>
  <si>
    <t>sGC activator</t>
  </si>
  <si>
    <t>CKD</t>
  </si>
  <si>
    <t>zabedosertib</t>
  </si>
  <si>
    <t>Atopic Dermatitis</t>
  </si>
  <si>
    <t>IRAK4</t>
  </si>
  <si>
    <t>Phase</t>
  </si>
  <si>
    <t>I</t>
  </si>
  <si>
    <t>II</t>
  </si>
  <si>
    <t>copanlisib</t>
  </si>
  <si>
    <t>NHL</t>
  </si>
  <si>
    <t>PI3K</t>
  </si>
  <si>
    <t>III</t>
  </si>
  <si>
    <t>elinzanetant</t>
  </si>
  <si>
    <t>Vasomotor Symptoms</t>
  </si>
  <si>
    <t>NK1/3 antagonist</t>
  </si>
  <si>
    <t>osocimab</t>
  </si>
  <si>
    <t>Factor Xia antibody</t>
  </si>
  <si>
    <t>fesomersen</t>
  </si>
  <si>
    <t>pecavaptan</t>
  </si>
  <si>
    <t>dual vasopressin receptor antagonist</t>
  </si>
  <si>
    <t>TSK inhibitor</t>
  </si>
  <si>
    <t>OSA</t>
  </si>
  <si>
    <t>Adempas (vericiguat)</t>
  </si>
  <si>
    <t>Vitrakvi (larotrectinib)</t>
  </si>
  <si>
    <t>Nubeqa (darolutamide)?</t>
  </si>
  <si>
    <t>Xofigo</t>
  </si>
  <si>
    <t>expired</t>
  </si>
  <si>
    <t>Verquvo</t>
  </si>
  <si>
    <t>Jivi</t>
  </si>
  <si>
    <t>Kerendia (finerenone)?</t>
  </si>
  <si>
    <t>Other Pharma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</si>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</sst>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1"/>
    <xf numFmtId="4" fontId="0" fillId="0" borderId="0" xfId="0" applyNumberFormat="1"/>
    <xf numFmtId="9" fontId="0" fillId="0" borderId="0" xfId="0" applyNumberFormat="1"/>
    <xf numFmtId="166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3" xfId="0" applyBorder="1"/>
    <xf numFmtId="0" fontId="0" fillId="0" borderId="0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13483</xdr:colOff>
      <xdr:row>0</xdr:row>
      <xdr:rowOff>53589</xdr:rowOff>
    </xdr:from>
    <xdr:to>
      <xdr:col>15</xdr:col>
      <xdr:colOff>13483</xdr:colOff>
      <xdr:row>47</xdr:row>
      <xdr:rowOff>33537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4A26BE-E3D3-939E-B86A-0CE41A975007}"/>
            </a:ext>
          </a:extLst>
        </xdr:cNvPr>
        <xdr:cNvCxnSpPr/>
      </xdr:nvCxnSpPr>
      <xdr:spPr>
        <a:xfrm>
          <a:off x="9512207" y="53589"/>
          <a:ext cx="0" cy="70415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41073</xdr:colOff>
      <xdr:row>0</xdr:row>
      <xdr:rowOff>0</xdr:rowOff>
    </xdr:from>
    <xdr:to>
      <xdr:col>26</xdr:col>
      <xdr:colOff>41073</xdr:colOff>
      <xdr:row>46</xdr:row>
      <xdr:rowOff>144172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39DC563-D692-4721-857C-4E89F7F4E7F2}"/>
            </a:ext>
          </a:extLst>
        </xdr:cNvPr>
        <xdr:cNvCxnSpPr/>
      </xdr:nvCxnSpPr>
      <xdr:spPr>
        <a:xfrm>
          <a:off x="16259849" y="0"/>
          <a:ext cx="0" cy="7205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5219-5909-48F7-A24F-6732DEAB715F}">
  <dimension ref="A1:D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" bestFit="1" customWidth="1"/>
    <col min="2" max="2" width="10.5703125" bestFit="1" customWidth="1"/>
  </cols>
  <sheetData>
    <row r="1" spans="1:4" x14ac:dyDescent="0.2">
      <c r="A1" t="s">
        <v>7</v>
      </c>
    </row>
    <row r="3" spans="1:4" x14ac:dyDescent="0.2">
      <c r="B3" t="s">
        <v>122</v>
      </c>
      <c r="C3" t="s">
        <v>123</v>
      </c>
    </row>
    <row r="4" spans="1:4" x14ac:dyDescent="0.2">
      <c r="B4" t="s">
        <v>124</v>
      </c>
    </row>
    <row r="5" spans="1:4" x14ac:dyDescent="0.2">
      <c r="B5" t="s">
        <v>125</v>
      </c>
      <c r="C5" t="s">
        <v>126</v>
      </c>
    </row>
    <row r="6" spans="1:4" x14ac:dyDescent="0.2">
      <c r="C6" t="s">
        <v>127</v>
      </c>
      <c r="D6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4CEA-5786-4247-B512-B6CB2BA9A4B4}">
  <dimension ref="B2:K33"/>
  <sheetViews>
    <sheetView zoomScale="130" zoomScaleNormal="130" workbookViewId="0">
      <selection activeCell="C11" sqref="C11"/>
    </sheetView>
  </sheetViews>
  <sheetFormatPr defaultRowHeight="12.75" x14ac:dyDescent="0.2"/>
  <cols>
    <col min="1" max="1" width="2.140625" customWidth="1"/>
    <col min="2" max="2" width="25.140625" customWidth="1"/>
    <col min="3" max="3" width="11.85546875" customWidth="1"/>
    <col min="4" max="4" width="11.5703125" bestFit="1" customWidth="1"/>
    <col min="5" max="5" width="11.42578125" customWidth="1"/>
    <col min="6" max="6" width="10" customWidth="1"/>
    <col min="9" max="9" width="10.140625" customWidth="1"/>
  </cols>
  <sheetData>
    <row r="2" spans="2:11" x14ac:dyDescent="0.2">
      <c r="B2" s="3" t="s">
        <v>37</v>
      </c>
      <c r="C2" s="4" t="s">
        <v>39</v>
      </c>
      <c r="D2" s="4" t="s">
        <v>41</v>
      </c>
      <c r="E2" s="10" t="s">
        <v>42</v>
      </c>
      <c r="F2" s="10" t="s">
        <v>44</v>
      </c>
      <c r="G2" s="11" t="s">
        <v>45</v>
      </c>
      <c r="I2" t="s">
        <v>0</v>
      </c>
      <c r="J2" s="17">
        <v>53</v>
      </c>
    </row>
    <row r="3" spans="2:11" x14ac:dyDescent="0.2">
      <c r="B3" s="5" t="s">
        <v>38</v>
      </c>
      <c r="C3" t="s">
        <v>40</v>
      </c>
      <c r="D3" t="s">
        <v>46</v>
      </c>
      <c r="E3" s="12" t="s">
        <v>43</v>
      </c>
      <c r="F3" s="12"/>
      <c r="G3" s="13">
        <v>2025</v>
      </c>
      <c r="I3" t="s">
        <v>1</v>
      </c>
      <c r="J3" s="1">
        <v>982.42</v>
      </c>
      <c r="K3" s="2" t="s">
        <v>71</v>
      </c>
    </row>
    <row r="4" spans="2:11" x14ac:dyDescent="0.2">
      <c r="B4" s="5" t="s">
        <v>47</v>
      </c>
      <c r="C4" t="s">
        <v>48</v>
      </c>
      <c r="D4" t="s">
        <v>49</v>
      </c>
      <c r="E4" s="12" t="s">
        <v>50</v>
      </c>
      <c r="F4" s="12"/>
      <c r="G4" s="13" t="s">
        <v>133</v>
      </c>
      <c r="I4" t="s">
        <v>2</v>
      </c>
      <c r="J4" s="1">
        <f>+J2*J3</f>
        <v>52068.259999999995</v>
      </c>
    </row>
    <row r="5" spans="2:11" x14ac:dyDescent="0.2">
      <c r="B5" s="5" t="s">
        <v>51</v>
      </c>
      <c r="C5" t="s">
        <v>52</v>
      </c>
      <c r="D5" t="s">
        <v>53</v>
      </c>
      <c r="E5" s="14">
        <v>1</v>
      </c>
      <c r="F5" s="15">
        <v>36866</v>
      </c>
      <c r="G5" s="13"/>
      <c r="I5" t="s">
        <v>3</v>
      </c>
      <c r="J5" s="1">
        <v>0</v>
      </c>
      <c r="K5" s="2" t="s">
        <v>71</v>
      </c>
    </row>
    <row r="6" spans="2:11" x14ac:dyDescent="0.2">
      <c r="B6" s="5" t="s">
        <v>54</v>
      </c>
      <c r="C6" t="s">
        <v>52</v>
      </c>
      <c r="D6" t="s">
        <v>53</v>
      </c>
      <c r="E6" s="14">
        <v>1</v>
      </c>
      <c r="F6" s="15">
        <v>42629</v>
      </c>
      <c r="G6" s="13"/>
      <c r="I6" t="s">
        <v>4</v>
      </c>
      <c r="J6" s="1">
        <v>36077</v>
      </c>
      <c r="K6" s="2" t="s">
        <v>71</v>
      </c>
    </row>
    <row r="7" spans="2:11" x14ac:dyDescent="0.2">
      <c r="B7" s="5" t="s">
        <v>55</v>
      </c>
      <c r="C7" t="s">
        <v>57</v>
      </c>
      <c r="D7" t="s">
        <v>56</v>
      </c>
      <c r="E7" s="12"/>
      <c r="F7" s="12"/>
      <c r="G7" s="13"/>
      <c r="I7" t="s">
        <v>5</v>
      </c>
      <c r="J7" s="1">
        <f>+J4-J5+J6</f>
        <v>88145.26</v>
      </c>
    </row>
    <row r="8" spans="2:11" x14ac:dyDescent="0.2">
      <c r="B8" s="5" t="s">
        <v>58</v>
      </c>
      <c r="G8" s="6"/>
    </row>
    <row r="9" spans="2:11" x14ac:dyDescent="0.2">
      <c r="B9" s="5" t="s">
        <v>131</v>
      </c>
      <c r="G9" s="6"/>
    </row>
    <row r="10" spans="2:11" x14ac:dyDescent="0.2">
      <c r="B10" s="5" t="s">
        <v>136</v>
      </c>
      <c r="G10" s="6"/>
      <c r="I10" t="s">
        <v>79</v>
      </c>
    </row>
    <row r="11" spans="2:11" x14ac:dyDescent="0.2">
      <c r="B11" s="5" t="s">
        <v>129</v>
      </c>
      <c r="G11" s="6"/>
    </row>
    <row r="12" spans="2:11" x14ac:dyDescent="0.2">
      <c r="B12" s="5" t="s">
        <v>130</v>
      </c>
      <c r="G12" s="6"/>
    </row>
    <row r="13" spans="2:11" x14ac:dyDescent="0.2">
      <c r="B13" s="5" t="s">
        <v>132</v>
      </c>
      <c r="G13" s="6"/>
    </row>
    <row r="14" spans="2:11" x14ac:dyDescent="0.2">
      <c r="B14" s="5" t="s">
        <v>135</v>
      </c>
      <c r="G14" s="6"/>
    </row>
    <row r="15" spans="2:11" x14ac:dyDescent="0.2">
      <c r="B15" s="5" t="s">
        <v>35</v>
      </c>
      <c r="G15" s="6"/>
    </row>
    <row r="16" spans="2:11" x14ac:dyDescent="0.2">
      <c r="B16" s="5" t="s">
        <v>134</v>
      </c>
      <c r="G16" s="6"/>
    </row>
    <row r="17" spans="2:7" x14ac:dyDescent="0.2">
      <c r="B17" s="5" t="s">
        <v>30</v>
      </c>
      <c r="G17" s="6"/>
    </row>
    <row r="18" spans="2:7" x14ac:dyDescent="0.2">
      <c r="B18" s="3"/>
      <c r="C18" s="4"/>
      <c r="D18" s="4"/>
      <c r="E18" s="4"/>
      <c r="F18" s="4" t="s">
        <v>112</v>
      </c>
      <c r="G18" s="23"/>
    </row>
    <row r="19" spans="2:7" x14ac:dyDescent="0.2">
      <c r="B19" s="5" t="s">
        <v>115</v>
      </c>
      <c r="C19" s="24" t="s">
        <v>116</v>
      </c>
      <c r="D19" s="24" t="s">
        <v>117</v>
      </c>
      <c r="E19" s="24"/>
      <c r="F19" s="25" t="s">
        <v>118</v>
      </c>
      <c r="G19" s="6"/>
    </row>
    <row r="20" spans="2:7" x14ac:dyDescent="0.2">
      <c r="B20" s="5" t="s">
        <v>119</v>
      </c>
      <c r="C20" s="24" t="s">
        <v>120</v>
      </c>
      <c r="D20" s="24" t="s">
        <v>121</v>
      </c>
      <c r="E20" s="24"/>
      <c r="F20" s="25" t="s">
        <v>118</v>
      </c>
      <c r="G20" s="6"/>
    </row>
    <row r="21" spans="2:7" x14ac:dyDescent="0.2">
      <c r="B21" s="5" t="s">
        <v>80</v>
      </c>
      <c r="C21" s="24" t="s">
        <v>81</v>
      </c>
      <c r="D21" s="24" t="s">
        <v>82</v>
      </c>
      <c r="E21" s="24"/>
      <c r="F21" s="25" t="s">
        <v>113</v>
      </c>
      <c r="G21" s="6"/>
    </row>
    <row r="22" spans="2:7" x14ac:dyDescent="0.2">
      <c r="B22" s="5" t="s">
        <v>83</v>
      </c>
      <c r="C22" s="24" t="s">
        <v>84</v>
      </c>
      <c r="D22" s="24"/>
      <c r="E22" s="24"/>
      <c r="F22" s="24" t="s">
        <v>113</v>
      </c>
      <c r="G22" s="6"/>
    </row>
    <row r="23" spans="2:7" x14ac:dyDescent="0.2">
      <c r="B23" s="5" t="s">
        <v>85</v>
      </c>
      <c r="C23" s="24" t="s">
        <v>86</v>
      </c>
      <c r="D23" s="24"/>
      <c r="E23" s="24"/>
      <c r="F23" s="25" t="s">
        <v>113</v>
      </c>
      <c r="G23" s="6"/>
    </row>
    <row r="24" spans="2:7" x14ac:dyDescent="0.2">
      <c r="B24" s="5" t="s">
        <v>80</v>
      </c>
      <c r="C24" s="25" t="s">
        <v>87</v>
      </c>
      <c r="D24" s="24" t="s">
        <v>82</v>
      </c>
      <c r="E24" s="24"/>
      <c r="F24" s="25" t="s">
        <v>113</v>
      </c>
      <c r="G24" s="6"/>
    </row>
    <row r="25" spans="2:7" x14ac:dyDescent="0.2">
      <c r="B25" s="5" t="s">
        <v>88</v>
      </c>
      <c r="C25" s="25" t="s">
        <v>81</v>
      </c>
      <c r="D25" s="24"/>
      <c r="E25" s="24"/>
      <c r="F25" s="25" t="s">
        <v>113</v>
      </c>
      <c r="G25" s="6"/>
    </row>
    <row r="26" spans="2:7" x14ac:dyDescent="0.2">
      <c r="B26" s="5" t="s">
        <v>89</v>
      </c>
      <c r="C26" s="25" t="s">
        <v>90</v>
      </c>
      <c r="D26" s="24" t="s">
        <v>91</v>
      </c>
      <c r="E26" s="24"/>
      <c r="F26" s="25" t="s">
        <v>113</v>
      </c>
      <c r="G26" s="6"/>
    </row>
    <row r="27" spans="2:7" x14ac:dyDescent="0.2">
      <c r="B27" s="5" t="s">
        <v>92</v>
      </c>
      <c r="C27" s="25" t="s">
        <v>93</v>
      </c>
      <c r="D27" s="24" t="s">
        <v>91</v>
      </c>
      <c r="E27" s="24"/>
      <c r="F27" s="25" t="s">
        <v>113</v>
      </c>
      <c r="G27" s="6"/>
    </row>
    <row r="28" spans="2:7" x14ac:dyDescent="0.2">
      <c r="B28" s="5" t="s">
        <v>94</v>
      </c>
      <c r="C28" s="25" t="s">
        <v>95</v>
      </c>
      <c r="D28" s="25" t="s">
        <v>96</v>
      </c>
      <c r="E28" s="24"/>
      <c r="F28" s="25" t="s">
        <v>113</v>
      </c>
      <c r="G28" s="6"/>
    </row>
    <row r="29" spans="2:7" x14ac:dyDescent="0.2">
      <c r="B29" s="5" t="s">
        <v>97</v>
      </c>
      <c r="C29" s="25" t="s">
        <v>98</v>
      </c>
      <c r="D29" s="25" t="s">
        <v>99</v>
      </c>
      <c r="E29" s="24"/>
      <c r="F29" s="25" t="s">
        <v>114</v>
      </c>
      <c r="G29" s="6"/>
    </row>
    <row r="30" spans="2:7" x14ac:dyDescent="0.2">
      <c r="B30" s="5" t="s">
        <v>100</v>
      </c>
      <c r="C30" s="25" t="s">
        <v>101</v>
      </c>
      <c r="D30" s="25" t="s">
        <v>102</v>
      </c>
      <c r="E30" s="24"/>
      <c r="F30" s="25" t="s">
        <v>114</v>
      </c>
      <c r="G30" s="6"/>
    </row>
    <row r="31" spans="2:7" x14ac:dyDescent="0.2">
      <c r="B31" s="5" t="s">
        <v>103</v>
      </c>
      <c r="C31" s="25" t="s">
        <v>105</v>
      </c>
      <c r="D31" s="25" t="s">
        <v>104</v>
      </c>
      <c r="E31" s="24"/>
      <c r="F31" s="25" t="s">
        <v>114</v>
      </c>
      <c r="G31" s="6"/>
    </row>
    <row r="32" spans="2:7" x14ac:dyDescent="0.2">
      <c r="B32" s="5" t="s">
        <v>106</v>
      </c>
      <c r="C32" s="25" t="s">
        <v>108</v>
      </c>
      <c r="D32" s="25" t="s">
        <v>107</v>
      </c>
      <c r="E32" s="24"/>
      <c r="F32" s="25" t="s">
        <v>114</v>
      </c>
      <c r="G32" s="6"/>
    </row>
    <row r="33" spans="2:7" x14ac:dyDescent="0.2">
      <c r="B33" s="7" t="s">
        <v>109</v>
      </c>
      <c r="C33" s="8" t="s">
        <v>110</v>
      </c>
      <c r="D33" s="8" t="s">
        <v>111</v>
      </c>
      <c r="E33" s="8"/>
      <c r="F33" s="8" t="s">
        <v>114</v>
      </c>
      <c r="G3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EF3E-496B-43E3-A0BD-53D57B7F10F6}">
  <dimension ref="A1:AG45"/>
  <sheetViews>
    <sheetView tabSelected="1" zoomScale="145" zoomScaleNormal="145" workbookViewId="0">
      <pane xSplit="2" ySplit="2" topLeftCell="I9" activePane="bottomRight" state="frozen"/>
      <selection pane="topRight" activeCell="C1" sqref="C1"/>
      <selection pane="bottomLeft" activeCell="A3" sqref="A3"/>
      <selection pane="bottomRight" activeCell="Z43" sqref="Z43"/>
    </sheetView>
  </sheetViews>
  <sheetFormatPr defaultRowHeight="12.75" x14ac:dyDescent="0.2"/>
  <cols>
    <col min="1" max="1" width="5" bestFit="1" customWidth="1"/>
    <col min="2" max="2" width="18.28515625" customWidth="1"/>
    <col min="3" max="14" width="9.140625" style="2"/>
  </cols>
  <sheetData>
    <row r="1" spans="1:33" x14ac:dyDescent="0.2">
      <c r="A1" s="16" t="s">
        <v>7</v>
      </c>
    </row>
    <row r="2" spans="1:33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6</v>
      </c>
      <c r="M2" s="2" t="s">
        <v>17</v>
      </c>
      <c r="N2" s="2" t="s">
        <v>18</v>
      </c>
      <c r="O2" s="2" t="s">
        <v>71</v>
      </c>
      <c r="P2" s="2" t="s">
        <v>72</v>
      </c>
      <c r="Q2" s="2" t="s">
        <v>73</v>
      </c>
      <c r="R2" s="2" t="s">
        <v>74</v>
      </c>
      <c r="V2">
        <v>2018</v>
      </c>
      <c r="W2">
        <f>+V2+1</f>
        <v>2019</v>
      </c>
      <c r="X2">
        <f t="shared" ref="X2:Z2" si="0">+W2+1</f>
        <v>2020</v>
      </c>
      <c r="Y2">
        <f t="shared" si="0"/>
        <v>2021</v>
      </c>
      <c r="Z2">
        <f t="shared" si="0"/>
        <v>2022</v>
      </c>
      <c r="AA2">
        <f>+Z2+1</f>
        <v>2023</v>
      </c>
      <c r="AB2">
        <f t="shared" ref="AB2:AG2" si="1">+AA2+1</f>
        <v>2024</v>
      </c>
      <c r="AC2">
        <f t="shared" si="1"/>
        <v>2025</v>
      </c>
      <c r="AD2">
        <f t="shared" si="1"/>
        <v>2026</v>
      </c>
      <c r="AE2">
        <f t="shared" si="1"/>
        <v>2027</v>
      </c>
      <c r="AF2">
        <f t="shared" si="1"/>
        <v>2028</v>
      </c>
      <c r="AG2">
        <f t="shared" si="1"/>
        <v>2029</v>
      </c>
    </row>
    <row r="3" spans="1:33" x14ac:dyDescent="0.2">
      <c r="B3" t="s">
        <v>77</v>
      </c>
      <c r="K3" s="2">
        <v>11</v>
      </c>
      <c r="O3" s="2">
        <v>52</v>
      </c>
      <c r="P3" s="2"/>
      <c r="Q3" s="2"/>
      <c r="R3" s="2"/>
      <c r="Z3" s="1">
        <f>SUM(K3:N3)</f>
        <v>11</v>
      </c>
    </row>
    <row r="4" spans="1:33" s="1" customFormat="1" x14ac:dyDescent="0.2">
      <c r="B4" s="1" t="s">
        <v>36</v>
      </c>
      <c r="C4" s="20"/>
      <c r="D4" s="20"/>
      <c r="E4" s="20"/>
      <c r="F4" s="20"/>
      <c r="G4" s="20"/>
      <c r="H4" s="20">
        <v>80</v>
      </c>
      <c r="I4" s="20">
        <v>75</v>
      </c>
      <c r="J4" s="20"/>
      <c r="K4" s="20">
        <v>83</v>
      </c>
      <c r="L4" s="20">
        <v>75</v>
      </c>
      <c r="M4" s="20">
        <v>76</v>
      </c>
      <c r="N4" s="20"/>
      <c r="O4" s="1">
        <v>57</v>
      </c>
      <c r="Z4" s="1">
        <f t="shared" ref="Z4:Z23" si="2">SUM(K4:N4)</f>
        <v>234</v>
      </c>
    </row>
    <row r="5" spans="1:33" s="1" customFormat="1" x14ac:dyDescent="0.2">
      <c r="B5" s="1" t="s">
        <v>35</v>
      </c>
      <c r="C5" s="20"/>
      <c r="D5" s="20"/>
      <c r="E5" s="20"/>
      <c r="F5" s="20"/>
      <c r="G5" s="20"/>
      <c r="H5" s="20">
        <v>110</v>
      </c>
      <c r="I5" s="20">
        <v>113</v>
      </c>
      <c r="J5" s="20">
        <v>91</v>
      </c>
      <c r="K5" s="20"/>
      <c r="L5" s="20">
        <v>83</v>
      </c>
      <c r="M5" s="20">
        <v>56</v>
      </c>
      <c r="N5" s="20">
        <v>46</v>
      </c>
      <c r="Z5" s="1">
        <f t="shared" si="2"/>
        <v>185</v>
      </c>
    </row>
    <row r="6" spans="1:33" s="1" customFormat="1" x14ac:dyDescent="0.2">
      <c r="B6" s="1" t="s">
        <v>34</v>
      </c>
      <c r="C6" s="20"/>
      <c r="D6" s="20"/>
      <c r="E6" s="20"/>
      <c r="F6" s="20"/>
      <c r="G6" s="20"/>
      <c r="H6" s="20">
        <v>49</v>
      </c>
      <c r="I6" s="20">
        <v>57</v>
      </c>
      <c r="J6" s="20">
        <v>69</v>
      </c>
      <c r="K6" s="20">
        <v>76</v>
      </c>
      <c r="L6" s="20">
        <v>105</v>
      </c>
      <c r="M6" s="20">
        <v>127</v>
      </c>
      <c r="N6" s="20">
        <v>158</v>
      </c>
      <c r="O6" s="1">
        <v>178</v>
      </c>
      <c r="Z6" s="1">
        <f t="shared" si="2"/>
        <v>466</v>
      </c>
    </row>
    <row r="7" spans="1:33" s="1" customFormat="1" x14ac:dyDescent="0.2">
      <c r="B7" s="1" t="s">
        <v>33</v>
      </c>
      <c r="C7" s="20"/>
      <c r="D7" s="20"/>
      <c r="E7" s="20"/>
      <c r="F7" s="20"/>
      <c r="G7" s="20"/>
      <c r="H7" s="20">
        <v>90</v>
      </c>
      <c r="I7" s="20">
        <v>90</v>
      </c>
      <c r="J7" s="20">
        <v>97</v>
      </c>
      <c r="K7" s="20">
        <v>105</v>
      </c>
      <c r="L7" s="20">
        <v>112</v>
      </c>
      <c r="M7" s="20">
        <v>118</v>
      </c>
      <c r="N7" s="20">
        <v>101</v>
      </c>
      <c r="O7" s="1">
        <v>118</v>
      </c>
      <c r="Z7" s="1">
        <f t="shared" si="2"/>
        <v>436</v>
      </c>
    </row>
    <row r="8" spans="1:33" s="1" customFormat="1" x14ac:dyDescent="0.2">
      <c r="B8" s="1" t="s">
        <v>32</v>
      </c>
      <c r="C8" s="20"/>
      <c r="D8" s="20"/>
      <c r="E8" s="20"/>
      <c r="F8" s="20"/>
      <c r="G8" s="20"/>
      <c r="H8" s="20">
        <v>111</v>
      </c>
      <c r="I8" s="20">
        <v>115</v>
      </c>
      <c r="J8" s="20">
        <v>120</v>
      </c>
      <c r="K8" s="20">
        <v>117</v>
      </c>
      <c r="L8" s="20">
        <v>118</v>
      </c>
      <c r="M8" s="20">
        <v>120</v>
      </c>
      <c r="N8" s="20">
        <v>139</v>
      </c>
      <c r="O8" s="1">
        <v>124</v>
      </c>
      <c r="Z8" s="1">
        <f t="shared" si="2"/>
        <v>494</v>
      </c>
    </row>
    <row r="9" spans="1:33" s="1" customFormat="1" x14ac:dyDescent="0.2">
      <c r="B9" s="1" t="s">
        <v>31</v>
      </c>
      <c r="C9" s="20"/>
      <c r="D9" s="20"/>
      <c r="E9" s="20"/>
      <c r="F9" s="20"/>
      <c r="G9" s="20"/>
      <c r="H9" s="20">
        <v>104</v>
      </c>
      <c r="I9" s="20">
        <v>102</v>
      </c>
      <c r="J9" s="20">
        <v>112</v>
      </c>
      <c r="K9" s="20">
        <v>108</v>
      </c>
      <c r="L9" s="20">
        <v>128</v>
      </c>
      <c r="M9" s="20">
        <v>127</v>
      </c>
      <c r="N9" s="20">
        <v>106</v>
      </c>
      <c r="O9" s="1">
        <v>118</v>
      </c>
      <c r="Z9" s="1">
        <f t="shared" si="2"/>
        <v>469</v>
      </c>
    </row>
    <row r="10" spans="1:33" s="1" customFormat="1" x14ac:dyDescent="0.2">
      <c r="B10" s="1" t="s">
        <v>30</v>
      </c>
      <c r="C10" s="20"/>
      <c r="D10" s="20"/>
      <c r="E10" s="20"/>
      <c r="F10" s="20"/>
      <c r="G10" s="20"/>
      <c r="H10" s="20">
        <v>112</v>
      </c>
      <c r="I10" s="20">
        <v>124</v>
      </c>
      <c r="J10" s="20">
        <v>120</v>
      </c>
      <c r="K10" s="20">
        <v>144</v>
      </c>
      <c r="L10" s="20">
        <v>155</v>
      </c>
      <c r="M10" s="20">
        <v>159</v>
      </c>
      <c r="N10" s="20">
        <v>155</v>
      </c>
      <c r="O10" s="1">
        <v>133</v>
      </c>
      <c r="Z10" s="1">
        <f t="shared" si="2"/>
        <v>613</v>
      </c>
    </row>
    <row r="11" spans="1:33" s="1" customFormat="1" x14ac:dyDescent="0.2">
      <c r="B11" s="1" t="s">
        <v>29</v>
      </c>
      <c r="C11" s="20"/>
      <c r="D11" s="20"/>
      <c r="E11" s="20"/>
      <c r="F11" s="20"/>
      <c r="G11" s="20"/>
      <c r="H11" s="20">
        <v>140</v>
      </c>
      <c r="I11" s="20">
        <v>142</v>
      </c>
      <c r="J11" s="20">
        <v>328</v>
      </c>
      <c r="K11" s="20">
        <v>153</v>
      </c>
      <c r="L11" s="20">
        <v>162</v>
      </c>
      <c r="M11" s="20">
        <v>168</v>
      </c>
      <c r="N11" s="20">
        <v>169</v>
      </c>
      <c r="O11" s="1">
        <v>152</v>
      </c>
      <c r="Z11" s="1">
        <f t="shared" si="2"/>
        <v>652</v>
      </c>
    </row>
    <row r="12" spans="1:33" s="1" customFormat="1" x14ac:dyDescent="0.2">
      <c r="B12" s="1" t="s">
        <v>28</v>
      </c>
      <c r="C12" s="20"/>
      <c r="D12" s="20"/>
      <c r="E12" s="20"/>
      <c r="F12" s="20"/>
      <c r="G12" s="20"/>
      <c r="H12" s="20">
        <v>159</v>
      </c>
      <c r="I12" s="20">
        <v>165</v>
      </c>
      <c r="J12" s="20">
        <v>170</v>
      </c>
      <c r="K12" s="20">
        <v>187</v>
      </c>
      <c r="L12" s="20">
        <v>201</v>
      </c>
      <c r="M12" s="20">
        <v>199</v>
      </c>
      <c r="N12" s="20">
        <v>201</v>
      </c>
      <c r="O12" s="1">
        <v>181</v>
      </c>
      <c r="Z12" s="1">
        <f t="shared" si="2"/>
        <v>788</v>
      </c>
    </row>
    <row r="13" spans="1:33" s="1" customFormat="1" x14ac:dyDescent="0.2">
      <c r="B13" s="1" t="s">
        <v>27</v>
      </c>
      <c r="C13" s="20"/>
      <c r="D13" s="20"/>
      <c r="E13" s="20"/>
      <c r="F13" s="20"/>
      <c r="G13" s="20"/>
      <c r="H13" s="20">
        <v>191</v>
      </c>
      <c r="I13" s="20">
        <v>186</v>
      </c>
      <c r="J13" s="20">
        <v>178</v>
      </c>
      <c r="K13" s="20">
        <v>198</v>
      </c>
      <c r="L13" s="20">
        <v>212</v>
      </c>
      <c r="M13" s="20">
        <v>196</v>
      </c>
      <c r="N13" s="20">
        <v>184</v>
      </c>
      <c r="O13" s="1">
        <v>152</v>
      </c>
      <c r="Z13" s="1">
        <f t="shared" si="2"/>
        <v>790</v>
      </c>
    </row>
    <row r="14" spans="1:33" s="1" customFormat="1" x14ac:dyDescent="0.2">
      <c r="B14" s="1" t="s">
        <v>26</v>
      </c>
      <c r="C14" s="20"/>
      <c r="D14" s="20"/>
      <c r="E14" s="20"/>
      <c r="F14" s="20"/>
      <c r="G14" s="20"/>
      <c r="H14" s="20">
        <v>211</v>
      </c>
      <c r="I14" s="20">
        <v>208</v>
      </c>
      <c r="J14" s="20">
        <v>219</v>
      </c>
      <c r="K14" s="20">
        <v>208</v>
      </c>
      <c r="L14" s="20">
        <v>212</v>
      </c>
      <c r="M14" s="20">
        <v>221</v>
      </c>
      <c r="N14" s="20">
        <v>206</v>
      </c>
      <c r="O14" s="1">
        <v>192</v>
      </c>
      <c r="Z14" s="1">
        <f t="shared" si="2"/>
        <v>847</v>
      </c>
    </row>
    <row r="15" spans="1:33" s="1" customFormat="1" x14ac:dyDescent="0.2">
      <c r="B15" s="1" t="s">
        <v>25</v>
      </c>
      <c r="C15" s="20"/>
      <c r="D15" s="20"/>
      <c r="E15" s="20"/>
      <c r="F15" s="20"/>
      <c r="G15" s="20"/>
      <c r="H15" s="20">
        <v>174</v>
      </c>
      <c r="I15" s="20">
        <v>207</v>
      </c>
      <c r="J15" s="20">
        <v>207</v>
      </c>
      <c r="K15" s="20">
        <v>239</v>
      </c>
      <c r="L15" s="20">
        <v>212</v>
      </c>
      <c r="M15" s="20">
        <v>232</v>
      </c>
      <c r="N15" s="20">
        <v>148</v>
      </c>
      <c r="O15" s="1">
        <v>177</v>
      </c>
      <c r="Z15" s="1">
        <f t="shared" si="2"/>
        <v>831</v>
      </c>
    </row>
    <row r="16" spans="1:33" s="1" customFormat="1" x14ac:dyDescent="0.2">
      <c r="B16" s="1" t="s">
        <v>24</v>
      </c>
      <c r="C16" s="20"/>
      <c r="D16" s="20"/>
      <c r="E16" s="20"/>
      <c r="F16" s="20"/>
      <c r="G16" s="20"/>
      <c r="H16" s="20">
        <v>293</v>
      </c>
      <c r="I16" s="20">
        <v>276</v>
      </c>
      <c r="J16" s="20">
        <v>282</v>
      </c>
      <c r="K16" s="20">
        <v>295</v>
      </c>
      <c r="L16" s="20">
        <v>306</v>
      </c>
      <c r="M16" s="20">
        <v>377</v>
      </c>
      <c r="N16" s="20">
        <v>299</v>
      </c>
      <c r="O16" s="1">
        <v>303</v>
      </c>
      <c r="Z16" s="1">
        <f t="shared" si="2"/>
        <v>1277</v>
      </c>
    </row>
    <row r="17" spans="2:26" s="1" customFormat="1" x14ac:dyDescent="0.2">
      <c r="B17" s="1" t="s">
        <v>23</v>
      </c>
      <c r="C17" s="20"/>
      <c r="D17" s="20"/>
      <c r="E17" s="20"/>
      <c r="F17" s="20"/>
      <c r="G17" s="20"/>
      <c r="H17" s="20">
        <v>711</v>
      </c>
      <c r="I17" s="20">
        <v>763</v>
      </c>
      <c r="J17" s="20">
        <v>773</v>
      </c>
      <c r="K17" s="20">
        <v>774</v>
      </c>
      <c r="L17" s="20">
        <v>807</v>
      </c>
      <c r="M17" s="20">
        <v>811</v>
      </c>
      <c r="N17" s="20">
        <v>821</v>
      </c>
      <c r="O17" s="1">
        <v>789</v>
      </c>
      <c r="Z17" s="1">
        <f t="shared" si="2"/>
        <v>3213</v>
      </c>
    </row>
    <row r="18" spans="2:26" s="1" customFormat="1" x14ac:dyDescent="0.2">
      <c r="B18" s="1" t="s">
        <v>22</v>
      </c>
      <c r="C18" s="20"/>
      <c r="D18" s="20"/>
      <c r="E18" s="20"/>
      <c r="F18" s="20"/>
      <c r="G18" s="20"/>
      <c r="H18" s="20">
        <v>1164</v>
      </c>
      <c r="I18" s="20">
        <v>1186</v>
      </c>
      <c r="J18" s="20">
        <v>1247</v>
      </c>
      <c r="K18" s="20">
        <v>1087</v>
      </c>
      <c r="L18" s="20">
        <v>1113</v>
      </c>
      <c r="M18" s="20">
        <v>1112</v>
      </c>
      <c r="N18" s="20">
        <v>1204</v>
      </c>
      <c r="O18" s="20">
        <v>943</v>
      </c>
      <c r="Z18" s="1">
        <f t="shared" si="2"/>
        <v>4516</v>
      </c>
    </row>
    <row r="19" spans="2:26" s="1" customFormat="1" x14ac:dyDescent="0.2">
      <c r="B19" s="1" t="s">
        <v>137</v>
      </c>
      <c r="C19" s="20"/>
      <c r="D19" s="20"/>
      <c r="E19" s="20"/>
      <c r="F19" s="20"/>
      <c r="G19" s="20"/>
      <c r="H19" s="20"/>
      <c r="I19" s="20">
        <f>I22-SUM(I3:I18)</f>
        <v>730</v>
      </c>
      <c r="J19" s="20"/>
      <c r="K19" s="20">
        <f>K22-SUM(K3:K18)</f>
        <v>839</v>
      </c>
      <c r="L19" s="20">
        <f>L22-SUM(L3:L18)</f>
        <v>817</v>
      </c>
      <c r="M19" s="20">
        <f>M22-SUM(M3:M18)</f>
        <v>856</v>
      </c>
      <c r="N19" s="20">
        <f>N22-SUM(N3:N18)</f>
        <v>918</v>
      </c>
      <c r="O19" s="20">
        <f>O22-SUM(O3:O18)</f>
        <v>738</v>
      </c>
    </row>
    <row r="20" spans="2:26" s="1" customFormat="1" x14ac:dyDescent="0.2"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2:26" s="1" customFormat="1" x14ac:dyDescent="0.2">
      <c r="B21" s="1" t="s">
        <v>59</v>
      </c>
      <c r="C21" s="20"/>
      <c r="D21" s="20"/>
      <c r="E21" s="20"/>
      <c r="F21" s="20"/>
      <c r="G21" s="20"/>
      <c r="H21" s="20">
        <v>1290</v>
      </c>
      <c r="I21" s="20">
        <v>1346</v>
      </c>
      <c r="J21" s="20">
        <v>1405</v>
      </c>
      <c r="K21" s="20">
        <v>1512</v>
      </c>
      <c r="L21" s="20">
        <v>1496</v>
      </c>
      <c r="M21" s="20">
        <v>1548</v>
      </c>
      <c r="N21" s="20">
        <v>1524</v>
      </c>
      <c r="O21" s="1">
        <v>1573</v>
      </c>
      <c r="Z21" s="1">
        <f t="shared" si="2"/>
        <v>6080</v>
      </c>
    </row>
    <row r="22" spans="2:26" s="1" customFormat="1" x14ac:dyDescent="0.2">
      <c r="B22" s="1" t="s">
        <v>21</v>
      </c>
      <c r="C22" s="20"/>
      <c r="D22" s="20"/>
      <c r="E22" s="20"/>
      <c r="F22" s="20"/>
      <c r="G22" s="20"/>
      <c r="H22" s="20">
        <v>4494</v>
      </c>
      <c r="I22" s="20">
        <v>4539</v>
      </c>
      <c r="J22" s="20">
        <v>4951</v>
      </c>
      <c r="K22" s="20">
        <v>4624</v>
      </c>
      <c r="L22" s="20">
        <v>4818</v>
      </c>
      <c r="M22" s="20">
        <v>4955</v>
      </c>
      <c r="N22" s="20">
        <f>19252-M22-L22-K22</f>
        <v>4855</v>
      </c>
      <c r="O22" s="1">
        <v>4407</v>
      </c>
      <c r="Z22" s="1">
        <f t="shared" si="2"/>
        <v>19252</v>
      </c>
    </row>
    <row r="23" spans="2:26" s="1" customFormat="1" x14ac:dyDescent="0.2">
      <c r="B23" s="1" t="s">
        <v>20</v>
      </c>
      <c r="C23" s="20"/>
      <c r="D23" s="20"/>
      <c r="E23" s="20"/>
      <c r="F23" s="20"/>
      <c r="G23" s="20"/>
      <c r="H23" s="20">
        <v>5021</v>
      </c>
      <c r="I23" s="20">
        <v>3850</v>
      </c>
      <c r="J23" s="20">
        <v>4690</v>
      </c>
      <c r="K23" s="20">
        <v>8447</v>
      </c>
      <c r="L23" s="20">
        <v>6461</v>
      </c>
      <c r="M23" s="20">
        <v>4692</v>
      </c>
      <c r="N23" s="20">
        <f>25169-M23-L23-K23</f>
        <v>5569</v>
      </c>
      <c r="O23" s="1">
        <v>8351</v>
      </c>
      <c r="Z23" s="1">
        <f t="shared" si="2"/>
        <v>25169</v>
      </c>
    </row>
    <row r="24" spans="2:26" s="21" customFormat="1" x14ac:dyDescent="0.2">
      <c r="B24" s="21" t="s">
        <v>19</v>
      </c>
      <c r="C24" s="22"/>
      <c r="D24" s="22"/>
      <c r="E24" s="22"/>
      <c r="F24" s="22"/>
      <c r="G24" s="22"/>
      <c r="H24" s="22">
        <v>10854</v>
      </c>
      <c r="I24" s="22">
        <v>9781</v>
      </c>
      <c r="J24" s="21">
        <f>SUM(J21:J23)</f>
        <v>11046</v>
      </c>
      <c r="K24" s="22">
        <v>14639</v>
      </c>
      <c r="L24" s="22">
        <v>12819</v>
      </c>
      <c r="M24" s="22">
        <v>11281</v>
      </c>
      <c r="N24" s="21">
        <f>SUM(N21:N23)</f>
        <v>11948</v>
      </c>
      <c r="O24" s="21">
        <v>14389</v>
      </c>
      <c r="V24" s="21">
        <v>36742</v>
      </c>
      <c r="W24" s="21">
        <v>43545</v>
      </c>
      <c r="X24" s="21">
        <v>41400</v>
      </c>
      <c r="Y24" s="21">
        <v>44081</v>
      </c>
      <c r="Z24" s="21">
        <f>SUM(Z21:Z23)</f>
        <v>50501</v>
      </c>
    </row>
    <row r="25" spans="2:26" s="1" customFormat="1" x14ac:dyDescent="0.2">
      <c r="B25" s="1" t="s">
        <v>68</v>
      </c>
      <c r="C25" s="20"/>
      <c r="D25" s="20"/>
      <c r="E25" s="20"/>
      <c r="F25" s="20"/>
      <c r="G25" s="20"/>
      <c r="H25" s="20">
        <v>4546</v>
      </c>
      <c r="I25" s="20">
        <v>3887</v>
      </c>
      <c r="J25" s="20"/>
      <c r="K25" s="1">
        <v>5176</v>
      </c>
      <c r="L25" s="20">
        <v>5680</v>
      </c>
      <c r="M25" s="20">
        <v>4247</v>
      </c>
      <c r="N25" s="20"/>
      <c r="O25" s="1">
        <v>5733</v>
      </c>
      <c r="Y25" s="1">
        <v>16816</v>
      </c>
      <c r="Z25" s="1">
        <v>19871</v>
      </c>
    </row>
    <row r="26" spans="2:26" s="1" customFormat="1" x14ac:dyDescent="0.2">
      <c r="B26" s="1" t="s">
        <v>67</v>
      </c>
      <c r="C26" s="20"/>
      <c r="D26" s="20"/>
      <c r="E26" s="20"/>
      <c r="F26" s="20"/>
      <c r="G26" s="20"/>
      <c r="H26" s="20">
        <f>+H24-H25</f>
        <v>6308</v>
      </c>
      <c r="I26" s="20">
        <f>+I24-I25</f>
        <v>5894</v>
      </c>
      <c r="J26" s="20"/>
      <c r="K26" s="1">
        <f>+K24-K25</f>
        <v>9463</v>
      </c>
      <c r="L26" s="20">
        <f>+L24-L25</f>
        <v>7139</v>
      </c>
      <c r="M26" s="20">
        <f>+M24-M25</f>
        <v>7034</v>
      </c>
      <c r="N26" s="20"/>
      <c r="O26" s="1">
        <f>+O24-O25</f>
        <v>8656</v>
      </c>
      <c r="Y26" s="1">
        <f>+Y24-Y25</f>
        <v>27265</v>
      </c>
      <c r="Z26" s="1">
        <f>+Z24-Z25</f>
        <v>30630</v>
      </c>
    </row>
    <row r="27" spans="2:26" s="1" customFormat="1" x14ac:dyDescent="0.2">
      <c r="B27" s="1" t="s">
        <v>66</v>
      </c>
      <c r="C27" s="20"/>
      <c r="D27" s="20"/>
      <c r="E27" s="20"/>
      <c r="F27" s="20"/>
      <c r="G27" s="20"/>
      <c r="H27" s="20">
        <v>2964</v>
      </c>
      <c r="I27" s="20">
        <v>3015</v>
      </c>
      <c r="J27" s="20"/>
      <c r="K27" s="20">
        <v>3284</v>
      </c>
      <c r="L27" s="20">
        <v>3736</v>
      </c>
      <c r="M27" s="20">
        <v>3358</v>
      </c>
      <c r="N27" s="20"/>
      <c r="O27" s="1">
        <v>3394</v>
      </c>
      <c r="Y27" s="1">
        <v>12363</v>
      </c>
      <c r="Z27" s="1">
        <v>14084</v>
      </c>
    </row>
    <row r="28" spans="2:26" s="1" customFormat="1" x14ac:dyDescent="0.2">
      <c r="B28" s="1" t="s">
        <v>65</v>
      </c>
      <c r="C28" s="20"/>
      <c r="D28" s="20"/>
      <c r="E28" s="20"/>
      <c r="F28" s="20"/>
      <c r="G28" s="20"/>
      <c r="H28" s="20">
        <v>1638</v>
      </c>
      <c r="I28" s="20">
        <v>1564</v>
      </c>
      <c r="J28" s="20"/>
      <c r="K28" s="20">
        <v>1454</v>
      </c>
      <c r="L28" s="20">
        <v>1928</v>
      </c>
      <c r="M28" s="20">
        <v>1576</v>
      </c>
      <c r="N28" s="20"/>
      <c r="O28" s="1">
        <v>1571</v>
      </c>
      <c r="Y28" s="1">
        <v>5412</v>
      </c>
      <c r="Z28" s="1">
        <v>6572</v>
      </c>
    </row>
    <row r="29" spans="2:26" s="1" customFormat="1" x14ac:dyDescent="0.2">
      <c r="B29" s="1" t="s">
        <v>64</v>
      </c>
      <c r="C29" s="20"/>
      <c r="D29" s="20"/>
      <c r="E29" s="20"/>
      <c r="F29" s="20"/>
      <c r="G29" s="20"/>
      <c r="H29" s="20">
        <v>783</v>
      </c>
      <c r="I29" s="20">
        <v>751</v>
      </c>
      <c r="J29" s="20"/>
      <c r="K29" s="20">
        <v>661</v>
      </c>
      <c r="L29" s="20">
        <v>736</v>
      </c>
      <c r="M29" s="20">
        <v>721</v>
      </c>
      <c r="N29" s="20"/>
      <c r="O29" s="1">
        <v>658</v>
      </c>
      <c r="Y29" s="1">
        <v>2962</v>
      </c>
      <c r="Z29" s="1">
        <v>2838</v>
      </c>
    </row>
    <row r="30" spans="2:26" s="1" customFormat="1" x14ac:dyDescent="0.2">
      <c r="B30" s="1" t="s">
        <v>63</v>
      </c>
      <c r="C30" s="20"/>
      <c r="D30" s="20"/>
      <c r="E30" s="20"/>
      <c r="F30" s="20"/>
      <c r="G30" s="20"/>
      <c r="H30" s="20">
        <f>+H27+H28+H29</f>
        <v>5385</v>
      </c>
      <c r="I30" s="20">
        <f>+I27+I28+I29</f>
        <v>5330</v>
      </c>
      <c r="J30" s="20"/>
      <c r="K30" s="20">
        <f>+K27+K28+K29</f>
        <v>5399</v>
      </c>
      <c r="L30" s="20">
        <f>+L27+L28+L29</f>
        <v>6400</v>
      </c>
      <c r="M30" s="20">
        <f>+M27+M28+M29</f>
        <v>5655</v>
      </c>
      <c r="N30" s="20"/>
      <c r="O30" s="20">
        <f>+O27+O28+O29</f>
        <v>5623</v>
      </c>
      <c r="Y30" s="1">
        <f>+Y27+Y28+Y29</f>
        <v>20737</v>
      </c>
      <c r="Z30" s="1">
        <f>+Z27+Z28+Z29</f>
        <v>23494</v>
      </c>
    </row>
    <row r="31" spans="2:26" s="1" customFormat="1" x14ac:dyDescent="0.2">
      <c r="B31" s="1" t="s">
        <v>62</v>
      </c>
      <c r="C31" s="20"/>
      <c r="D31" s="20"/>
      <c r="E31" s="20"/>
      <c r="F31" s="20"/>
      <c r="G31" s="20"/>
      <c r="H31" s="20">
        <f>+H26-H30</f>
        <v>923</v>
      </c>
      <c r="I31" s="20">
        <f>+I26-I30</f>
        <v>564</v>
      </c>
      <c r="J31" s="20"/>
      <c r="K31" s="20">
        <f>+K26-K30</f>
        <v>4064</v>
      </c>
      <c r="L31" s="20">
        <f>+L26-L30</f>
        <v>739</v>
      </c>
      <c r="M31" s="20">
        <f>+M26-M30</f>
        <v>1379</v>
      </c>
      <c r="N31" s="20"/>
      <c r="O31" s="20">
        <f>+O26-O30</f>
        <v>3033</v>
      </c>
      <c r="Y31" s="1">
        <f>+Y26-Y30</f>
        <v>6528</v>
      </c>
      <c r="Z31" s="1">
        <f>+Z26-Z30</f>
        <v>7136</v>
      </c>
    </row>
    <row r="32" spans="2:26" s="1" customFormat="1" x14ac:dyDescent="0.2">
      <c r="B32" s="1" t="s">
        <v>61</v>
      </c>
      <c r="C32" s="20"/>
      <c r="D32" s="20"/>
      <c r="E32" s="20"/>
      <c r="F32" s="20"/>
      <c r="G32" s="20"/>
      <c r="H32" s="20">
        <f>50-703</f>
        <v>-653</v>
      </c>
      <c r="I32" s="20"/>
      <c r="J32" s="20"/>
      <c r="K32" s="20">
        <f>509-361+67-537</f>
        <v>-322</v>
      </c>
      <c r="L32" s="20">
        <f>274-475</f>
        <v>-201</v>
      </c>
      <c r="M32" s="20"/>
      <c r="N32" s="20"/>
      <c r="O32" s="1">
        <f>384-444+148-478</f>
        <v>-390</v>
      </c>
      <c r="Y32" s="1">
        <f>1500-4675+526-1882</f>
        <v>-4531</v>
      </c>
      <c r="Z32" s="1">
        <f>3039-3401+450-2642</f>
        <v>-2554</v>
      </c>
    </row>
    <row r="33" spans="2:26" s="1" customFormat="1" x14ac:dyDescent="0.2">
      <c r="B33" s="1" t="s">
        <v>60</v>
      </c>
      <c r="C33" s="20"/>
      <c r="D33" s="20"/>
      <c r="E33" s="20"/>
      <c r="F33" s="20"/>
      <c r="G33" s="20"/>
      <c r="H33" s="20">
        <f>+H31+H32</f>
        <v>270</v>
      </c>
      <c r="I33" s="20"/>
      <c r="J33" s="20"/>
      <c r="K33" s="20">
        <f>+K31+K32</f>
        <v>3742</v>
      </c>
      <c r="L33" s="20">
        <f>+L31+L32</f>
        <v>538</v>
      </c>
      <c r="M33" s="20">
        <f>+M31+M32</f>
        <v>1379</v>
      </c>
      <c r="N33" s="20"/>
      <c r="O33" s="20">
        <f>+O31+O32</f>
        <v>2643</v>
      </c>
      <c r="Y33" s="1">
        <f>+Y31+Y32</f>
        <v>1997</v>
      </c>
      <c r="Z33" s="1">
        <f>+Z31+Z32</f>
        <v>4582</v>
      </c>
    </row>
    <row r="34" spans="2:26" s="1" customFormat="1" x14ac:dyDescent="0.2">
      <c r="B34" s="1" t="s">
        <v>70</v>
      </c>
      <c r="C34" s="20"/>
      <c r="D34" s="20"/>
      <c r="E34" s="20"/>
      <c r="F34" s="20"/>
      <c r="G34" s="20"/>
      <c r="H34" s="20">
        <f>234+9</f>
        <v>243</v>
      </c>
      <c r="I34" s="20"/>
      <c r="J34" s="20"/>
      <c r="K34" s="20">
        <f>428+3</f>
        <v>431</v>
      </c>
      <c r="L34" s="20">
        <f>52+7</f>
        <v>59</v>
      </c>
      <c r="M34" s="20"/>
      <c r="N34" s="20"/>
      <c r="O34" s="1">
        <f>424+4</f>
        <v>428</v>
      </c>
      <c r="Y34" s="1">
        <v>1024</v>
      </c>
      <c r="Z34" s="1">
        <v>504</v>
      </c>
    </row>
    <row r="35" spans="2:26" s="1" customFormat="1" x14ac:dyDescent="0.2">
      <c r="B35" s="1" t="s">
        <v>69</v>
      </c>
      <c r="C35" s="20"/>
      <c r="D35" s="20"/>
      <c r="E35" s="20"/>
      <c r="F35" s="20"/>
      <c r="G35" s="20"/>
      <c r="H35" s="20">
        <f>+H33-H34</f>
        <v>27</v>
      </c>
      <c r="I35" s="20"/>
      <c r="J35" s="20"/>
      <c r="K35" s="20">
        <f t="shared" ref="K35" si="3">+K33-K34</f>
        <v>3311</v>
      </c>
      <c r="L35" s="20">
        <f>+L33-L34</f>
        <v>479</v>
      </c>
      <c r="M35" s="20">
        <f t="shared" ref="M35:O35" si="4">+M33-M34</f>
        <v>1379</v>
      </c>
      <c r="N35" s="20">
        <f t="shared" si="4"/>
        <v>0</v>
      </c>
      <c r="O35" s="20">
        <f t="shared" si="4"/>
        <v>2215</v>
      </c>
      <c r="Y35" s="1">
        <f>+Y33-Y34</f>
        <v>973</v>
      </c>
      <c r="Z35" s="1">
        <f>+Z33-Z34</f>
        <v>4078</v>
      </c>
    </row>
    <row r="37" spans="2:26" x14ac:dyDescent="0.2">
      <c r="B37" t="s">
        <v>75</v>
      </c>
      <c r="O37" s="19">
        <f>O24/K24-1</f>
        <v>-1.707766923970222E-2</v>
      </c>
      <c r="W37" s="18">
        <f>+W24/V24-1</f>
        <v>0.18515595231615056</v>
      </c>
      <c r="X37" s="18">
        <f>+X24/W24-1</f>
        <v>-4.9259386841198793E-2</v>
      </c>
      <c r="Y37" s="18">
        <f>+Y24/X24-1</f>
        <v>6.4758454106280228E-2</v>
      </c>
      <c r="Z37" s="18">
        <f>+Z24/Y24-1</f>
        <v>0.14564097910664464</v>
      </c>
    </row>
    <row r="38" spans="2:26" x14ac:dyDescent="0.2">
      <c r="B38" t="s">
        <v>78</v>
      </c>
      <c r="O38" s="19">
        <v>-1.0999999999999999E-2</v>
      </c>
    </row>
    <row r="41" spans="2:26" x14ac:dyDescent="0.2">
      <c r="B41" t="s">
        <v>138</v>
      </c>
      <c r="Y41" s="1">
        <v>5089</v>
      </c>
      <c r="Z41" s="1">
        <v>7093</v>
      </c>
    </row>
    <row r="42" spans="2:26" x14ac:dyDescent="0.2">
      <c r="B42" t="s">
        <v>139</v>
      </c>
      <c r="Y42" s="1">
        <v>2611</v>
      </c>
      <c r="Z42" s="1">
        <v>2949</v>
      </c>
    </row>
    <row r="43" spans="2:26" x14ac:dyDescent="0.2">
      <c r="B43" t="s">
        <v>140</v>
      </c>
      <c r="Y43" s="1">
        <f>+Y41-Y42</f>
        <v>2478</v>
      </c>
      <c r="Z43" s="1">
        <f>+Z41-Z42</f>
        <v>4144</v>
      </c>
    </row>
    <row r="45" spans="2:26" x14ac:dyDescent="0.2">
      <c r="B45" t="s">
        <v>76</v>
      </c>
      <c r="K45" s="1">
        <v>100753</v>
      </c>
      <c r="L45" s="20"/>
      <c r="M45" s="20"/>
      <c r="N45" s="20"/>
      <c r="O45" s="1">
        <v>101735</v>
      </c>
      <c r="V45" s="1">
        <v>107894</v>
      </c>
      <c r="W45" s="1">
        <v>103824</v>
      </c>
      <c r="X45" s="1">
        <v>99538</v>
      </c>
      <c r="Y45" s="1">
        <v>99637</v>
      </c>
      <c r="Z45" s="1">
        <v>101369</v>
      </c>
    </row>
  </sheetData>
  <hyperlinks>
    <hyperlink ref="A1" location="Main!A1" display="Main" xr:uid="{EDA2D8C8-A192-47FB-B41A-72E6F6F90C6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2022-10-03T17:48:33Z</dcterms:created>
  <dcterms:modified xsi:type="dcterms:W3CDTF">2023-05-31T02:36:45Z</dcterms:modified>
</cp:coreProperties>
</file>