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97E319B-0D27-4818-9369-F71CE73CAF23}" xr6:coauthVersionLast="47" xr6:coauthVersionMax="47" xr10:uidLastSave="{00000000-0000-0000-0000-000000000000}"/>
  <bookViews>
    <workbookView xWindow="22665" yWindow="225" windowWidth="28410" windowHeight="20415" activeTab="1" xr2:uid="{79B0AABE-526A-4476-AFB2-442F9E053778}"/>
  </bookViews>
  <sheets>
    <sheet name="Main" sheetId="1" r:id="rId1"/>
    <sheet name="Model" sheetId="2" r:id="rId2"/>
    <sheet name="Epidiol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2" l="1"/>
  <c r="AH28" i="2"/>
  <c r="AG28" i="2"/>
  <c r="AF28" i="2"/>
  <c r="AE28" i="2"/>
  <c r="AD28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C28" i="2"/>
  <c r="AB28" i="2"/>
  <c r="AA28" i="2"/>
  <c r="Z28" i="2"/>
  <c r="Y28" i="2"/>
  <c r="X28" i="2"/>
  <c r="W28" i="2"/>
  <c r="V28" i="2"/>
  <c r="U28" i="2"/>
  <c r="U24" i="2"/>
  <c r="U25" i="2"/>
  <c r="U23" i="2"/>
  <c r="U22" i="2"/>
  <c r="U21" i="2"/>
  <c r="U20" i="2"/>
  <c r="U18" i="2"/>
  <c r="U19" i="2" s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V25" i="2"/>
  <c r="V22" i="2"/>
  <c r="V20" i="2"/>
  <c r="V19" i="2"/>
  <c r="V21" i="2" s="1"/>
  <c r="V23" i="2" s="1"/>
  <c r="V24" i="2" s="1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N12" i="2"/>
  <c r="M30" i="2"/>
  <c r="L30" i="2"/>
  <c r="K30" i="2"/>
  <c r="J30" i="2"/>
  <c r="Q30" i="2"/>
  <c r="P30" i="2"/>
  <c r="O30" i="2"/>
  <c r="N30" i="2"/>
  <c r="O12" i="2"/>
  <c r="R3" i="2"/>
  <c r="W3" i="2" s="1"/>
  <c r="Q3" i="2"/>
  <c r="P3" i="2"/>
  <c r="K6" i="1"/>
  <c r="J28" i="2"/>
  <c r="I28" i="2"/>
  <c r="G28" i="2"/>
  <c r="F28" i="2"/>
  <c r="N7" i="2"/>
  <c r="P7" i="2" s="1"/>
  <c r="Q7" i="2" s="1"/>
  <c r="R7" i="2" s="1"/>
  <c r="Q5" i="2"/>
  <c r="P5" i="2"/>
  <c r="R5" i="2"/>
  <c r="Q4" i="2"/>
  <c r="P4" i="2"/>
  <c r="R4" i="2"/>
  <c r="W4" i="2" s="1"/>
  <c r="X4" i="2" s="1"/>
  <c r="Y4" i="2" s="1"/>
  <c r="Z4" i="2" s="1"/>
  <c r="AA4" i="2" s="1"/>
  <c r="AB4" i="2" s="1"/>
  <c r="F18" i="2"/>
  <c r="F12" i="2"/>
  <c r="F13" i="2"/>
  <c r="F15" i="2" s="1"/>
  <c r="J12" i="2"/>
  <c r="J13" i="2" s="1"/>
  <c r="J15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G18" i="2"/>
  <c r="G12" i="2"/>
  <c r="G13" i="2"/>
  <c r="G15" i="2" s="1"/>
  <c r="G19" i="2" s="1"/>
  <c r="G21" i="2" s="1"/>
  <c r="G23" i="2" s="1"/>
  <c r="G24" i="2" s="1"/>
  <c r="K12" i="2"/>
  <c r="K13" i="2" s="1"/>
  <c r="K15" i="2" s="1"/>
  <c r="K28" i="2" s="1"/>
  <c r="H18" i="2"/>
  <c r="L12" i="2"/>
  <c r="L13" i="2" s="1"/>
  <c r="L15" i="2" s="1"/>
  <c r="L28" i="2" s="1"/>
  <c r="H12" i="2"/>
  <c r="H13" i="2" s="1"/>
  <c r="H15" i="2" s="1"/>
  <c r="H28" i="2" s="1"/>
  <c r="M18" i="2"/>
  <c r="L18" i="2"/>
  <c r="K18" i="2"/>
  <c r="J18" i="2"/>
  <c r="I18" i="2"/>
  <c r="I12" i="2"/>
  <c r="I13" i="2" s="1"/>
  <c r="I15" i="2" s="1"/>
  <c r="M12" i="2"/>
  <c r="M13" i="2" s="1"/>
  <c r="M15" i="2" s="1"/>
  <c r="M28" i="2" s="1"/>
  <c r="K4" i="1"/>
  <c r="K7" i="1" s="1"/>
  <c r="R30" i="2" l="1"/>
  <c r="AC4" i="2"/>
  <c r="AD4" i="2" s="1"/>
  <c r="AE4" i="2" s="1"/>
  <c r="AF4" i="2" s="1"/>
  <c r="AG4" i="2" s="1"/>
  <c r="AH4" i="2" s="1"/>
  <c r="AI4" i="2" s="1"/>
  <c r="P8" i="2"/>
  <c r="Q8" i="2" s="1"/>
  <c r="R8" i="2" s="1"/>
  <c r="X3" i="2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P6" i="2"/>
  <c r="Q6" i="2" s="1"/>
  <c r="R6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P9" i="2"/>
  <c r="Q9" i="2" s="1"/>
  <c r="R9" i="2" s="1"/>
  <c r="W9" i="2"/>
  <c r="P25" i="2"/>
  <c r="Q25" i="2" s="1"/>
  <c r="R25" i="2" s="1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P20" i="2"/>
  <c r="Q20" i="2" s="1"/>
  <c r="R20" i="2" s="1"/>
  <c r="W20" i="2"/>
  <c r="W7" i="2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P11" i="2"/>
  <c r="P10" i="2"/>
  <c r="F19" i="2"/>
  <c r="F21" i="2" s="1"/>
  <c r="F23" i="2" s="1"/>
  <c r="F24" i="2" s="1"/>
  <c r="H19" i="2"/>
  <c r="H21" i="2" s="1"/>
  <c r="H23" i="2" s="1"/>
  <c r="H24" i="2" s="1"/>
  <c r="I19" i="2"/>
  <c r="I21" i="2" s="1"/>
  <c r="I23" i="2" s="1"/>
  <c r="I24" i="2" s="1"/>
  <c r="J19" i="2"/>
  <c r="J21" i="2" s="1"/>
  <c r="J23" i="2" s="1"/>
  <c r="J24" i="2" s="1"/>
  <c r="K19" i="2"/>
  <c r="K21" i="2" s="1"/>
  <c r="K23" i="2" s="1"/>
  <c r="K24" i="2" s="1"/>
  <c r="L19" i="2"/>
  <c r="L21" i="2" s="1"/>
  <c r="L23" i="2" s="1"/>
  <c r="L24" i="2" s="1"/>
  <c r="M19" i="2"/>
  <c r="M21" i="2" s="1"/>
  <c r="M23" i="2" s="1"/>
  <c r="M24" i="2" s="1"/>
  <c r="O13" i="2" l="1"/>
  <c r="O15" i="2" s="1"/>
  <c r="N13" i="2"/>
  <c r="Q10" i="2"/>
  <c r="P12" i="2"/>
  <c r="P13" i="2" s="1"/>
  <c r="Y3" i="2"/>
  <c r="W8" i="2"/>
  <c r="R10" i="2"/>
  <c r="Q11" i="2"/>
  <c r="R11" i="2" s="1"/>
  <c r="W10" i="2" l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Z3" i="2"/>
  <c r="P16" i="2"/>
  <c r="P18" i="2" s="1"/>
  <c r="P14" i="2"/>
  <c r="P15" i="2" s="1"/>
  <c r="P28" i="2" s="1"/>
  <c r="N18" i="2"/>
  <c r="N15" i="2"/>
  <c r="N28" i="2" s="1"/>
  <c r="Q12" i="2"/>
  <c r="R12" i="2" s="1"/>
  <c r="R13" i="2" s="1"/>
  <c r="O28" i="2"/>
  <c r="N19" i="2" l="1"/>
  <c r="N21" i="2" s="1"/>
  <c r="N23" i="2" s="1"/>
  <c r="R16" i="2"/>
  <c r="R18" i="2" s="1"/>
  <c r="R14" i="2"/>
  <c r="R15" i="2" s="1"/>
  <c r="R28" i="2" s="1"/>
  <c r="AA3" i="2"/>
  <c r="W12" i="2"/>
  <c r="X12" i="2" s="1"/>
  <c r="Y12" i="2" s="1"/>
  <c r="O18" i="2"/>
  <c r="O19" i="2" s="1"/>
  <c r="O21" i="2" s="1"/>
  <c r="P19" i="2"/>
  <c r="P21" i="2" s="1"/>
  <c r="P22" i="2" s="1"/>
  <c r="P23" i="2" s="1"/>
  <c r="P24" i="2" s="1"/>
  <c r="Q13" i="2"/>
  <c r="X13" i="2"/>
  <c r="W13" i="2"/>
  <c r="N24" i="2" l="1"/>
  <c r="X14" i="2"/>
  <c r="X15" i="2" s="1"/>
  <c r="X16" i="2"/>
  <c r="X18" i="2" s="1"/>
  <c r="Z12" i="2"/>
  <c r="Y13" i="2"/>
  <c r="Q16" i="2"/>
  <c r="Q14" i="2"/>
  <c r="O23" i="2"/>
  <c r="AB3" i="2"/>
  <c r="R19" i="2"/>
  <c r="R21" i="2" s="1"/>
  <c r="R22" i="2" s="1"/>
  <c r="R23" i="2" s="1"/>
  <c r="R24" i="2" s="1"/>
  <c r="O24" i="2" l="1"/>
  <c r="Q15" i="2"/>
  <c r="Q28" i="2" s="1"/>
  <c r="W14" i="2"/>
  <c r="W15" i="2" s="1"/>
  <c r="X19" i="2"/>
  <c r="AC3" i="2"/>
  <c r="Q18" i="2"/>
  <c r="Q19" i="2" s="1"/>
  <c r="Q21" i="2" s="1"/>
  <c r="Q22" i="2" s="1"/>
  <c r="W16" i="2"/>
  <c r="W18" i="2" s="1"/>
  <c r="Y14" i="2"/>
  <c r="Y15" i="2" s="1"/>
  <c r="Y16" i="2"/>
  <c r="Y18" i="2" s="1"/>
  <c r="AA12" i="2"/>
  <c r="Z13" i="2"/>
  <c r="Y19" i="2" l="1"/>
  <c r="AB12" i="2"/>
  <c r="AA13" i="2"/>
  <c r="Q23" i="2"/>
  <c r="Q24" i="2" s="1"/>
  <c r="W22" i="2"/>
  <c r="AD3" i="2"/>
  <c r="Z16" i="2"/>
  <c r="Z18" i="2" s="1"/>
  <c r="Z14" i="2"/>
  <c r="Z15" i="2" s="1"/>
  <c r="W19" i="2"/>
  <c r="W21" i="2" s="1"/>
  <c r="W23" i="2" l="1"/>
  <c r="W24" i="2" s="1"/>
  <c r="W33" i="2"/>
  <c r="X20" i="2" s="1"/>
  <c r="X21" i="2" s="1"/>
  <c r="X22" i="2" s="1"/>
  <c r="X23" i="2" s="1"/>
  <c r="X24" i="2" s="1"/>
  <c r="AE3" i="2"/>
  <c r="Z19" i="2"/>
  <c r="AA14" i="2"/>
  <c r="AA15" i="2" s="1"/>
  <c r="AA16" i="2"/>
  <c r="AA18" i="2" s="1"/>
  <c r="AC12" i="2"/>
  <c r="AB13" i="2"/>
  <c r="X33" i="2" l="1"/>
  <c r="Y20" i="2" s="1"/>
  <c r="Y21" i="2" s="1"/>
  <c r="Y22" i="2" s="1"/>
  <c r="Y23" i="2" s="1"/>
  <c r="Y24" i="2" s="1"/>
  <c r="AB16" i="2"/>
  <c r="AB18" i="2" s="1"/>
  <c r="AB14" i="2"/>
  <c r="AB15" i="2" s="1"/>
  <c r="AD12" i="2"/>
  <c r="AC13" i="2"/>
  <c r="AA19" i="2"/>
  <c r="AF3" i="2"/>
  <c r="Y33" i="2" l="1"/>
  <c r="AG3" i="2"/>
  <c r="AC16" i="2"/>
  <c r="AC18" i="2" s="1"/>
  <c r="AC14" i="2"/>
  <c r="AC15" i="2" s="1"/>
  <c r="AE12" i="2"/>
  <c r="AD13" i="2"/>
  <c r="AB19" i="2"/>
  <c r="Z20" i="2" l="1"/>
  <c r="Z21" i="2" s="1"/>
  <c r="Z22" i="2" s="1"/>
  <c r="Z23" i="2" s="1"/>
  <c r="Z24" i="2" s="1"/>
  <c r="AD16" i="2"/>
  <c r="AD18" i="2" s="1"/>
  <c r="AD14" i="2"/>
  <c r="AD15" i="2" s="1"/>
  <c r="AF12" i="2"/>
  <c r="AE13" i="2"/>
  <c r="AC19" i="2"/>
  <c r="AH3" i="2"/>
  <c r="Z33" i="2" l="1"/>
  <c r="AA20" i="2" s="1"/>
  <c r="AA21" i="2" s="1"/>
  <c r="AA22" i="2" s="1"/>
  <c r="AA23" i="2" s="1"/>
  <c r="AA24" i="2" s="1"/>
  <c r="AI3" i="2"/>
  <c r="AE16" i="2"/>
  <c r="AE18" i="2" s="1"/>
  <c r="AE14" i="2"/>
  <c r="AE15" i="2" s="1"/>
  <c r="AG12" i="2"/>
  <c r="AF13" i="2"/>
  <c r="AD19" i="2"/>
  <c r="AA33" i="2" l="1"/>
  <c r="AB20" i="2"/>
  <c r="AB21" i="2" s="1"/>
  <c r="AB22" i="2" s="1"/>
  <c r="AB23" i="2" s="1"/>
  <c r="AB24" i="2" s="1"/>
  <c r="AF16" i="2"/>
  <c r="AF18" i="2" s="1"/>
  <c r="AF14" i="2"/>
  <c r="AF15" i="2" s="1"/>
  <c r="AH12" i="2"/>
  <c r="AG13" i="2"/>
  <c r="AE19" i="2"/>
  <c r="AB33" i="2" l="1"/>
  <c r="AG16" i="2"/>
  <c r="AG18" i="2" s="1"/>
  <c r="AG14" i="2"/>
  <c r="AG15" i="2" s="1"/>
  <c r="AI12" i="2"/>
  <c r="AI13" i="2" s="1"/>
  <c r="AH13" i="2"/>
  <c r="AF19" i="2"/>
  <c r="AC20" i="2" l="1"/>
  <c r="AC21" i="2" s="1"/>
  <c r="AC22" i="2" s="1"/>
  <c r="AC23" i="2" s="1"/>
  <c r="AH14" i="2"/>
  <c r="AH15" i="2" s="1"/>
  <c r="AH16" i="2"/>
  <c r="AH18" i="2" s="1"/>
  <c r="AI16" i="2"/>
  <c r="AI18" i="2" s="1"/>
  <c r="AI14" i="2"/>
  <c r="AI15" i="2" s="1"/>
  <c r="AG19" i="2"/>
  <c r="AH19" i="2" l="1"/>
  <c r="AC24" i="2"/>
  <c r="AC33" i="2"/>
  <c r="AI19" i="2"/>
  <c r="AD20" i="2" l="1"/>
  <c r="AD21" i="2" s="1"/>
  <c r="AD22" i="2" s="1"/>
  <c r="AD23" i="2" s="1"/>
  <c r="AD24" i="2" l="1"/>
  <c r="AD33" i="2"/>
  <c r="AE20" i="2" l="1"/>
  <c r="AE21" i="2" s="1"/>
  <c r="AE22" i="2" s="1"/>
  <c r="AE23" i="2" s="1"/>
  <c r="AE24" i="2" l="1"/>
  <c r="AE33" i="2"/>
  <c r="AF20" i="2" l="1"/>
  <c r="AF21" i="2" s="1"/>
  <c r="AF22" i="2" s="1"/>
  <c r="AF23" i="2" s="1"/>
  <c r="AF24" i="2" l="1"/>
  <c r="AF33" i="2"/>
  <c r="AG20" i="2" l="1"/>
  <c r="AG21" i="2" s="1"/>
  <c r="AG22" i="2" s="1"/>
  <c r="AG23" i="2" s="1"/>
  <c r="AG24" i="2" l="1"/>
  <c r="AG33" i="2"/>
  <c r="AH20" i="2" l="1"/>
  <c r="AH21" i="2" s="1"/>
  <c r="AH22" i="2" s="1"/>
  <c r="AH23" i="2" s="1"/>
  <c r="AH24" i="2" s="1"/>
  <c r="AH33" i="2" l="1"/>
  <c r="AI20" i="2" l="1"/>
  <c r="AI21" i="2" s="1"/>
  <c r="AI22" i="2" s="1"/>
  <c r="AI23" i="2" s="1"/>
  <c r="AI24" i="2" l="1"/>
  <c r="AJ23" i="2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AL28" i="2" s="1"/>
  <c r="AL29" i="2" s="1"/>
  <c r="AI33" i="2"/>
</calcChain>
</file>

<file path=xl/sharedStrings.xml><?xml version="1.0" encoding="utf-8"?>
<sst xmlns="http://schemas.openxmlformats.org/spreadsheetml/2006/main" count="119" uniqueCount="111">
  <si>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</si>
  <si>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</si>
  <si>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</si>
  <si>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</si>
  <si>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</si>
  <si>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</si>
  <si>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</si>
  <si>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</si>
  <si>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</si>
  <si>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</si>
  <si>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</si>
  <si>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</si>
  <si>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</si>
  <si>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</si>
  <si>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</si>
  <si>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</si>
  <si>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</si>
  <si>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</si>
  <si>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</si>
  <si>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Xyrem</t>
  </si>
  <si>
    <t>Revenue</t>
  </si>
  <si>
    <t>Xywav</t>
  </si>
  <si>
    <t>Epidiolex</t>
  </si>
  <si>
    <t>Sativex</t>
  </si>
  <si>
    <t>Sunosi</t>
  </si>
  <si>
    <t>Zepzelca</t>
  </si>
  <si>
    <t>Rylaze</t>
  </si>
  <si>
    <t>Vyxeos</t>
  </si>
  <si>
    <t>Defitelio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</si>
  <si>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</si>
  <si>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</si>
  <si>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</si>
  <si>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</si>
  <si>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</si>
  <si>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</si>
  <si>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</si>
  <si>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</si>
  <si>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</si>
  <si>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</si>
  <si>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</si>
  <si>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</si>
  <si>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Name</t>
  </si>
  <si>
    <t>Indication</t>
  </si>
  <si>
    <t>IH</t>
  </si>
  <si>
    <t>SCLC</t>
  </si>
  <si>
    <t>JZP815</t>
  </si>
  <si>
    <t>pan-RAF</t>
  </si>
  <si>
    <t>Epidyolex</t>
  </si>
  <si>
    <t>zanidatamab</t>
  </si>
  <si>
    <t>suvecaltamide</t>
  </si>
  <si>
    <t>Parkinson's</t>
  </si>
  <si>
    <t>JZP441</t>
  </si>
  <si>
    <t>orexin-2 agonist</t>
  </si>
  <si>
    <t>MOA</t>
  </si>
  <si>
    <t>Zepzelca (lurbinectedin)</t>
  </si>
  <si>
    <t>Rylaze (asparaginase)</t>
  </si>
  <si>
    <t>ALL</t>
  </si>
  <si>
    <t>TSC/Dravet</t>
  </si>
  <si>
    <t>Economics</t>
  </si>
  <si>
    <t>ZYME</t>
  </si>
  <si>
    <t>HER2</t>
  </si>
  <si>
    <t>T-type Ca inhibitor</t>
  </si>
  <si>
    <t>JZP150</t>
  </si>
  <si>
    <t>PTSD</t>
  </si>
  <si>
    <t>FAAH</t>
  </si>
  <si>
    <t>Approved</t>
  </si>
  <si>
    <t>Phase</t>
  </si>
  <si>
    <t>I</t>
  </si>
  <si>
    <t>Q123</t>
  </si>
  <si>
    <t>Q223</t>
  </si>
  <si>
    <t>Q323</t>
  </si>
  <si>
    <t>Q423</t>
  </si>
  <si>
    <t>Gross Margin</t>
  </si>
  <si>
    <t>Xywav (Ca, Mg, K, Na oxybate)</t>
  </si>
  <si>
    <t>Xyrem (Na oxybate)</t>
  </si>
  <si>
    <t>Brand</t>
  </si>
  <si>
    <t>IP</t>
  </si>
  <si>
    <t>9949937 MOU for epilepsy</t>
  </si>
  <si>
    <t>9956183 MOU</t>
  </si>
  <si>
    <t>9956184 MOU</t>
  </si>
  <si>
    <t>9956185 MOU</t>
  </si>
  <si>
    <t>9956186 MOU</t>
  </si>
  <si>
    <t>10092525 MOU for epilepsy</t>
  </si>
  <si>
    <t>10111840 MOU for epilepsy</t>
  </si>
  <si>
    <t>10137095 MOU for epilepsy</t>
  </si>
  <si>
    <t>10195159 plant based</t>
  </si>
  <si>
    <t>Manufacturing</t>
  </si>
  <si>
    <t>Plant-derived</t>
  </si>
  <si>
    <t>10603288 MOU</t>
  </si>
  <si>
    <t>10709671 MOU</t>
  </si>
  <si>
    <t>10709673 MOU</t>
  </si>
  <si>
    <t>10709674 MOU</t>
  </si>
  <si>
    <t>10849860 MOU</t>
  </si>
  <si>
    <t>10918608 MOU</t>
  </si>
  <si>
    <t>10966939 MOU</t>
  </si>
  <si>
    <t>11065209 MOU</t>
  </si>
  <si>
    <t>11096905 MOU</t>
  </si>
  <si>
    <t>11154516 MOU</t>
  </si>
  <si>
    <t>11160795 MOU</t>
  </si>
  <si>
    <t>11207292 formulation</t>
  </si>
  <si>
    <t>11311498 MOU</t>
  </si>
  <si>
    <t>11357741 MOU</t>
  </si>
  <si>
    <t>11400055 MOU</t>
  </si>
  <si>
    <t>11406623 MOU</t>
  </si>
  <si>
    <t>11446258 MOU</t>
  </si>
  <si>
    <t>Discount</t>
  </si>
  <si>
    <t>NPV</t>
  </si>
  <si>
    <t>ROIC</t>
  </si>
  <si>
    <t>Maturity</t>
  </si>
  <si>
    <t>Oxybate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</si>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</sst>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21925</xdr:colOff>
      <xdr:row>0</xdr:row>
      <xdr:rowOff>78842</xdr:rowOff>
    </xdr:from>
    <xdr:to>
      <xdr:col>15</xdr:col>
      <xdr:colOff>21925</xdr:colOff>
      <xdr:row>33</xdr:row>
      <xdr:rowOff>43559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AD753D-0FB2-EF5C-D299-95ABADB404B3}"/>
            </a:ext>
          </a:extLst>
        </xdr:cNvPr>
        <xdr:cNvCxnSpPr/>
      </xdr:nvCxnSpPr>
      <xdr:spPr>
        <a:xfrm>
          <a:off x="9457628" y="78842"/>
          <a:ext cx="0" cy="5268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28605</xdr:colOff>
      <xdr:row>0</xdr:row>
      <xdr:rowOff>47625</xdr:rowOff>
    </xdr:from>
    <xdr:to>
      <xdr:col>22</xdr:col>
      <xdr:colOff>28605</xdr:colOff>
      <xdr:row>33</xdr:row>
      <xdr:rowOff>12342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652E3C-E721-43B0-AED9-7F673169A911}"/>
            </a:ext>
          </a:extLst>
        </xdr:cNvPr>
        <xdr:cNvCxnSpPr/>
      </xdr:nvCxnSpPr>
      <xdr:spPr>
        <a:xfrm>
          <a:off x="13714839" y="47625"/>
          <a:ext cx="0" cy="5268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F0EA-6190-476D-832E-2260D789DF8A}">
  <dimension ref="B2:L14"/>
  <sheetViews>
    <sheetView zoomScale="160" zoomScaleNormal="160" workbookViewId="0"/>
  </sheetViews>
  <sheetFormatPr defaultRowHeight="12.75" x14ac:dyDescent="0.2"/>
  <cols>
    <col min="1" max="1" width="3" customWidth="1"/>
    <col min="2" max="2" width="28.42578125" customWidth="1"/>
    <col min="3" max="3" width="11" customWidth="1"/>
    <col min="4" max="4" width="16.5703125" customWidth="1"/>
    <col min="5" max="5" width="10.85546875" customWidth="1"/>
    <col min="6" max="6" width="10.42578125" customWidth="1"/>
  </cols>
  <sheetData>
    <row r="2" spans="2:12" x14ac:dyDescent="0.2">
      <c r="B2" s="11" t="s">
        <v>41</v>
      </c>
      <c r="C2" s="21" t="s">
        <v>42</v>
      </c>
      <c r="D2" s="21" t="s">
        <v>53</v>
      </c>
      <c r="E2" s="21" t="s">
        <v>58</v>
      </c>
      <c r="F2" s="21" t="s">
        <v>65</v>
      </c>
      <c r="G2" s="12"/>
      <c r="H2" s="13"/>
      <c r="J2" t="s">
        <v>0</v>
      </c>
      <c r="K2">
        <v>128.06</v>
      </c>
    </row>
    <row r="3" spans="2:12" x14ac:dyDescent="0.2">
      <c r="B3" s="14" t="s">
        <v>73</v>
      </c>
      <c r="C3" s="23" t="s">
        <v>43</v>
      </c>
      <c r="D3" s="23"/>
      <c r="E3" s="23"/>
      <c r="F3" s="22">
        <v>44033</v>
      </c>
      <c r="H3" s="15"/>
      <c r="J3" t="s">
        <v>1</v>
      </c>
      <c r="K3" s="1">
        <v>64.004790999999997</v>
      </c>
      <c r="L3" s="2" t="s">
        <v>68</v>
      </c>
    </row>
    <row r="4" spans="2:12" x14ac:dyDescent="0.2">
      <c r="B4" s="14" t="s">
        <v>74</v>
      </c>
      <c r="C4" s="23" t="s">
        <v>43</v>
      </c>
      <c r="D4" s="23"/>
      <c r="E4" s="23"/>
      <c r="F4" s="22">
        <v>37454</v>
      </c>
      <c r="H4" s="15"/>
      <c r="J4" t="s">
        <v>2</v>
      </c>
      <c r="K4" s="1">
        <f>+K2*K3</f>
        <v>8196.4535354599993</v>
      </c>
    </row>
    <row r="5" spans="2:12" x14ac:dyDescent="0.2">
      <c r="B5" s="14" t="s">
        <v>55</v>
      </c>
      <c r="C5" s="23" t="s">
        <v>56</v>
      </c>
      <c r="D5" s="23"/>
      <c r="E5" s="23"/>
      <c r="F5" s="23"/>
      <c r="H5" s="15"/>
      <c r="J5" t="s">
        <v>3</v>
      </c>
      <c r="K5" s="1">
        <v>1167.9110000000001</v>
      </c>
      <c r="L5" s="2" t="s">
        <v>68</v>
      </c>
    </row>
    <row r="6" spans="2:12" x14ac:dyDescent="0.2">
      <c r="B6" s="14" t="s">
        <v>54</v>
      </c>
      <c r="C6" s="23" t="s">
        <v>44</v>
      </c>
      <c r="D6" s="23"/>
      <c r="E6" s="23"/>
      <c r="F6" s="23"/>
      <c r="H6" s="15"/>
      <c r="J6" t="s">
        <v>4</v>
      </c>
      <c r="K6" s="1">
        <f>5689.662+31</f>
        <v>5720.6620000000003</v>
      </c>
      <c r="L6" s="2" t="s">
        <v>68</v>
      </c>
    </row>
    <row r="7" spans="2:12" x14ac:dyDescent="0.2">
      <c r="B7" s="14" t="s">
        <v>47</v>
      </c>
      <c r="C7" s="23" t="s">
        <v>57</v>
      </c>
      <c r="D7" s="23"/>
      <c r="E7" s="23"/>
      <c r="F7" s="22">
        <v>43371</v>
      </c>
      <c r="H7" s="15"/>
      <c r="J7" t="s">
        <v>5</v>
      </c>
      <c r="K7" s="1">
        <f>+K4-K5+K6</f>
        <v>12749.20453546</v>
      </c>
    </row>
    <row r="8" spans="2:12" x14ac:dyDescent="0.2">
      <c r="B8" s="11"/>
      <c r="C8" s="21"/>
      <c r="D8" s="21"/>
      <c r="E8" s="21"/>
      <c r="F8" s="21" t="s">
        <v>66</v>
      </c>
      <c r="G8" s="12"/>
      <c r="H8" s="13"/>
      <c r="K8" s="1"/>
    </row>
    <row r="9" spans="2:12" x14ac:dyDescent="0.2">
      <c r="B9" s="14" t="s">
        <v>45</v>
      </c>
      <c r="C9" s="23"/>
      <c r="D9" s="23" t="s">
        <v>46</v>
      </c>
      <c r="E9" s="23"/>
      <c r="F9" s="23" t="s">
        <v>67</v>
      </c>
      <c r="H9" s="15"/>
    </row>
    <row r="10" spans="2:12" x14ac:dyDescent="0.2">
      <c r="B10" s="14" t="s">
        <v>48</v>
      </c>
      <c r="C10" s="23"/>
      <c r="D10" s="23" t="s">
        <v>60</v>
      </c>
      <c r="E10" s="23" t="s">
        <v>59</v>
      </c>
      <c r="F10" s="23"/>
      <c r="H10" s="15"/>
    </row>
    <row r="11" spans="2:12" x14ac:dyDescent="0.2">
      <c r="B11" s="14" t="s">
        <v>49</v>
      </c>
      <c r="C11" s="23" t="s">
        <v>50</v>
      </c>
      <c r="D11" s="23" t="s">
        <v>61</v>
      </c>
      <c r="E11" s="23"/>
      <c r="F11" s="23"/>
      <c r="H11" s="15"/>
    </row>
    <row r="12" spans="2:12" x14ac:dyDescent="0.2">
      <c r="B12" s="14" t="s">
        <v>51</v>
      </c>
      <c r="C12" s="23"/>
      <c r="D12" s="23" t="s">
        <v>52</v>
      </c>
      <c r="E12" s="23"/>
      <c r="F12" s="23" t="s">
        <v>67</v>
      </c>
      <c r="H12" s="15"/>
    </row>
    <row r="13" spans="2:12" x14ac:dyDescent="0.2">
      <c r="B13" s="14" t="s">
        <v>62</v>
      </c>
      <c r="C13" s="23" t="s">
        <v>63</v>
      </c>
      <c r="D13" s="23" t="s">
        <v>64</v>
      </c>
      <c r="E13" s="23"/>
      <c r="F13" s="23"/>
      <c r="H13" s="15"/>
    </row>
    <row r="14" spans="2:12" x14ac:dyDescent="0.2">
      <c r="B14" s="16"/>
      <c r="C14" s="24"/>
      <c r="D14" s="24"/>
      <c r="E14" s="24"/>
      <c r="F14" s="24"/>
      <c r="G14" s="17"/>
      <c r="H14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5E3F-0D5A-4F1A-A75A-A8CE578AC72F}">
  <dimension ref="A1:CT33"/>
  <sheetViews>
    <sheetView tabSelected="1" zoomScale="160" zoomScaleNormal="1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R27" sqref="R27"/>
    </sheetView>
  </sheetViews>
  <sheetFormatPr defaultRowHeight="12.75" x14ac:dyDescent="0.2"/>
  <cols>
    <col min="1" max="1" width="5" bestFit="1" customWidth="1"/>
    <col min="2" max="2" width="18.140625" bestFit="1" customWidth="1"/>
    <col min="3" max="16" width="9.140625" style="2"/>
    <col min="38" max="38" width="11.140625" bestFit="1" customWidth="1"/>
  </cols>
  <sheetData>
    <row r="1" spans="1:35" x14ac:dyDescent="0.2">
      <c r="A1" s="8" t="s">
        <v>7</v>
      </c>
    </row>
    <row r="2" spans="1:35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68</v>
      </c>
      <c r="P2" s="2" t="s">
        <v>69</v>
      </c>
      <c r="Q2" s="2" t="s">
        <v>70</v>
      </c>
      <c r="R2" s="2" t="s">
        <v>71</v>
      </c>
      <c r="T2">
        <v>2020</v>
      </c>
      <c r="U2">
        <f>+T2+1</f>
        <v>2021</v>
      </c>
      <c r="V2">
        <f t="shared" ref="V2:AI2" si="0">+U2+1</f>
        <v>2022</v>
      </c>
      <c r="W2">
        <f t="shared" si="0"/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s="3" customFormat="1" x14ac:dyDescent="0.2">
      <c r="B3" s="3" t="s">
        <v>19</v>
      </c>
      <c r="C3" s="4"/>
      <c r="D3" s="4"/>
      <c r="E3" s="4"/>
      <c r="F3" s="4">
        <v>439.26600000000002</v>
      </c>
      <c r="G3" s="4">
        <v>335.55</v>
      </c>
      <c r="H3" s="4">
        <v>334.18200000000002</v>
      </c>
      <c r="I3" s="4">
        <v>307.33300000000003</v>
      </c>
      <c r="J3" s="4">
        <v>288.76499999999999</v>
      </c>
      <c r="K3" s="4">
        <v>247.49700000000001</v>
      </c>
      <c r="L3" s="4">
        <v>269.42099999999999</v>
      </c>
      <c r="M3" s="4">
        <v>256.03899999999999</v>
      </c>
      <c r="N3" s="4">
        <v>247.49600000000001</v>
      </c>
      <c r="O3" s="4">
        <v>178.13</v>
      </c>
      <c r="P3" s="4">
        <f>+L3*0.7</f>
        <v>188.59469999999999</v>
      </c>
      <c r="Q3" s="4">
        <f>+M3*0.7</f>
        <v>179.22729999999999</v>
      </c>
      <c r="R3" s="4">
        <f>+N3*0.7</f>
        <v>173.24719999999999</v>
      </c>
      <c r="U3" s="3">
        <f>SUM(G3:J3)</f>
        <v>1265.83</v>
      </c>
      <c r="V3" s="3">
        <f>SUM(K3:N3)</f>
        <v>1020.453</v>
      </c>
      <c r="W3" s="3">
        <f>SUM(O3:R3)</f>
        <v>719.19920000000002</v>
      </c>
      <c r="X3" s="3">
        <f>+W3*0.5</f>
        <v>359.59960000000001</v>
      </c>
      <c r="Y3" s="3">
        <f t="shared" ref="Y3:AH3" si="1">+X3*0.5</f>
        <v>179.7998</v>
      </c>
      <c r="Z3" s="3">
        <f t="shared" si="1"/>
        <v>89.899900000000002</v>
      </c>
      <c r="AA3" s="3">
        <f t="shared" si="1"/>
        <v>44.949950000000001</v>
      </c>
      <c r="AB3" s="3">
        <f t="shared" si="1"/>
        <v>22.474975000000001</v>
      </c>
      <c r="AC3" s="3">
        <f t="shared" si="1"/>
        <v>11.2374875</v>
      </c>
      <c r="AD3" s="3">
        <f t="shared" si="1"/>
        <v>5.6187437500000001</v>
      </c>
      <c r="AE3" s="3">
        <f t="shared" si="1"/>
        <v>2.8093718750000001</v>
      </c>
      <c r="AF3" s="3">
        <f t="shared" si="1"/>
        <v>1.4046859375</v>
      </c>
      <c r="AG3" s="3">
        <f t="shared" si="1"/>
        <v>0.70234296875000002</v>
      </c>
      <c r="AH3" s="3">
        <f t="shared" si="1"/>
        <v>0.35117148437500001</v>
      </c>
      <c r="AI3" s="3">
        <f t="shared" ref="AI3" si="2">+AH3*0.5</f>
        <v>0.1755857421875</v>
      </c>
    </row>
    <row r="4" spans="1:35" s="3" customFormat="1" x14ac:dyDescent="0.2">
      <c r="B4" s="3" t="s">
        <v>21</v>
      </c>
      <c r="C4" s="4"/>
      <c r="D4" s="4"/>
      <c r="E4" s="4"/>
      <c r="F4" s="4">
        <v>15.263999999999999</v>
      </c>
      <c r="G4" s="4">
        <v>75.415999999999997</v>
      </c>
      <c r="H4" s="4">
        <v>124.164</v>
      </c>
      <c r="I4" s="4">
        <v>153.06299999999999</v>
      </c>
      <c r="J4" s="4">
        <v>182.654</v>
      </c>
      <c r="K4" s="4">
        <v>186.08</v>
      </c>
      <c r="L4" s="4">
        <v>235.02500000000001</v>
      </c>
      <c r="M4" s="4">
        <v>255.93600000000001</v>
      </c>
      <c r="N4" s="4">
        <v>281.38400000000001</v>
      </c>
      <c r="O4" s="4">
        <v>277.76100000000002</v>
      </c>
      <c r="P4" s="4">
        <f>+L4*1.2</f>
        <v>282.02999999999997</v>
      </c>
      <c r="Q4" s="4">
        <f>+M4*1.2</f>
        <v>307.1232</v>
      </c>
      <c r="R4" s="4">
        <f>+N4*1.2</f>
        <v>337.66079999999999</v>
      </c>
      <c r="U4" s="3">
        <f t="shared" ref="U4:U17" si="3">SUM(G4:J4)</f>
        <v>535.29700000000003</v>
      </c>
      <c r="V4" s="3">
        <f>SUM(K4:N4)</f>
        <v>958.42500000000007</v>
      </c>
      <c r="W4" s="3">
        <f t="shared" ref="W4:W16" si="4">SUM(O4:R4)</f>
        <v>1204.5749999999998</v>
      </c>
      <c r="X4" s="3">
        <f>+W4*1.1</f>
        <v>1325.0324999999998</v>
      </c>
      <c r="Y4" s="3">
        <f t="shared" ref="Y4:Z4" si="5">+X4*1.1</f>
        <v>1457.53575</v>
      </c>
      <c r="Z4" s="3">
        <f t="shared" si="5"/>
        <v>1603.2893250000002</v>
      </c>
      <c r="AA4" s="3">
        <f>+Z4*1.05</f>
        <v>1683.4537912500002</v>
      </c>
      <c r="AB4" s="3">
        <f t="shared" ref="AB4:AF4" si="6">+AA4*1.05</f>
        <v>1767.6264808125004</v>
      </c>
      <c r="AC4" s="3">
        <f t="shared" si="6"/>
        <v>1856.0078048531254</v>
      </c>
      <c r="AD4" s="3">
        <f t="shared" si="6"/>
        <v>1948.8081950957817</v>
      </c>
      <c r="AE4" s="3">
        <f t="shared" si="6"/>
        <v>2046.2486048505709</v>
      </c>
      <c r="AF4" s="3">
        <f t="shared" si="6"/>
        <v>2148.5610350930997</v>
      </c>
      <c r="AG4" s="3">
        <f>+AF4*0.5</f>
        <v>1074.2805175465498</v>
      </c>
      <c r="AH4" s="3">
        <f>+AG4*0.2</f>
        <v>214.85610350930997</v>
      </c>
      <c r="AI4" s="3">
        <f t="shared" ref="AI4" si="7">+AH4*0.2</f>
        <v>42.971220701861995</v>
      </c>
    </row>
    <row r="5" spans="1:35" s="3" customFormat="1" x14ac:dyDescent="0.2">
      <c r="B5" s="3" t="s">
        <v>22</v>
      </c>
      <c r="C5" s="4"/>
      <c r="D5" s="4"/>
      <c r="E5" s="4"/>
      <c r="F5" s="4">
        <v>0</v>
      </c>
      <c r="G5" s="4">
        <v>0</v>
      </c>
      <c r="H5" s="4">
        <v>109.48099999999999</v>
      </c>
      <c r="I5" s="4">
        <v>160.37799999999999</v>
      </c>
      <c r="J5" s="4">
        <v>193.786</v>
      </c>
      <c r="K5" s="4">
        <v>157.893</v>
      </c>
      <c r="L5" s="4">
        <v>175.28899999999999</v>
      </c>
      <c r="M5" s="4">
        <v>196.21799999999999</v>
      </c>
      <c r="N5" s="4">
        <v>206.99799999999999</v>
      </c>
      <c r="O5" s="4">
        <v>188.90899999999999</v>
      </c>
      <c r="P5" s="4">
        <f t="shared" ref="P5:R5" si="8">+L5*1.1</f>
        <v>192.81790000000001</v>
      </c>
      <c r="Q5" s="4">
        <f t="shared" si="8"/>
        <v>215.8398</v>
      </c>
      <c r="R5" s="4">
        <f t="shared" si="8"/>
        <v>227.6978</v>
      </c>
      <c r="U5" s="3">
        <f t="shared" si="3"/>
        <v>463.64499999999998</v>
      </c>
      <c r="V5" s="3">
        <f>SUM(K5:N5)</f>
        <v>736.39799999999991</v>
      </c>
      <c r="W5" s="3">
        <f t="shared" si="4"/>
        <v>825.2645</v>
      </c>
      <c r="X5" s="3">
        <f>+W5*1.1</f>
        <v>907.79095000000007</v>
      </c>
      <c r="Y5" s="3">
        <f t="shared" ref="Y5:Z5" si="9">+X5*1.1</f>
        <v>998.57004500000016</v>
      </c>
      <c r="Z5" s="3">
        <f t="shared" si="9"/>
        <v>1098.4270495000003</v>
      </c>
      <c r="AA5" s="3">
        <f>+Z5*1.03</f>
        <v>1131.3798609850003</v>
      </c>
      <c r="AB5" s="3">
        <f>+AA5*0.7</f>
        <v>791.96590268950013</v>
      </c>
      <c r="AC5" s="3">
        <f>+AB5*0.7</f>
        <v>554.37613188265004</v>
      </c>
      <c r="AD5" s="3">
        <f t="shared" ref="AD5:AI5" si="10">+AC5*0.7</f>
        <v>388.06329231785503</v>
      </c>
      <c r="AE5" s="3">
        <f t="shared" si="10"/>
        <v>271.64430462249851</v>
      </c>
      <c r="AF5" s="3">
        <f t="shared" si="10"/>
        <v>190.15101323574893</v>
      </c>
      <c r="AG5" s="3">
        <f t="shared" si="10"/>
        <v>133.10570926502425</v>
      </c>
      <c r="AH5" s="3">
        <f t="shared" si="10"/>
        <v>93.173996485516966</v>
      </c>
      <c r="AI5" s="3">
        <f t="shared" si="10"/>
        <v>65.221797539861868</v>
      </c>
    </row>
    <row r="6" spans="1:35" s="3" customFormat="1" x14ac:dyDescent="0.2">
      <c r="B6" s="3" t="s">
        <v>23</v>
      </c>
      <c r="C6" s="4"/>
      <c r="D6" s="4"/>
      <c r="E6" s="4"/>
      <c r="F6" s="4">
        <v>0</v>
      </c>
      <c r="G6" s="4">
        <v>0</v>
      </c>
      <c r="H6" s="4">
        <v>1.9610000000000001</v>
      </c>
      <c r="I6" s="4">
        <v>6.0970000000000004</v>
      </c>
      <c r="J6" s="4">
        <v>4.649</v>
      </c>
      <c r="K6" s="4">
        <v>4.742</v>
      </c>
      <c r="L6" s="4">
        <v>4.1420000000000003</v>
      </c>
      <c r="M6" s="4">
        <v>3.22</v>
      </c>
      <c r="N6" s="4">
        <v>4.7210000000000001</v>
      </c>
      <c r="O6" s="4">
        <v>7.0979999999999999</v>
      </c>
      <c r="P6" s="4">
        <f t="shared" ref="P6:R6" si="11">+O6*0.9</f>
        <v>6.3882000000000003</v>
      </c>
      <c r="Q6" s="4">
        <f t="shared" si="11"/>
        <v>5.7493800000000004</v>
      </c>
      <c r="R6" s="4">
        <f t="shared" si="11"/>
        <v>5.1744420000000009</v>
      </c>
      <c r="U6" s="3">
        <f t="shared" si="3"/>
        <v>12.707000000000001</v>
      </c>
      <c r="V6" s="3">
        <f>SUM(K6:N6)</f>
        <v>16.825000000000003</v>
      </c>
      <c r="W6" s="3">
        <f t="shared" si="4"/>
        <v>24.410021999999998</v>
      </c>
      <c r="X6" s="3">
        <f>+W6*0.9</f>
        <v>21.969019799999998</v>
      </c>
      <c r="Y6" s="3">
        <f t="shared" ref="Y6:AI6" si="12">+X6*0.9</f>
        <v>19.772117819999998</v>
      </c>
      <c r="Z6" s="3">
        <f t="shared" si="12"/>
        <v>17.794906038000001</v>
      </c>
      <c r="AA6" s="3">
        <f t="shared" si="12"/>
        <v>16.015415434200001</v>
      </c>
      <c r="AB6" s="3">
        <f t="shared" si="12"/>
        <v>14.413873890780001</v>
      </c>
      <c r="AC6" s="3">
        <f t="shared" si="12"/>
        <v>12.972486501702001</v>
      </c>
      <c r="AD6" s="3">
        <f t="shared" si="12"/>
        <v>11.675237851531801</v>
      </c>
      <c r="AE6" s="3">
        <f t="shared" si="12"/>
        <v>10.507714066378622</v>
      </c>
      <c r="AF6" s="3">
        <f t="shared" si="12"/>
        <v>9.4569426597407595</v>
      </c>
      <c r="AG6" s="3">
        <f t="shared" si="12"/>
        <v>8.5112483937666834</v>
      </c>
      <c r="AH6" s="3">
        <f t="shared" si="12"/>
        <v>7.6601235543900152</v>
      </c>
      <c r="AI6" s="3">
        <f t="shared" si="12"/>
        <v>6.8941111989510135</v>
      </c>
    </row>
    <row r="7" spans="1:35" s="3" customFormat="1" x14ac:dyDescent="0.2">
      <c r="B7" s="3" t="s">
        <v>24</v>
      </c>
      <c r="C7" s="4"/>
      <c r="D7" s="4"/>
      <c r="E7" s="4"/>
      <c r="F7" s="4">
        <v>8.7149999999999999</v>
      </c>
      <c r="G7" s="4">
        <v>11.606</v>
      </c>
      <c r="H7" s="4">
        <v>12.124000000000001</v>
      </c>
      <c r="I7" s="4">
        <v>19.251000000000001</v>
      </c>
      <c r="J7" s="4">
        <v>14.933</v>
      </c>
      <c r="K7" s="4">
        <v>15.878</v>
      </c>
      <c r="L7" s="4">
        <v>12.965999999999999</v>
      </c>
      <c r="M7" s="4">
        <v>0</v>
      </c>
      <c r="N7" s="4">
        <f t="shared" ref="N7:R7" si="13">+M7*0.9</f>
        <v>0</v>
      </c>
      <c r="O7" s="4">
        <v>0</v>
      </c>
      <c r="P7" s="4">
        <f t="shared" si="13"/>
        <v>0</v>
      </c>
      <c r="Q7" s="4">
        <f t="shared" si="13"/>
        <v>0</v>
      </c>
      <c r="R7" s="4">
        <f t="shared" si="13"/>
        <v>0</v>
      </c>
      <c r="U7" s="3">
        <f t="shared" si="3"/>
        <v>57.914000000000001</v>
      </c>
      <c r="V7" s="3">
        <f>SUM(K7:N7)</f>
        <v>28.844000000000001</v>
      </c>
      <c r="W7" s="3">
        <f t="shared" si="4"/>
        <v>0</v>
      </c>
      <c r="X7" s="3">
        <f t="shared" ref="X7:AI7" si="14">+W7*0.9</f>
        <v>0</v>
      </c>
      <c r="Y7" s="3">
        <f t="shared" si="14"/>
        <v>0</v>
      </c>
      <c r="Z7" s="3">
        <f t="shared" si="14"/>
        <v>0</v>
      </c>
      <c r="AA7" s="3">
        <f t="shared" si="14"/>
        <v>0</v>
      </c>
      <c r="AB7" s="3">
        <f t="shared" si="14"/>
        <v>0</v>
      </c>
      <c r="AC7" s="3">
        <f t="shared" si="14"/>
        <v>0</v>
      </c>
      <c r="AD7" s="3">
        <f t="shared" si="14"/>
        <v>0</v>
      </c>
      <c r="AE7" s="3">
        <f t="shared" si="14"/>
        <v>0</v>
      </c>
      <c r="AF7" s="3">
        <f t="shared" si="14"/>
        <v>0</v>
      </c>
      <c r="AG7" s="3">
        <f t="shared" si="14"/>
        <v>0</v>
      </c>
      <c r="AH7" s="3">
        <f t="shared" si="14"/>
        <v>0</v>
      </c>
      <c r="AI7" s="3">
        <f t="shared" si="14"/>
        <v>0</v>
      </c>
    </row>
    <row r="8" spans="1:35" s="3" customFormat="1" x14ac:dyDescent="0.2">
      <c r="B8" s="3" t="s">
        <v>25</v>
      </c>
      <c r="C8" s="4"/>
      <c r="D8" s="4"/>
      <c r="E8" s="4"/>
      <c r="F8" s="4">
        <v>53.439</v>
      </c>
      <c r="G8" s="4">
        <v>54.334000000000003</v>
      </c>
      <c r="H8" s="4">
        <v>55.923999999999999</v>
      </c>
      <c r="I8" s="4">
        <v>71.713999999999999</v>
      </c>
      <c r="J8" s="4">
        <v>64.835999999999999</v>
      </c>
      <c r="K8" s="4">
        <v>59.338000000000001</v>
      </c>
      <c r="L8" s="4">
        <v>68.284999999999997</v>
      </c>
      <c r="M8" s="4">
        <v>70.319999999999993</v>
      </c>
      <c r="N8" s="4">
        <v>71.968999999999994</v>
      </c>
      <c r="O8" s="4">
        <v>67.180999999999997</v>
      </c>
      <c r="P8" s="4">
        <f t="shared" ref="P8:R8" si="15">+O8+1</f>
        <v>68.180999999999997</v>
      </c>
      <c r="Q8" s="4">
        <f t="shared" si="15"/>
        <v>69.180999999999997</v>
      </c>
      <c r="R8" s="4">
        <f t="shared" si="15"/>
        <v>70.180999999999997</v>
      </c>
      <c r="U8" s="3">
        <f t="shared" si="3"/>
        <v>246.80799999999999</v>
      </c>
      <c r="V8" s="3">
        <f>SUM(K8:N8)</f>
        <v>269.91199999999998</v>
      </c>
      <c r="W8" s="3">
        <f t="shared" si="4"/>
        <v>274.72399999999999</v>
      </c>
    </row>
    <row r="9" spans="1:35" s="3" customFormat="1" x14ac:dyDescent="0.2">
      <c r="B9" s="3" t="s">
        <v>26</v>
      </c>
      <c r="C9" s="4"/>
      <c r="D9" s="4"/>
      <c r="E9" s="4"/>
      <c r="F9" s="4">
        <v>0</v>
      </c>
      <c r="G9" s="4">
        <v>0</v>
      </c>
      <c r="H9" s="4">
        <v>0</v>
      </c>
      <c r="I9" s="4">
        <v>20.673999999999999</v>
      </c>
      <c r="J9" s="4">
        <v>64.954999999999998</v>
      </c>
      <c r="K9" s="4">
        <v>54.22</v>
      </c>
      <c r="L9" s="4">
        <v>72.953999999999994</v>
      </c>
      <c r="M9" s="4">
        <v>73.513000000000005</v>
      </c>
      <c r="N9" s="4">
        <v>80.971999999999994</v>
      </c>
      <c r="O9" s="4">
        <v>85.927000000000007</v>
      </c>
      <c r="P9" s="4">
        <f t="shared" ref="P9:R9" si="16">+O9+1</f>
        <v>86.927000000000007</v>
      </c>
      <c r="Q9" s="4">
        <f t="shared" si="16"/>
        <v>87.927000000000007</v>
      </c>
      <c r="R9" s="4">
        <f t="shared" si="16"/>
        <v>88.927000000000007</v>
      </c>
      <c r="U9" s="3">
        <f t="shared" si="3"/>
        <v>85.628999999999991</v>
      </c>
      <c r="V9" s="3">
        <f t="shared" ref="V9:V17" si="17">SUM(K9:N9)</f>
        <v>281.65899999999999</v>
      </c>
      <c r="W9" s="3">
        <f t="shared" si="4"/>
        <v>349.70800000000003</v>
      </c>
    </row>
    <row r="10" spans="1:35" s="3" customFormat="1" x14ac:dyDescent="0.2">
      <c r="B10" s="3" t="s">
        <v>27</v>
      </c>
      <c r="C10" s="4"/>
      <c r="D10" s="4"/>
      <c r="E10" s="4"/>
      <c r="F10" s="4">
        <v>30.992000000000001</v>
      </c>
      <c r="G10" s="4">
        <v>33.155000000000001</v>
      </c>
      <c r="H10" s="4">
        <v>31.452999999999999</v>
      </c>
      <c r="I10" s="4">
        <v>34.688000000000002</v>
      </c>
      <c r="J10" s="4">
        <v>34.764000000000003</v>
      </c>
      <c r="K10" s="4">
        <v>33.756999999999998</v>
      </c>
      <c r="L10" s="4">
        <v>33.89</v>
      </c>
      <c r="M10" s="4">
        <v>30.067</v>
      </c>
      <c r="N10" s="4">
        <v>30.265999999999998</v>
      </c>
      <c r="O10" s="4">
        <v>36.700000000000003</v>
      </c>
      <c r="P10" s="4">
        <f t="shared" ref="P10:R10" si="18">+AVERAGE(L10:O10)</f>
        <v>32.73075</v>
      </c>
      <c r="Q10" s="4">
        <f t="shared" si="18"/>
        <v>32.440937500000004</v>
      </c>
      <c r="R10" s="4">
        <f t="shared" si="18"/>
        <v>33.034421875000007</v>
      </c>
      <c r="U10" s="3">
        <f t="shared" si="3"/>
        <v>134.06</v>
      </c>
      <c r="V10" s="3">
        <f t="shared" si="17"/>
        <v>127.97999999999999</v>
      </c>
      <c r="W10" s="3">
        <f t="shared" si="4"/>
        <v>134.90610937500003</v>
      </c>
      <c r="X10" s="3">
        <f>+W10*0.99</f>
        <v>133.55704828125002</v>
      </c>
      <c r="Y10" s="3">
        <f t="shared" ref="Y10:AI10" si="19">+X10*0.99</f>
        <v>132.22147779843752</v>
      </c>
      <c r="Z10" s="3">
        <f t="shared" si="19"/>
        <v>130.89926302045313</v>
      </c>
      <c r="AA10" s="3">
        <f t="shared" si="19"/>
        <v>129.59027039024861</v>
      </c>
      <c r="AB10" s="3">
        <f t="shared" si="19"/>
        <v>128.29436768634611</v>
      </c>
      <c r="AC10" s="3">
        <f t="shared" si="19"/>
        <v>127.01142400948264</v>
      </c>
      <c r="AD10" s="3">
        <f t="shared" si="19"/>
        <v>125.74130976938781</v>
      </c>
      <c r="AE10" s="3">
        <f t="shared" si="19"/>
        <v>124.48389667169393</v>
      </c>
      <c r="AF10" s="3">
        <f t="shared" si="19"/>
        <v>123.23905770497699</v>
      </c>
      <c r="AG10" s="3">
        <f t="shared" si="19"/>
        <v>122.00666712792722</v>
      </c>
      <c r="AH10" s="3">
        <f t="shared" si="19"/>
        <v>120.78660045664795</v>
      </c>
      <c r="AI10" s="3">
        <f t="shared" si="19"/>
        <v>119.57873445208146</v>
      </c>
    </row>
    <row r="11" spans="1:35" s="3" customFormat="1" x14ac:dyDescent="0.2">
      <c r="B11" s="3" t="s">
        <v>28</v>
      </c>
      <c r="C11" s="4"/>
      <c r="D11" s="4"/>
      <c r="E11" s="4"/>
      <c r="F11" s="4">
        <v>55.454999999999998</v>
      </c>
      <c r="G11" s="4">
        <v>49.619</v>
      </c>
      <c r="H11" s="4">
        <v>48.095999999999997</v>
      </c>
      <c r="I11" s="4">
        <v>57.704999999999998</v>
      </c>
      <c r="J11" s="4">
        <v>42.511000000000003</v>
      </c>
      <c r="K11" s="4">
        <v>49.488999999999997</v>
      </c>
      <c r="L11" s="4">
        <v>54.695999999999998</v>
      </c>
      <c r="M11" s="4">
        <v>49.451999999999998</v>
      </c>
      <c r="N11" s="4">
        <v>40.652999999999999</v>
      </c>
      <c r="O11" s="4">
        <v>39.079000000000001</v>
      </c>
      <c r="P11" s="4">
        <f t="shared" ref="P11:P12" si="20">+AVERAGE(L11:O11)</f>
        <v>45.97</v>
      </c>
      <c r="Q11" s="4">
        <f t="shared" ref="Q11:Q12" si="21">+AVERAGE(M11:P11)</f>
        <v>43.788499999999999</v>
      </c>
      <c r="R11" s="4">
        <f t="shared" ref="R11:R12" si="22">+AVERAGE(N11:Q11)</f>
        <v>42.372624999999999</v>
      </c>
      <c r="U11" s="3">
        <f t="shared" si="3"/>
        <v>197.93100000000001</v>
      </c>
      <c r="V11" s="3">
        <f t="shared" si="17"/>
        <v>194.29</v>
      </c>
      <c r="W11" s="3">
        <f t="shared" si="4"/>
        <v>171.21012500000001</v>
      </c>
      <c r="X11" s="3">
        <f t="shared" ref="X11:AI11" si="23">+W11*0.99</f>
        <v>169.49802375000002</v>
      </c>
      <c r="Y11" s="3">
        <f t="shared" si="23"/>
        <v>167.80304351250001</v>
      </c>
      <c r="Z11" s="3">
        <f t="shared" si="23"/>
        <v>166.125013077375</v>
      </c>
      <c r="AA11" s="3">
        <f t="shared" si="23"/>
        <v>164.46376294660126</v>
      </c>
      <c r="AB11" s="3">
        <f t="shared" si="23"/>
        <v>162.81912531713525</v>
      </c>
      <c r="AC11" s="3">
        <f t="shared" si="23"/>
        <v>161.19093406396388</v>
      </c>
      <c r="AD11" s="3">
        <f t="shared" si="23"/>
        <v>159.57902472332424</v>
      </c>
      <c r="AE11" s="3">
        <f t="shared" si="23"/>
        <v>157.98323447609098</v>
      </c>
      <c r="AF11" s="3">
        <f t="shared" si="23"/>
        <v>156.40340213133007</v>
      </c>
      <c r="AG11" s="3">
        <f t="shared" si="23"/>
        <v>154.83936811001678</v>
      </c>
      <c r="AH11" s="3">
        <f t="shared" si="23"/>
        <v>153.2909744289166</v>
      </c>
      <c r="AI11" s="3">
        <f t="shared" si="23"/>
        <v>151.75806468462744</v>
      </c>
    </row>
    <row r="12" spans="1:35" s="3" customFormat="1" x14ac:dyDescent="0.2">
      <c r="B12" s="3" t="s">
        <v>29</v>
      </c>
      <c r="C12" s="4"/>
      <c r="D12" s="4"/>
      <c r="E12" s="4"/>
      <c r="F12" s="4">
        <f>4.214+1.596+56.576</f>
        <v>62.386000000000003</v>
      </c>
      <c r="G12" s="4">
        <f>41.068+4.05+2.783</f>
        <v>47.900999999999996</v>
      </c>
      <c r="H12" s="4">
        <f>28.314+2.641+3.471</f>
        <v>34.426000000000002</v>
      </c>
      <c r="I12" s="4">
        <f>3.344+3.868</f>
        <v>7.2119999999999997</v>
      </c>
      <c r="J12" s="4">
        <f>3.848+1.03</f>
        <v>4.8780000000000001</v>
      </c>
      <c r="K12" s="4">
        <f>0+0.943+3.884</f>
        <v>4.827</v>
      </c>
      <c r="L12" s="4">
        <f>4.578+1.632</f>
        <v>6.21</v>
      </c>
      <c r="M12" s="4">
        <f>1.001+4.886</f>
        <v>5.8870000000000005</v>
      </c>
      <c r="N12" s="4">
        <f>3.067+4.597</f>
        <v>7.6640000000000006</v>
      </c>
      <c r="O12" s="4">
        <f>2.096+6.497+3.434</f>
        <v>12.027000000000001</v>
      </c>
      <c r="P12" s="4">
        <f t="shared" si="20"/>
        <v>7.947000000000001</v>
      </c>
      <c r="Q12" s="4">
        <f t="shared" si="21"/>
        <v>8.3812500000000014</v>
      </c>
      <c r="R12" s="4">
        <f t="shared" si="22"/>
        <v>9.0048125000000017</v>
      </c>
      <c r="U12" s="3">
        <f t="shared" si="3"/>
        <v>94.417000000000002</v>
      </c>
      <c r="V12" s="3">
        <f t="shared" si="17"/>
        <v>24.588000000000001</v>
      </c>
      <c r="W12" s="3">
        <f t="shared" si="4"/>
        <v>37.360062500000005</v>
      </c>
      <c r="X12" s="3">
        <f t="shared" ref="X12:AI12" si="24">+W12*0.99</f>
        <v>36.986461875000003</v>
      </c>
      <c r="Y12" s="3">
        <f t="shared" si="24"/>
        <v>36.616597256250003</v>
      </c>
      <c r="Z12" s="3">
        <f t="shared" si="24"/>
        <v>36.250431283687504</v>
      </c>
      <c r="AA12" s="3">
        <f t="shared" si="24"/>
        <v>35.887926970850629</v>
      </c>
      <c r="AB12" s="3">
        <f t="shared" si="24"/>
        <v>35.529047701142119</v>
      </c>
      <c r="AC12" s="3">
        <f t="shared" si="24"/>
        <v>35.173757224130696</v>
      </c>
      <c r="AD12" s="3">
        <f t="shared" si="24"/>
        <v>34.822019651889391</v>
      </c>
      <c r="AE12" s="3">
        <f t="shared" si="24"/>
        <v>34.473799455370497</v>
      </c>
      <c r="AF12" s="3">
        <f t="shared" si="24"/>
        <v>34.129061460816793</v>
      </c>
      <c r="AG12" s="3">
        <f t="shared" si="24"/>
        <v>33.787770846208623</v>
      </c>
      <c r="AH12" s="3">
        <f t="shared" si="24"/>
        <v>33.449893137746535</v>
      </c>
      <c r="AI12" s="3">
        <f t="shared" si="24"/>
        <v>33.115394206369068</v>
      </c>
    </row>
    <row r="13" spans="1:35" s="5" customFormat="1" x14ac:dyDescent="0.2">
      <c r="B13" s="5" t="s">
        <v>20</v>
      </c>
      <c r="C13" s="6"/>
      <c r="D13" s="6"/>
      <c r="E13" s="6"/>
      <c r="F13" s="6">
        <f t="shared" ref="F13:G13" si="25">SUM(F3:F12)</f>
        <v>665.51699999999994</v>
      </c>
      <c r="G13" s="6">
        <f t="shared" si="25"/>
        <v>607.58100000000002</v>
      </c>
      <c r="H13" s="6">
        <f t="shared" ref="H13" si="26">SUM(H3:H12)</f>
        <v>751.81100000000004</v>
      </c>
      <c r="I13" s="6">
        <f>SUM(I3:I12)</f>
        <v>838.11500000000001</v>
      </c>
      <c r="J13" s="6">
        <f>SUM(J3:J12)</f>
        <v>896.73099999999999</v>
      </c>
      <c r="K13" s="6">
        <f t="shared" ref="K13" si="27">SUM(K3:K12)</f>
        <v>813.721</v>
      </c>
      <c r="L13" s="6">
        <f>SUM(L3:L12)</f>
        <v>932.87800000000004</v>
      </c>
      <c r="M13" s="6">
        <f>SUM(M3:M12)</f>
        <v>940.65200000000004</v>
      </c>
      <c r="N13" s="6">
        <f t="shared" ref="N13:R13" si="28">SUM(N3:N12)</f>
        <v>972.12299999999993</v>
      </c>
      <c r="O13" s="6">
        <f t="shared" si="28"/>
        <v>892.81200000000001</v>
      </c>
      <c r="P13" s="6">
        <f t="shared" si="28"/>
        <v>911.5865500000001</v>
      </c>
      <c r="Q13" s="6">
        <f t="shared" si="28"/>
        <v>949.65836750000005</v>
      </c>
      <c r="R13" s="6">
        <f t="shared" si="28"/>
        <v>987.30010137500005</v>
      </c>
      <c r="U13" s="6">
        <f t="shared" ref="U13:W13" si="29">SUM(U3:U12)</f>
        <v>3094.2379999999998</v>
      </c>
      <c r="V13" s="6">
        <f t="shared" si="29"/>
        <v>3659.3739999999998</v>
      </c>
      <c r="W13" s="6">
        <f t="shared" si="29"/>
        <v>3741.3570188750004</v>
      </c>
      <c r="X13" s="6">
        <f t="shared" ref="X13" si="30">SUM(X3:X12)</f>
        <v>2954.4336037062494</v>
      </c>
      <c r="Y13" s="6">
        <f t="shared" ref="Y13" si="31">SUM(Y3:Y12)</f>
        <v>2992.3188313871879</v>
      </c>
      <c r="Z13" s="6">
        <f t="shared" ref="Z13" si="32">SUM(Z3:Z12)</f>
        <v>3142.6858879195161</v>
      </c>
      <c r="AA13" s="6">
        <f t="shared" ref="AA13" si="33">SUM(AA3:AA12)</f>
        <v>3205.7409779769005</v>
      </c>
      <c r="AB13" s="6">
        <f t="shared" ref="AB13" si="34">SUM(AB3:AB12)</f>
        <v>2923.123773097404</v>
      </c>
      <c r="AC13" s="6">
        <f t="shared" ref="AC13" si="35">SUM(AC3:AC12)</f>
        <v>2757.9700260350551</v>
      </c>
      <c r="AD13" s="6">
        <f t="shared" ref="AD13" si="36">SUM(AD3:AD12)</f>
        <v>2674.3078231597706</v>
      </c>
      <c r="AE13" s="6">
        <f t="shared" ref="AE13" si="37">SUM(AE3:AE12)</f>
        <v>2648.1509260176035</v>
      </c>
      <c r="AF13" s="6">
        <f t="shared" ref="AF13" si="38">SUM(AF3:AF12)</f>
        <v>2663.3451982232132</v>
      </c>
      <c r="AG13" s="6">
        <f t="shared" ref="AG13" si="39">SUM(AG3:AG12)</f>
        <v>1527.233624258243</v>
      </c>
      <c r="AH13" s="6">
        <f t="shared" ref="AH13" si="40">SUM(AH3:AH12)</f>
        <v>623.56886305690307</v>
      </c>
      <c r="AI13" s="6">
        <f t="shared" ref="AI13" si="41">SUM(AI3:AI12)</f>
        <v>419.71490852594036</v>
      </c>
    </row>
    <row r="14" spans="1:35" s="3" customFormat="1" x14ac:dyDescent="0.2">
      <c r="B14" s="3" t="s">
        <v>30</v>
      </c>
      <c r="C14" s="4"/>
      <c r="D14" s="4"/>
      <c r="E14" s="4"/>
      <c r="F14" s="4">
        <v>48.298000000000002</v>
      </c>
      <c r="G14" s="4">
        <v>38.192999999999998</v>
      </c>
      <c r="H14" s="4">
        <v>50.225999999999999</v>
      </c>
      <c r="I14" s="4">
        <v>58.872</v>
      </c>
      <c r="J14" s="4">
        <v>58.11</v>
      </c>
      <c r="K14" s="4">
        <v>48.206000000000003</v>
      </c>
      <c r="L14" s="4">
        <v>53.244999999999997</v>
      </c>
      <c r="M14" s="4">
        <v>57.103000000000002</v>
      </c>
      <c r="N14" s="3">
        <v>93.385999999999996</v>
      </c>
      <c r="O14" s="3">
        <v>64.727999999999994</v>
      </c>
      <c r="P14" s="3">
        <f t="shared" ref="N14:Q14" si="42">+P13*0.06</f>
        <v>54.695193000000003</v>
      </c>
      <c r="Q14" s="3">
        <f t="shared" si="42"/>
        <v>56.979502050000001</v>
      </c>
      <c r="R14" s="3">
        <f>+R13*0.06</f>
        <v>59.2380060825</v>
      </c>
      <c r="U14" s="3">
        <f t="shared" si="3"/>
        <v>205.40100000000001</v>
      </c>
      <c r="V14" s="3">
        <f t="shared" si="17"/>
        <v>251.94</v>
      </c>
      <c r="W14" s="3">
        <f t="shared" si="4"/>
        <v>235.6407011325</v>
      </c>
      <c r="X14" s="3">
        <f>+X13*0.06</f>
        <v>177.26601622237496</v>
      </c>
      <c r="Y14" s="3">
        <f t="shared" ref="Y14:AI14" si="43">+Y13*0.06</f>
        <v>179.53912988323125</v>
      </c>
      <c r="Z14" s="3">
        <f t="shared" si="43"/>
        <v>188.56115327517097</v>
      </c>
      <c r="AA14" s="3">
        <f t="shared" si="43"/>
        <v>192.34445867861402</v>
      </c>
      <c r="AB14" s="3">
        <f t="shared" si="43"/>
        <v>175.38742638584424</v>
      </c>
      <c r="AC14" s="3">
        <f t="shared" si="43"/>
        <v>165.47820156210329</v>
      </c>
      <c r="AD14" s="3">
        <f t="shared" si="43"/>
        <v>160.45846938958624</v>
      </c>
      <c r="AE14" s="3">
        <f t="shared" si="43"/>
        <v>158.88905556105621</v>
      </c>
      <c r="AF14" s="3">
        <f t="shared" si="43"/>
        <v>159.80071189339279</v>
      </c>
      <c r="AG14" s="3">
        <f t="shared" si="43"/>
        <v>91.634017455494572</v>
      </c>
      <c r="AH14" s="3">
        <f t="shared" si="43"/>
        <v>37.414131783414184</v>
      </c>
      <c r="AI14" s="3">
        <f t="shared" si="43"/>
        <v>25.18289451155642</v>
      </c>
    </row>
    <row r="15" spans="1:35" s="3" customFormat="1" x14ac:dyDescent="0.2">
      <c r="B15" s="3" t="s">
        <v>31</v>
      </c>
      <c r="C15" s="4"/>
      <c r="D15" s="4"/>
      <c r="E15" s="4"/>
      <c r="F15" s="4">
        <f t="shared" ref="F15:M15" si="44">+F13-F14</f>
        <v>617.21899999999994</v>
      </c>
      <c r="G15" s="4">
        <f t="shared" si="44"/>
        <v>569.38800000000003</v>
      </c>
      <c r="H15" s="4">
        <f t="shared" si="44"/>
        <v>701.58500000000004</v>
      </c>
      <c r="I15" s="4">
        <f t="shared" si="44"/>
        <v>779.24300000000005</v>
      </c>
      <c r="J15" s="4">
        <f t="shared" si="44"/>
        <v>838.62099999999998</v>
      </c>
      <c r="K15" s="4">
        <f t="shared" si="44"/>
        <v>765.51499999999999</v>
      </c>
      <c r="L15" s="4">
        <f t="shared" si="44"/>
        <v>879.63300000000004</v>
      </c>
      <c r="M15" s="4">
        <f t="shared" si="44"/>
        <v>883.54900000000009</v>
      </c>
      <c r="N15" s="4">
        <f t="shared" ref="N15:R15" si="45">+N13-N14</f>
        <v>878.73699999999997</v>
      </c>
      <c r="O15" s="4">
        <f>+O13-O14</f>
        <v>828.08400000000006</v>
      </c>
      <c r="P15" s="4">
        <f t="shared" si="45"/>
        <v>856.89135700000008</v>
      </c>
      <c r="Q15" s="4">
        <f t="shared" si="45"/>
        <v>892.6788654500001</v>
      </c>
      <c r="R15" s="4">
        <f t="shared" si="45"/>
        <v>928.06209529250009</v>
      </c>
      <c r="U15" s="3">
        <f>+U13-U14</f>
        <v>2888.837</v>
      </c>
      <c r="V15" s="3">
        <f>+V13-V14</f>
        <v>3407.4339999999997</v>
      </c>
      <c r="W15" s="3">
        <f>+W13-W14</f>
        <v>3505.7163177425005</v>
      </c>
      <c r="X15" s="3">
        <f>+X13-X14</f>
        <v>2777.1675874838743</v>
      </c>
      <c r="Y15" s="3">
        <f t="shared" ref="Y15:AI15" si="46">+Y13-Y14</f>
        <v>2812.7797015039564</v>
      </c>
      <c r="Z15" s="3">
        <f t="shared" si="46"/>
        <v>2954.1247346443452</v>
      </c>
      <c r="AA15" s="3">
        <f t="shared" si="46"/>
        <v>3013.3965192982864</v>
      </c>
      <c r="AB15" s="3">
        <f t="shared" si="46"/>
        <v>2747.7363467115597</v>
      </c>
      <c r="AC15" s="3">
        <f t="shared" si="46"/>
        <v>2592.491824472952</v>
      </c>
      <c r="AD15" s="3">
        <f t="shared" si="46"/>
        <v>2513.8493537701843</v>
      </c>
      <c r="AE15" s="3">
        <f t="shared" si="46"/>
        <v>2489.2618704565475</v>
      </c>
      <c r="AF15" s="3">
        <f t="shared" si="46"/>
        <v>2503.5444863298203</v>
      </c>
      <c r="AG15" s="3">
        <f t="shared" si="46"/>
        <v>1435.5996068027484</v>
      </c>
      <c r="AH15" s="3">
        <f t="shared" si="46"/>
        <v>586.15473127348889</v>
      </c>
      <c r="AI15" s="3">
        <f t="shared" si="46"/>
        <v>394.53201401438395</v>
      </c>
    </row>
    <row r="16" spans="1:35" s="3" customFormat="1" x14ac:dyDescent="0.2">
      <c r="B16" s="3" t="s">
        <v>32</v>
      </c>
      <c r="C16" s="4"/>
      <c r="D16" s="4"/>
      <c r="E16" s="4"/>
      <c r="F16" s="4">
        <v>225.37799999999999</v>
      </c>
      <c r="G16" s="4">
        <v>228.4</v>
      </c>
      <c r="H16" s="4">
        <v>269.44</v>
      </c>
      <c r="I16" s="4">
        <v>278.55200000000002</v>
      </c>
      <c r="J16" s="4">
        <v>328.65600000000001</v>
      </c>
      <c r="K16" s="4">
        <v>258.70100000000002</v>
      </c>
      <c r="L16" s="4">
        <v>281.49299999999999</v>
      </c>
      <c r="M16" s="4">
        <v>274.74700000000001</v>
      </c>
      <c r="N16" s="4">
        <v>319.76299999999998</v>
      </c>
      <c r="O16" s="4">
        <v>260.51499999999999</v>
      </c>
      <c r="P16" s="4">
        <f t="shared" ref="P16:R16" si="47">+P13*0.25</f>
        <v>227.89663750000003</v>
      </c>
      <c r="Q16" s="4">
        <f t="shared" si="47"/>
        <v>237.41459187500001</v>
      </c>
      <c r="R16" s="4">
        <f t="shared" si="47"/>
        <v>246.82502534375001</v>
      </c>
      <c r="U16" s="3">
        <f t="shared" si="3"/>
        <v>1105.048</v>
      </c>
      <c r="V16" s="3">
        <f t="shared" si="17"/>
        <v>1134.704</v>
      </c>
      <c r="W16" s="3">
        <f t="shared" si="4"/>
        <v>972.65125471875001</v>
      </c>
      <c r="X16" s="3">
        <f>+X13*0.25</f>
        <v>738.60840092656235</v>
      </c>
      <c r="Y16" s="3">
        <f t="shared" ref="Y16:AI16" si="48">+Y13*0.25</f>
        <v>748.07970784679696</v>
      </c>
      <c r="Z16" s="3">
        <f t="shared" si="48"/>
        <v>785.67147197987902</v>
      </c>
      <c r="AA16" s="3">
        <f t="shared" si="48"/>
        <v>801.43524449422512</v>
      </c>
      <c r="AB16" s="3">
        <f t="shared" si="48"/>
        <v>730.78094327435099</v>
      </c>
      <c r="AC16" s="3">
        <f t="shared" si="48"/>
        <v>689.49250650876377</v>
      </c>
      <c r="AD16" s="3">
        <f t="shared" si="48"/>
        <v>668.57695578994264</v>
      </c>
      <c r="AE16" s="3">
        <f t="shared" si="48"/>
        <v>662.03773150440088</v>
      </c>
      <c r="AF16" s="3">
        <f t="shared" si="48"/>
        <v>665.83629955580329</v>
      </c>
      <c r="AG16" s="3">
        <f t="shared" si="48"/>
        <v>381.80840606456076</v>
      </c>
      <c r="AH16" s="3">
        <f t="shared" si="48"/>
        <v>155.89221576422577</v>
      </c>
      <c r="AI16" s="3">
        <f t="shared" si="48"/>
        <v>104.92872713148509</v>
      </c>
    </row>
    <row r="17" spans="2:98" s="3" customFormat="1" x14ac:dyDescent="0.2">
      <c r="B17" s="3" t="s">
        <v>33</v>
      </c>
      <c r="C17" s="4"/>
      <c r="D17" s="4"/>
      <c r="E17" s="4"/>
      <c r="F17" s="4">
        <v>83.968000000000004</v>
      </c>
      <c r="G17" s="4">
        <v>67.930000000000007</v>
      </c>
      <c r="H17" s="4">
        <v>118.52500000000001</v>
      </c>
      <c r="I17" s="4">
        <v>124.47</v>
      </c>
      <c r="J17" s="4">
        <v>140.101</v>
      </c>
      <c r="K17" s="4">
        <v>116.459</v>
      </c>
      <c r="L17" s="4">
        <v>123.71899999999999</v>
      </c>
      <c r="M17" s="4">
        <v>120.80200000000001</v>
      </c>
      <c r="N17" s="4">
        <v>160.10499999999999</v>
      </c>
      <c r="O17" s="4">
        <v>173.91800000000001</v>
      </c>
      <c r="P17" s="4"/>
      <c r="U17" s="3">
        <f t="shared" si="3"/>
        <v>451.02600000000001</v>
      </c>
      <c r="V17" s="3">
        <f t="shared" si="17"/>
        <v>521.08500000000004</v>
      </c>
    </row>
    <row r="18" spans="2:98" s="3" customFormat="1" x14ac:dyDescent="0.2">
      <c r="B18" s="3" t="s">
        <v>34</v>
      </c>
      <c r="C18" s="4"/>
      <c r="D18" s="4"/>
      <c r="E18" s="4"/>
      <c r="F18" s="4">
        <f>+F16+F17</f>
        <v>309.346</v>
      </c>
      <c r="G18" s="4">
        <f>+G16+G17</f>
        <v>296.33000000000004</v>
      </c>
      <c r="H18" s="4">
        <f>+H16+H17</f>
        <v>387.96500000000003</v>
      </c>
      <c r="I18" s="4">
        <f>+I16+I17</f>
        <v>403.02200000000005</v>
      </c>
      <c r="J18" s="4">
        <f t="shared" ref="J18:M18" si="49">+J16+J17</f>
        <v>468.75700000000001</v>
      </c>
      <c r="K18" s="4">
        <f t="shared" si="49"/>
        <v>375.16</v>
      </c>
      <c r="L18" s="4">
        <f t="shared" si="49"/>
        <v>405.21199999999999</v>
      </c>
      <c r="M18" s="4">
        <f t="shared" si="49"/>
        <v>395.54900000000004</v>
      </c>
      <c r="N18" s="4">
        <f t="shared" ref="N18" si="50">+N16+N17</f>
        <v>479.86799999999994</v>
      </c>
      <c r="O18" s="4">
        <f t="shared" ref="O18" si="51">+O16+O17</f>
        <v>434.43299999999999</v>
      </c>
      <c r="P18" s="4">
        <f t="shared" ref="P18" si="52">+P16+P17</f>
        <v>227.89663750000003</v>
      </c>
      <c r="Q18" s="4">
        <f t="shared" ref="Q18" si="53">+Q16+Q17</f>
        <v>237.41459187500001</v>
      </c>
      <c r="R18" s="4">
        <f t="shared" ref="R18" si="54">+R16+R17</f>
        <v>246.82502534375001</v>
      </c>
      <c r="U18" s="4">
        <f t="shared" ref="U18:V18" si="55">+U16+U17</f>
        <v>1556.0740000000001</v>
      </c>
      <c r="V18" s="4">
        <f t="shared" ref="V18:W18" si="56">+V16+V17</f>
        <v>1655.789</v>
      </c>
      <c r="W18" s="4">
        <f t="shared" si="56"/>
        <v>972.65125471875001</v>
      </c>
      <c r="X18" s="4">
        <f t="shared" ref="X18" si="57">+X16+X17</f>
        <v>738.60840092656235</v>
      </c>
      <c r="Y18" s="4">
        <f t="shared" ref="Y18" si="58">+Y16+Y17</f>
        <v>748.07970784679696</v>
      </c>
      <c r="Z18" s="4">
        <f t="shared" ref="Z18" si="59">+Z16+Z17</f>
        <v>785.67147197987902</v>
      </c>
      <c r="AA18" s="4">
        <f t="shared" ref="AA18" si="60">+AA16+AA17</f>
        <v>801.43524449422512</v>
      </c>
      <c r="AB18" s="4">
        <f t="shared" ref="AB18" si="61">+AB16+AB17</f>
        <v>730.78094327435099</v>
      </c>
      <c r="AC18" s="4">
        <f t="shared" ref="AC18" si="62">+AC16+AC17</f>
        <v>689.49250650876377</v>
      </c>
      <c r="AD18" s="4">
        <f t="shared" ref="AD18" si="63">+AD16+AD17</f>
        <v>668.57695578994264</v>
      </c>
      <c r="AE18" s="4">
        <f t="shared" ref="AE18" si="64">+AE16+AE17</f>
        <v>662.03773150440088</v>
      </c>
      <c r="AF18" s="4">
        <f t="shared" ref="AF18" si="65">+AF16+AF17</f>
        <v>665.83629955580329</v>
      </c>
      <c r="AG18" s="4">
        <f t="shared" ref="AG18" si="66">+AG16+AG17</f>
        <v>381.80840606456076</v>
      </c>
      <c r="AH18" s="4">
        <f t="shared" ref="AH18" si="67">+AH16+AH17</f>
        <v>155.89221576422577</v>
      </c>
      <c r="AI18" s="4">
        <f t="shared" ref="AI18" si="68">+AI16+AI17</f>
        <v>104.92872713148509</v>
      </c>
    </row>
    <row r="19" spans="2:98" s="3" customFormat="1" x14ac:dyDescent="0.2">
      <c r="B19" s="3" t="s">
        <v>35</v>
      </c>
      <c r="C19" s="4"/>
      <c r="D19" s="4"/>
      <c r="E19" s="4"/>
      <c r="F19" s="4">
        <f>+F15-F18</f>
        <v>307.87299999999993</v>
      </c>
      <c r="G19" s="4">
        <f>+G15-G18</f>
        <v>273.05799999999999</v>
      </c>
      <c r="H19" s="4">
        <f>+H15-H18</f>
        <v>313.62</v>
      </c>
      <c r="I19" s="4">
        <f>+I15-I18</f>
        <v>376.221</v>
      </c>
      <c r="J19" s="4">
        <f t="shared" ref="J19:M19" si="69">+J15-J18</f>
        <v>369.86399999999998</v>
      </c>
      <c r="K19" s="4">
        <f t="shared" si="69"/>
        <v>390.35499999999996</v>
      </c>
      <c r="L19" s="4">
        <f t="shared" si="69"/>
        <v>474.42100000000005</v>
      </c>
      <c r="M19" s="4">
        <f t="shared" si="69"/>
        <v>488.00000000000006</v>
      </c>
      <c r="N19" s="4">
        <f t="shared" ref="N19" si="70">+N15-N18</f>
        <v>398.86900000000003</v>
      </c>
      <c r="O19" s="4">
        <f t="shared" ref="O19" si="71">+O15-O18</f>
        <v>393.65100000000007</v>
      </c>
      <c r="P19" s="4">
        <f t="shared" ref="P19" si="72">+P15-P18</f>
        <v>628.99471950000009</v>
      </c>
      <c r="Q19" s="4">
        <f t="shared" ref="Q19" si="73">+Q15-Q18</f>
        <v>655.26427357500006</v>
      </c>
      <c r="R19" s="4">
        <f t="shared" ref="R19" si="74">+R15-R18</f>
        <v>681.2370699487501</v>
      </c>
      <c r="U19" s="4">
        <f t="shared" ref="U19:V19" si="75">+U15-U18</f>
        <v>1332.7629999999999</v>
      </c>
      <c r="V19" s="4">
        <f t="shared" ref="V19:W19" si="76">+V15-V18</f>
        <v>1751.6449999999998</v>
      </c>
      <c r="W19" s="4">
        <f t="shared" si="76"/>
        <v>2533.0650630237506</v>
      </c>
      <c r="X19" s="4">
        <f t="shared" ref="X19" si="77">+X15-X18</f>
        <v>2038.5591865573119</v>
      </c>
      <c r="Y19" s="4">
        <f t="shared" ref="Y19" si="78">+Y15-Y18</f>
        <v>2064.6999936571592</v>
      </c>
      <c r="Z19" s="4">
        <f t="shared" ref="Z19" si="79">+Z15-Z18</f>
        <v>2168.4532626644659</v>
      </c>
      <c r="AA19" s="4">
        <f t="shared" ref="AA19" si="80">+AA15-AA18</f>
        <v>2211.9612748040613</v>
      </c>
      <c r="AB19" s="4">
        <f t="shared" ref="AB19" si="81">+AB15-AB18</f>
        <v>2016.9554034372086</v>
      </c>
      <c r="AC19" s="4">
        <f t="shared" ref="AC19" si="82">+AC15-AC18</f>
        <v>1902.9993179641883</v>
      </c>
      <c r="AD19" s="4">
        <f t="shared" ref="AD19" si="83">+AD15-AD18</f>
        <v>1845.2723979802417</v>
      </c>
      <c r="AE19" s="4">
        <f t="shared" ref="AE19" si="84">+AE15-AE18</f>
        <v>1827.2241389521466</v>
      </c>
      <c r="AF19" s="4">
        <f t="shared" ref="AF19" si="85">+AF15-AF18</f>
        <v>1837.7081867740171</v>
      </c>
      <c r="AG19" s="4">
        <f t="shared" ref="AG19" si="86">+AG15-AG18</f>
        <v>1053.7912007381876</v>
      </c>
      <c r="AH19" s="4">
        <f t="shared" ref="AH19" si="87">+AH15-AH18</f>
        <v>430.26251550926315</v>
      </c>
      <c r="AI19" s="4">
        <f t="shared" ref="AI19" si="88">+AI15-AI18</f>
        <v>289.60328688289883</v>
      </c>
    </row>
    <row r="20" spans="2:98" s="3" customFormat="1" x14ac:dyDescent="0.2">
      <c r="B20" s="3" t="s">
        <v>36</v>
      </c>
      <c r="C20" s="4"/>
      <c r="D20" s="4"/>
      <c r="E20" s="4"/>
      <c r="F20" s="4">
        <v>-11.526999999999999</v>
      </c>
      <c r="G20" s="4">
        <v>-11.688000000000001</v>
      </c>
      <c r="H20" s="4">
        <v>-47.097999999999999</v>
      </c>
      <c r="I20" s="4">
        <v>-65.326999999999998</v>
      </c>
      <c r="J20" s="4">
        <v>-61.997999999999998</v>
      </c>
      <c r="K20" s="4">
        <v>-58.515999999999998</v>
      </c>
      <c r="L20" s="4">
        <v>-57.616999999999997</v>
      </c>
      <c r="M20" s="4">
        <v>-65.981999999999999</v>
      </c>
      <c r="N20" s="4">
        <v>-74.125</v>
      </c>
      <c r="O20" s="4">
        <v>-74.147000000000006</v>
      </c>
      <c r="P20" s="4">
        <f>+O20</f>
        <v>-74.147000000000006</v>
      </c>
      <c r="Q20" s="3">
        <f>+P20</f>
        <v>-74.147000000000006</v>
      </c>
      <c r="R20" s="3">
        <f>+Q20</f>
        <v>-74.147000000000006</v>
      </c>
      <c r="U20" s="3">
        <f t="shared" ref="U20:U22" si="89">SUM(G20:J20)</f>
        <v>-186.11099999999999</v>
      </c>
      <c r="V20" s="3">
        <f t="shared" ref="V20:V22" si="90">SUM(K20:N20)</f>
        <v>-256.24</v>
      </c>
      <c r="W20" s="3">
        <f t="shared" ref="W20:W22" si="91">SUM(O20:R20)</f>
        <v>-296.58800000000002</v>
      </c>
      <c r="X20" s="3">
        <f>+W33*0.05</f>
        <v>0</v>
      </c>
      <c r="Y20" s="3">
        <f>+X33*0.05</f>
        <v>91.735163395079041</v>
      </c>
      <c r="Z20" s="3">
        <f>+Y33*$AL$26</f>
        <v>75.509898184971902</v>
      </c>
      <c r="AA20" s="3">
        <f>+Z33*$AL$26</f>
        <v>115.90123508026178</v>
      </c>
      <c r="AB20" s="3">
        <f>+AA33*$AL$26</f>
        <v>157.8027602581796</v>
      </c>
      <c r="AC20" s="3">
        <f>+AB33*$AL$26</f>
        <v>196.94840720469657</v>
      </c>
      <c r="AD20" s="3">
        <f>+AC33*$AL$26</f>
        <v>234.74746625773651</v>
      </c>
      <c r="AE20" s="3">
        <f>+AD33*$AL$26</f>
        <v>272.18782381402008</v>
      </c>
      <c r="AF20" s="3">
        <f>+AE33*$AL$26</f>
        <v>309.97723914381112</v>
      </c>
      <c r="AG20" s="3">
        <f>+AF33*$AL$26</f>
        <v>348.635576810332</v>
      </c>
      <c r="AH20" s="3">
        <f>+AG33*$AL$26</f>
        <v>373.87925880620531</v>
      </c>
      <c r="AI20" s="3">
        <f>+AH33*$AL$26</f>
        <v>388.35381074388374</v>
      </c>
    </row>
    <row r="21" spans="2:98" s="3" customFormat="1" x14ac:dyDescent="0.2">
      <c r="B21" s="3" t="s">
        <v>37</v>
      </c>
      <c r="C21" s="4"/>
      <c r="D21" s="4"/>
      <c r="E21" s="4"/>
      <c r="F21" s="4">
        <f t="shared" ref="F21:L21" si="92">+F19+F20</f>
        <v>296.34599999999995</v>
      </c>
      <c r="G21" s="4">
        <f t="shared" si="92"/>
        <v>261.37</v>
      </c>
      <c r="H21" s="4">
        <f t="shared" si="92"/>
        <v>266.52199999999999</v>
      </c>
      <c r="I21" s="4">
        <f t="shared" si="92"/>
        <v>310.89400000000001</v>
      </c>
      <c r="J21" s="4">
        <f t="shared" si="92"/>
        <v>307.86599999999999</v>
      </c>
      <c r="K21" s="4">
        <f t="shared" si="92"/>
        <v>331.83899999999994</v>
      </c>
      <c r="L21" s="4">
        <f t="shared" si="92"/>
        <v>416.80400000000003</v>
      </c>
      <c r="M21" s="4">
        <f>+M19+M20</f>
        <v>422.01800000000003</v>
      </c>
      <c r="N21" s="4">
        <f t="shared" ref="N21:R21" si="93">+N19+N20</f>
        <v>324.74400000000003</v>
      </c>
      <c r="O21" s="4">
        <f t="shared" si="93"/>
        <v>319.50400000000008</v>
      </c>
      <c r="P21" s="4">
        <f t="shared" si="93"/>
        <v>554.84771950000004</v>
      </c>
      <c r="Q21" s="4">
        <f t="shared" si="93"/>
        <v>581.11727357500001</v>
      </c>
      <c r="R21" s="4">
        <f t="shared" si="93"/>
        <v>607.09006994875006</v>
      </c>
      <c r="U21" s="4">
        <f t="shared" ref="U21:W21" si="94">+U19+U20</f>
        <v>1146.652</v>
      </c>
      <c r="V21" s="4">
        <f t="shared" si="94"/>
        <v>1495.4049999999997</v>
      </c>
      <c r="W21" s="4">
        <f t="shared" si="94"/>
        <v>2236.4770630237504</v>
      </c>
      <c r="X21" s="4">
        <f t="shared" ref="X21" si="95">+X19+X20</f>
        <v>2038.5591865573119</v>
      </c>
      <c r="Y21" s="4">
        <f t="shared" ref="Y21" si="96">+Y19+Y20</f>
        <v>2156.4351570522381</v>
      </c>
      <c r="Z21" s="4">
        <f t="shared" ref="Z21" si="97">+Z19+Z20</f>
        <v>2243.9631608494378</v>
      </c>
      <c r="AA21" s="4">
        <f t="shared" ref="AA21" si="98">+AA19+AA20</f>
        <v>2327.8625098843231</v>
      </c>
      <c r="AB21" s="4">
        <f t="shared" ref="AB21" si="99">+AB19+AB20</f>
        <v>2174.7581636953882</v>
      </c>
      <c r="AC21" s="4">
        <f t="shared" ref="AC21" si="100">+AC19+AC20</f>
        <v>2099.947725168885</v>
      </c>
      <c r="AD21" s="4">
        <f t="shared" ref="AD21" si="101">+AD19+AD20</f>
        <v>2080.0198642379783</v>
      </c>
      <c r="AE21" s="4">
        <f t="shared" ref="AE21" si="102">+AE19+AE20</f>
        <v>2099.4119627661667</v>
      </c>
      <c r="AF21" s="4">
        <f t="shared" ref="AF21" si="103">+AF19+AF20</f>
        <v>2147.6854259178281</v>
      </c>
      <c r="AG21" s="4">
        <f t="shared" ref="AG21" si="104">+AG19+AG20</f>
        <v>1402.4267775485196</v>
      </c>
      <c r="AH21" s="4">
        <f t="shared" ref="AH21" si="105">+AH19+AH20</f>
        <v>804.14177431546841</v>
      </c>
      <c r="AI21" s="4">
        <f t="shared" ref="AI21" si="106">+AI19+AI20</f>
        <v>677.95709762678257</v>
      </c>
    </row>
    <row r="22" spans="2:98" s="3" customFormat="1" x14ac:dyDescent="0.2">
      <c r="B22" s="3" t="s">
        <v>38</v>
      </c>
      <c r="C22" s="4"/>
      <c r="D22" s="4"/>
      <c r="E22" s="4"/>
      <c r="F22" s="4">
        <v>29.968</v>
      </c>
      <c r="G22" s="4">
        <v>37.658999999999999</v>
      </c>
      <c r="H22" s="4">
        <v>30.262</v>
      </c>
      <c r="I22" s="4">
        <v>43.588999999999999</v>
      </c>
      <c r="J22" s="4">
        <v>37.253999999999998</v>
      </c>
      <c r="K22" s="4">
        <v>55.222999999999999</v>
      </c>
      <c r="L22" s="4">
        <v>38.387</v>
      </c>
      <c r="M22" s="4">
        <v>44.386000000000003</v>
      </c>
      <c r="N22" s="4">
        <v>0</v>
      </c>
      <c r="O22" s="4">
        <v>40.197000000000003</v>
      </c>
      <c r="P22" s="4">
        <f t="shared" ref="P22:R22" si="107">+P21*0.15</f>
        <v>83.227157925</v>
      </c>
      <c r="Q22" s="4">
        <f t="shared" si="107"/>
        <v>87.167591036250002</v>
      </c>
      <c r="R22" s="4">
        <f t="shared" si="107"/>
        <v>91.063510492312503</v>
      </c>
      <c r="U22" s="3">
        <f t="shared" si="89"/>
        <v>148.76399999999998</v>
      </c>
      <c r="V22" s="3">
        <f t="shared" si="90"/>
        <v>137.99600000000001</v>
      </c>
      <c r="W22" s="3">
        <f t="shared" si="91"/>
        <v>301.65525945356251</v>
      </c>
      <c r="X22" s="3">
        <f>+X21*0.1</f>
        <v>203.85591865573122</v>
      </c>
      <c r="Y22" s="3">
        <f t="shared" ref="Y22:AI22" si="108">+Y21*0.1</f>
        <v>215.64351570522382</v>
      </c>
      <c r="Z22" s="3">
        <f t="shared" si="108"/>
        <v>224.39631608494381</v>
      </c>
      <c r="AA22" s="3">
        <f t="shared" si="108"/>
        <v>232.78625098843233</v>
      </c>
      <c r="AB22" s="3">
        <f t="shared" si="108"/>
        <v>217.47581636953885</v>
      </c>
      <c r="AC22" s="3">
        <f t="shared" si="108"/>
        <v>209.9947725168885</v>
      </c>
      <c r="AD22" s="3">
        <f t="shared" si="108"/>
        <v>208.00198642379783</v>
      </c>
      <c r="AE22" s="3">
        <f t="shared" si="108"/>
        <v>209.94119627661667</v>
      </c>
      <c r="AF22" s="3">
        <f t="shared" si="108"/>
        <v>214.76854259178282</v>
      </c>
      <c r="AG22" s="3">
        <f t="shared" si="108"/>
        <v>140.24267775485197</v>
      </c>
      <c r="AH22" s="3">
        <f t="shared" si="108"/>
        <v>80.414177431546847</v>
      </c>
      <c r="AI22" s="3">
        <f t="shared" si="108"/>
        <v>67.795709762678257</v>
      </c>
    </row>
    <row r="23" spans="2:98" s="3" customFormat="1" x14ac:dyDescent="0.2">
      <c r="B23" s="3" t="s">
        <v>39</v>
      </c>
      <c r="C23" s="4"/>
      <c r="D23" s="4"/>
      <c r="E23" s="4"/>
      <c r="F23" s="4">
        <f t="shared" ref="F23:L23" si="109">+F21-F22</f>
        <v>266.37799999999993</v>
      </c>
      <c r="G23" s="4">
        <f t="shared" si="109"/>
        <v>223.71100000000001</v>
      </c>
      <c r="H23" s="4">
        <f t="shared" si="109"/>
        <v>236.26</v>
      </c>
      <c r="I23" s="4">
        <f t="shared" si="109"/>
        <v>267.30500000000001</v>
      </c>
      <c r="J23" s="4">
        <f t="shared" si="109"/>
        <v>270.61199999999997</v>
      </c>
      <c r="K23" s="4">
        <f t="shared" si="109"/>
        <v>276.61599999999993</v>
      </c>
      <c r="L23" s="4">
        <f t="shared" si="109"/>
        <v>378.41700000000003</v>
      </c>
      <c r="M23" s="4">
        <f>+M21-M22</f>
        <v>377.63200000000001</v>
      </c>
      <c r="N23" s="4">
        <f>+N21-N22</f>
        <v>324.74400000000003</v>
      </c>
      <c r="O23" s="4">
        <f t="shared" ref="O23:R23" si="110">+O21-O22</f>
        <v>279.30700000000007</v>
      </c>
      <c r="P23" s="4">
        <f t="shared" si="110"/>
        <v>471.62056157500001</v>
      </c>
      <c r="Q23" s="4">
        <f t="shared" si="110"/>
        <v>493.94968253875004</v>
      </c>
      <c r="R23" s="4">
        <f t="shared" si="110"/>
        <v>516.02655945643755</v>
      </c>
      <c r="U23" s="4">
        <f t="shared" ref="U23:X23" si="111">+U21-U22</f>
        <v>997.88800000000003</v>
      </c>
      <c r="V23" s="4">
        <f t="shared" si="111"/>
        <v>1357.4089999999997</v>
      </c>
      <c r="W23" s="4">
        <f t="shared" si="111"/>
        <v>1934.821803570188</v>
      </c>
      <c r="X23" s="4">
        <f t="shared" si="111"/>
        <v>1834.7032679015806</v>
      </c>
      <c r="Y23" s="4">
        <f t="shared" ref="Y23" si="112">+Y21-Y22</f>
        <v>1940.7916413470143</v>
      </c>
      <c r="Z23" s="4">
        <f t="shared" ref="Z23" si="113">+Z21-Z22</f>
        <v>2019.5668447644939</v>
      </c>
      <c r="AA23" s="4">
        <f t="shared" ref="AA23" si="114">+AA21-AA22</f>
        <v>2095.076258895891</v>
      </c>
      <c r="AB23" s="4">
        <f t="shared" ref="AB23" si="115">+AB21-AB22</f>
        <v>1957.2823473258495</v>
      </c>
      <c r="AC23" s="4">
        <f t="shared" ref="AC23" si="116">+AC21-AC22</f>
        <v>1889.9529526519964</v>
      </c>
      <c r="AD23" s="4">
        <f t="shared" ref="AD23" si="117">+AD21-AD22</f>
        <v>1872.0178778141803</v>
      </c>
      <c r="AE23" s="4">
        <f t="shared" ref="AE23" si="118">+AE21-AE22</f>
        <v>1889.47076648955</v>
      </c>
      <c r="AF23" s="4">
        <f t="shared" ref="AF23" si="119">+AF21-AF22</f>
        <v>1932.9168833260453</v>
      </c>
      <c r="AG23" s="4">
        <f t="shared" ref="AG23" si="120">+AG21-AG22</f>
        <v>1262.1840997936677</v>
      </c>
      <c r="AH23" s="4">
        <f t="shared" ref="AH23" si="121">+AH21-AH22</f>
        <v>723.72759688392159</v>
      </c>
      <c r="AI23" s="4">
        <f t="shared" ref="AI23" si="122">+AI21-AI22</f>
        <v>610.16138786410431</v>
      </c>
      <c r="AJ23" s="3">
        <f>+AI23*(1+$AL$25)</f>
        <v>579.65331847089908</v>
      </c>
      <c r="AK23" s="3">
        <f t="shared" ref="AK23:CT23" si="123">+AJ23*(1+$AL$25)</f>
        <v>550.67065254735405</v>
      </c>
      <c r="AL23" s="3">
        <f t="shared" si="123"/>
        <v>523.13711991998628</v>
      </c>
      <c r="AM23" s="3">
        <f t="shared" si="123"/>
        <v>496.98026392398691</v>
      </c>
      <c r="AN23" s="3">
        <f t="shared" si="123"/>
        <v>472.13125072778752</v>
      </c>
      <c r="AO23" s="3">
        <f t="shared" si="123"/>
        <v>448.52468819139813</v>
      </c>
      <c r="AP23" s="3">
        <f t="shared" si="123"/>
        <v>426.0984537818282</v>
      </c>
      <c r="AQ23" s="3">
        <f t="shared" si="123"/>
        <v>404.79353109273677</v>
      </c>
      <c r="AR23" s="3">
        <f t="shared" si="123"/>
        <v>384.55385453809993</v>
      </c>
      <c r="AS23" s="3">
        <f t="shared" si="123"/>
        <v>365.32616181119494</v>
      </c>
      <c r="AT23" s="3">
        <f t="shared" si="123"/>
        <v>347.05985372063515</v>
      </c>
      <c r="AU23" s="3">
        <f t="shared" si="123"/>
        <v>329.70686103460338</v>
      </c>
      <c r="AV23" s="3">
        <f t="shared" si="123"/>
        <v>313.22151798287319</v>
      </c>
      <c r="AW23" s="3">
        <f t="shared" si="123"/>
        <v>297.56044208372953</v>
      </c>
      <c r="AX23" s="3">
        <f t="shared" si="123"/>
        <v>282.68241997954306</v>
      </c>
      <c r="AY23" s="3">
        <f t="shared" si="123"/>
        <v>268.5482989805659</v>
      </c>
      <c r="AZ23" s="3">
        <f t="shared" si="123"/>
        <v>255.1208840315376</v>
      </c>
      <c r="BA23" s="3">
        <f t="shared" si="123"/>
        <v>242.36483982996072</v>
      </c>
      <c r="BB23" s="3">
        <f t="shared" si="123"/>
        <v>230.24659783846266</v>
      </c>
      <c r="BC23" s="3">
        <f t="shared" si="123"/>
        <v>218.73426794653952</v>
      </c>
      <c r="BD23" s="3">
        <f t="shared" si="123"/>
        <v>207.79755454921252</v>
      </c>
      <c r="BE23" s="3">
        <f t="shared" si="123"/>
        <v>197.40767682175189</v>
      </c>
      <c r="BF23" s="3">
        <f t="shared" si="123"/>
        <v>187.53729298066429</v>
      </c>
      <c r="BG23" s="3">
        <f t="shared" si="123"/>
        <v>178.16042833163107</v>
      </c>
      <c r="BH23" s="3">
        <f t="shared" si="123"/>
        <v>169.25240691504951</v>
      </c>
      <c r="BI23" s="3">
        <f t="shared" si="123"/>
        <v>160.78978656929704</v>
      </c>
      <c r="BJ23" s="3">
        <f t="shared" si="123"/>
        <v>152.75029724083217</v>
      </c>
      <c r="BK23" s="3">
        <f t="shared" si="123"/>
        <v>145.11278237879054</v>
      </c>
      <c r="BL23" s="3">
        <f t="shared" si="123"/>
        <v>137.857143259851</v>
      </c>
      <c r="BM23" s="3">
        <f t="shared" si="123"/>
        <v>130.96428609685844</v>
      </c>
      <c r="BN23" s="3">
        <f t="shared" si="123"/>
        <v>124.41607179201552</v>
      </c>
      <c r="BO23" s="3">
        <f t="shared" si="123"/>
        <v>118.19526820241474</v>
      </c>
      <c r="BP23" s="3">
        <f t="shared" si="123"/>
        <v>112.28550479229399</v>
      </c>
      <c r="BQ23" s="3">
        <f t="shared" si="123"/>
        <v>106.67122955267929</v>
      </c>
      <c r="BR23" s="3">
        <f t="shared" si="123"/>
        <v>101.33766807504533</v>
      </c>
      <c r="BS23" s="3">
        <f t="shared" si="123"/>
        <v>96.270784671293057</v>
      </c>
      <c r="BT23" s="3">
        <f t="shared" si="123"/>
        <v>91.457245437728403</v>
      </c>
      <c r="BU23" s="3">
        <f t="shared" si="123"/>
        <v>86.884383165841982</v>
      </c>
      <c r="BV23" s="3">
        <f t="shared" si="123"/>
        <v>82.540164007549876</v>
      </c>
      <c r="BW23" s="3">
        <f t="shared" si="123"/>
        <v>78.413155807172373</v>
      </c>
      <c r="BX23" s="3">
        <f t="shared" si="123"/>
        <v>74.492498016813755</v>
      </c>
      <c r="BY23" s="3">
        <f t="shared" si="123"/>
        <v>70.76787311597306</v>
      </c>
      <c r="BZ23" s="3">
        <f t="shared" si="123"/>
        <v>67.229479460174403</v>
      </c>
      <c r="CA23" s="3">
        <f t="shared" si="123"/>
        <v>63.868005487165682</v>
      </c>
      <c r="CB23" s="3">
        <f t="shared" si="123"/>
        <v>60.674605212807393</v>
      </c>
      <c r="CC23" s="3">
        <f t="shared" si="123"/>
        <v>57.640874952167017</v>
      </c>
      <c r="CD23" s="3">
        <f t="shared" si="123"/>
        <v>54.75883120455866</v>
      </c>
      <c r="CE23" s="3">
        <f t="shared" si="123"/>
        <v>52.020889644330722</v>
      </c>
      <c r="CF23" s="3">
        <f t="shared" si="123"/>
        <v>49.419845162114186</v>
      </c>
      <c r="CG23" s="3">
        <f t="shared" si="123"/>
        <v>46.948852904008476</v>
      </c>
      <c r="CH23" s="3">
        <f t="shared" si="123"/>
        <v>44.601410258808052</v>
      </c>
      <c r="CI23" s="3">
        <f t="shared" si="123"/>
        <v>42.371339745867644</v>
      </c>
      <c r="CJ23" s="3">
        <f t="shared" si="123"/>
        <v>40.25277275857426</v>
      </c>
      <c r="CK23" s="3">
        <f t="shared" si="123"/>
        <v>38.240134120645543</v>
      </c>
      <c r="CL23" s="3">
        <f t="shared" si="123"/>
        <v>36.328127414613263</v>
      </c>
      <c r="CM23" s="3">
        <f t="shared" si="123"/>
        <v>34.511721043882595</v>
      </c>
      <c r="CN23" s="3">
        <f t="shared" si="123"/>
        <v>32.786134991688463</v>
      </c>
      <c r="CO23" s="3">
        <f t="shared" si="123"/>
        <v>31.146828242104039</v>
      </c>
      <c r="CP23" s="3">
        <f t="shared" si="123"/>
        <v>29.589486829998837</v>
      </c>
      <c r="CQ23" s="3">
        <f t="shared" si="123"/>
        <v>28.110012488498892</v>
      </c>
      <c r="CR23" s="3">
        <f t="shared" si="123"/>
        <v>26.704511864073947</v>
      </c>
      <c r="CS23" s="3">
        <f t="shared" si="123"/>
        <v>25.369286270870248</v>
      </c>
      <c r="CT23" s="3">
        <f t="shared" si="123"/>
        <v>24.100821957326733</v>
      </c>
    </row>
    <row r="24" spans="2:98" x14ac:dyDescent="0.2">
      <c r="B24" s="7" t="s">
        <v>40</v>
      </c>
      <c r="F24" s="9">
        <f t="shared" ref="F24:M24" si="124">+F23/F25</f>
        <v>4.6590758036869895</v>
      </c>
      <c r="G24" s="9">
        <f t="shared" si="124"/>
        <v>3.8311270186494957</v>
      </c>
      <c r="H24" s="9">
        <f t="shared" si="124"/>
        <v>3.9742295787915487</v>
      </c>
      <c r="I24" s="9">
        <f t="shared" si="124"/>
        <v>4.3617420533907714</v>
      </c>
      <c r="J24" s="9">
        <f t="shared" si="124"/>
        <v>4.3999804887566452</v>
      </c>
      <c r="K24" s="9">
        <f t="shared" si="124"/>
        <v>4.3972212949274319</v>
      </c>
      <c r="L24" s="9">
        <f t="shared" si="124"/>
        <v>5.9658053633081627</v>
      </c>
      <c r="M24" s="9">
        <f t="shared" si="124"/>
        <v>6.0146850362347699</v>
      </c>
      <c r="N24" s="9">
        <f t="shared" ref="N24:R24" si="125">+N23/N25</f>
        <v>5.1504155300386989</v>
      </c>
      <c r="O24" s="9">
        <f t="shared" si="125"/>
        <v>4.3989510819920001</v>
      </c>
      <c r="P24" s="9">
        <f t="shared" si="125"/>
        <v>7.4277972969886923</v>
      </c>
      <c r="Q24" s="9">
        <f t="shared" si="125"/>
        <v>7.7794702261434159</v>
      </c>
      <c r="R24" s="9">
        <f t="shared" si="125"/>
        <v>8.1271704327406926</v>
      </c>
      <c r="U24" s="20">
        <f>+U23/U25</f>
        <v>16.588061239755973</v>
      </c>
      <c r="V24" s="20">
        <f>+V23/V25</f>
        <v>21.531222365420835</v>
      </c>
      <c r="W24" s="20">
        <f>+W23/W25</f>
        <v>30.472513994553626</v>
      </c>
      <c r="X24" s="20">
        <f t="shared" ref="X24:AI24" si="126">+X23/X25</f>
        <v>28.895695150747798</v>
      </c>
      <c r="Y24" s="20">
        <f t="shared" si="126"/>
        <v>30.566536071865283</v>
      </c>
      <c r="Z24" s="20">
        <f t="shared" si="126"/>
        <v>31.807207685206379</v>
      </c>
      <c r="AA24" s="20">
        <f t="shared" si="126"/>
        <v>32.996444686047361</v>
      </c>
      <c r="AB24" s="20">
        <f t="shared" si="126"/>
        <v>30.82625676955066</v>
      </c>
      <c r="AC24" s="20">
        <f t="shared" si="126"/>
        <v>29.765851145808995</v>
      </c>
      <c r="AD24" s="20">
        <f t="shared" si="126"/>
        <v>29.483382332412202</v>
      </c>
      <c r="AE24" s="20">
        <f t="shared" si="126"/>
        <v>29.758256945373578</v>
      </c>
      <c r="AF24" s="20">
        <f t="shared" si="126"/>
        <v>30.442512415756532</v>
      </c>
      <c r="AG24" s="20">
        <f t="shared" si="126"/>
        <v>19.878793268555576</v>
      </c>
      <c r="AH24" s="20">
        <f t="shared" si="126"/>
        <v>11.398362000880738</v>
      </c>
      <c r="AI24" s="20">
        <f t="shared" si="126"/>
        <v>9.6097487615224164</v>
      </c>
    </row>
    <row r="25" spans="2:98" s="3" customFormat="1" x14ac:dyDescent="0.2">
      <c r="B25" s="3" t="s">
        <v>1</v>
      </c>
      <c r="C25" s="4"/>
      <c r="D25" s="4"/>
      <c r="E25" s="4"/>
      <c r="F25" s="4">
        <v>57.173999999999999</v>
      </c>
      <c r="G25" s="4">
        <v>58.393000000000001</v>
      </c>
      <c r="H25" s="4">
        <v>59.448</v>
      </c>
      <c r="I25" s="4">
        <v>61.283999999999999</v>
      </c>
      <c r="J25" s="4">
        <v>61.503</v>
      </c>
      <c r="K25" s="4">
        <v>62.906999999999996</v>
      </c>
      <c r="L25" s="4">
        <v>63.430999999999997</v>
      </c>
      <c r="M25" s="4">
        <v>62.784999999999997</v>
      </c>
      <c r="N25" s="4">
        <v>63.052</v>
      </c>
      <c r="O25" s="4">
        <v>63.494</v>
      </c>
      <c r="P25" s="4">
        <f t="shared" ref="O25:R25" si="127">+O25</f>
        <v>63.494</v>
      </c>
      <c r="Q25" s="4">
        <f t="shared" si="127"/>
        <v>63.494</v>
      </c>
      <c r="R25" s="4">
        <f t="shared" si="127"/>
        <v>63.494</v>
      </c>
      <c r="U25" s="3">
        <f>AVERAGE(G25:J25)</f>
        <v>60.156999999999996</v>
      </c>
      <c r="V25" s="3">
        <f>AVERAGE(K25:N25)</f>
        <v>63.043749999999996</v>
      </c>
      <c r="W25" s="3">
        <f>AVERAGE(O25:R25)</f>
        <v>63.494</v>
      </c>
      <c r="X25" s="3">
        <f>+W25</f>
        <v>63.494</v>
      </c>
      <c r="Y25" s="3">
        <f t="shared" ref="Y25:AI25" si="128">+X25</f>
        <v>63.494</v>
      </c>
      <c r="Z25" s="3">
        <f t="shared" si="128"/>
        <v>63.494</v>
      </c>
      <c r="AA25" s="3">
        <f t="shared" si="128"/>
        <v>63.494</v>
      </c>
      <c r="AB25" s="3">
        <f t="shared" si="128"/>
        <v>63.494</v>
      </c>
      <c r="AC25" s="3">
        <f t="shared" si="128"/>
        <v>63.494</v>
      </c>
      <c r="AD25" s="3">
        <f t="shared" si="128"/>
        <v>63.494</v>
      </c>
      <c r="AE25" s="3">
        <f t="shared" si="128"/>
        <v>63.494</v>
      </c>
      <c r="AF25" s="3">
        <f t="shared" si="128"/>
        <v>63.494</v>
      </c>
      <c r="AG25" s="3">
        <f t="shared" si="128"/>
        <v>63.494</v>
      </c>
      <c r="AH25" s="3">
        <f t="shared" si="128"/>
        <v>63.494</v>
      </c>
      <c r="AI25" s="3">
        <f t="shared" si="128"/>
        <v>63.494</v>
      </c>
      <c r="AK25" s="3" t="s">
        <v>108</v>
      </c>
      <c r="AL25" s="25">
        <v>-0.05</v>
      </c>
    </row>
    <row r="26" spans="2:98" x14ac:dyDescent="0.2">
      <c r="AK26" t="s">
        <v>107</v>
      </c>
      <c r="AL26" s="25">
        <v>0.02</v>
      </c>
    </row>
    <row r="27" spans="2:98" s="1" customFormat="1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AK27" s="1" t="s">
        <v>105</v>
      </c>
      <c r="AL27" s="25">
        <v>0.08</v>
      </c>
    </row>
    <row r="28" spans="2:98" x14ac:dyDescent="0.2">
      <c r="B28" t="s">
        <v>72</v>
      </c>
      <c r="F28" s="19">
        <f t="shared" ref="F28:L28" si="129">+F15/F13</f>
        <v>0.92742784932616296</v>
      </c>
      <c r="G28" s="19">
        <f t="shared" si="129"/>
        <v>0.93713924563144668</v>
      </c>
      <c r="H28" s="19">
        <f t="shared" si="129"/>
        <v>0.93319331587327137</v>
      </c>
      <c r="I28" s="19">
        <f t="shared" si="129"/>
        <v>0.92975665630611559</v>
      </c>
      <c r="J28" s="19">
        <f t="shared" si="129"/>
        <v>0.93519795791603055</v>
      </c>
      <c r="K28" s="19">
        <f t="shared" si="129"/>
        <v>0.94075856466774233</v>
      </c>
      <c r="L28" s="19">
        <f t="shared" si="129"/>
        <v>0.94292394075109498</v>
      </c>
      <c r="M28" s="19">
        <f>+M15/M13</f>
        <v>0.93929423421201474</v>
      </c>
      <c r="N28" s="19">
        <f t="shared" ref="N28:Q28" si="130">+N15/N13</f>
        <v>0.9039360245565633</v>
      </c>
      <c r="O28" s="19">
        <f t="shared" si="130"/>
        <v>0.92750097444926816</v>
      </c>
      <c r="P28" s="19">
        <f t="shared" si="130"/>
        <v>0.94</v>
      </c>
      <c r="Q28" s="19">
        <f t="shared" si="130"/>
        <v>0.94000000000000006</v>
      </c>
      <c r="R28" s="19">
        <f>+R15/R13</f>
        <v>0.94000000000000006</v>
      </c>
      <c r="U28" s="19">
        <f t="shared" ref="U28:AI28" si="131">+U15/U13</f>
        <v>0.9336182284620641</v>
      </c>
      <c r="V28" s="19">
        <f t="shared" si="131"/>
        <v>0.93115215881186231</v>
      </c>
      <c r="W28" s="19">
        <f t="shared" si="131"/>
        <v>0.93701731752845241</v>
      </c>
      <c r="X28" s="19">
        <f t="shared" si="131"/>
        <v>0.94</v>
      </c>
      <c r="Y28" s="19">
        <f t="shared" si="131"/>
        <v>0.94</v>
      </c>
      <c r="Z28" s="19">
        <f t="shared" si="131"/>
        <v>0.94000000000000006</v>
      </c>
      <c r="AA28" s="19">
        <f t="shared" si="131"/>
        <v>0.94</v>
      </c>
      <c r="AB28" s="19">
        <f t="shared" si="131"/>
        <v>0.94</v>
      </c>
      <c r="AC28" s="19">
        <f t="shared" si="131"/>
        <v>0.94000000000000006</v>
      </c>
      <c r="AD28" s="19">
        <f t="shared" si="131"/>
        <v>0.94</v>
      </c>
      <c r="AE28" s="19">
        <f t="shared" si="131"/>
        <v>0.94000000000000006</v>
      </c>
      <c r="AF28" s="19">
        <f t="shared" si="131"/>
        <v>0.94</v>
      </c>
      <c r="AG28" s="19">
        <f t="shared" si="131"/>
        <v>0.94</v>
      </c>
      <c r="AH28" s="19">
        <f t="shared" si="131"/>
        <v>0.94000000000000006</v>
      </c>
      <c r="AI28" s="19">
        <f t="shared" si="131"/>
        <v>0.94000000000000006</v>
      </c>
      <c r="AK28" t="s">
        <v>106</v>
      </c>
      <c r="AL28" s="1">
        <f>NPV(AL27,W23:CT23)+Main!K5-Main!K6</f>
        <v>11142.890759308255</v>
      </c>
    </row>
    <row r="29" spans="2:98" x14ac:dyDescent="0.2">
      <c r="AL29" s="20">
        <f>+AL28/Main!K3</f>
        <v>174.09463549858722</v>
      </c>
    </row>
    <row r="30" spans="2:98" x14ac:dyDescent="0.2">
      <c r="B30" t="s">
        <v>109</v>
      </c>
      <c r="H30" s="19"/>
      <c r="I30" s="19"/>
      <c r="J30" s="19">
        <f t="shared" ref="J30:M30" si="132">SUM(J3:J4)/SUM(F3:F4)-1</f>
        <v>3.7157063340153451E-2</v>
      </c>
      <c r="K30" s="19">
        <f t="shared" si="132"/>
        <v>5.5019150002676653E-2</v>
      </c>
      <c r="L30" s="19">
        <f t="shared" si="132"/>
        <v>0.10057903854293482</v>
      </c>
      <c r="M30" s="19">
        <f t="shared" si="132"/>
        <v>0.11203181608875834</v>
      </c>
      <c r="N30" s="19">
        <f>SUM(N3:N4)/SUM(J3:J4)-1</f>
        <v>0.12188944442205352</v>
      </c>
      <c r="O30" s="19">
        <f t="shared" ref="O30:R30" si="133">SUM(O3:O4)/SUM(K3:K4)-1</f>
        <v>5.1464907040733365E-2</v>
      </c>
      <c r="P30" s="19">
        <f t="shared" si="133"/>
        <v>-6.7046423204862537E-2</v>
      </c>
      <c r="Q30" s="19">
        <f t="shared" si="133"/>
        <v>-5.0050295424581281E-2</v>
      </c>
      <c r="R30" s="19">
        <f t="shared" si="133"/>
        <v>-3.3981243382241733E-2</v>
      </c>
      <c r="V30" s="25">
        <f>SUM(V3:V4)/SUM(U3:U4)-1</f>
        <v>9.8688765422982438E-2</v>
      </c>
      <c r="W30" s="25">
        <f t="shared" ref="W30:AI30" si="134">SUM(W3:W4)/SUM(V3:V4)-1</f>
        <v>-2.7845981409667653E-2</v>
      </c>
      <c r="X30" s="25">
        <f t="shared" si="134"/>
        <v>-0.12430881961095019</v>
      </c>
      <c r="Y30" s="25">
        <f t="shared" si="134"/>
        <v>-2.8075299051941283E-2</v>
      </c>
      <c r="Z30" s="25">
        <f t="shared" si="134"/>
        <v>3.411254034031086E-2</v>
      </c>
      <c r="AA30" s="25">
        <f t="shared" si="134"/>
        <v>2.0797744121009432E-2</v>
      </c>
      <c r="AB30" s="25">
        <f t="shared" si="134"/>
        <v>3.56963555968004E-2</v>
      </c>
      <c r="AC30" s="25">
        <f t="shared" si="134"/>
        <v>4.3094672813173363E-2</v>
      </c>
      <c r="AD30" s="25">
        <f t="shared" si="134"/>
        <v>4.6689980609236903E-2</v>
      </c>
      <c r="AE30" s="25">
        <f t="shared" si="134"/>
        <v>4.8418815765850498E-2</v>
      </c>
      <c r="AF30" s="25">
        <f t="shared" si="134"/>
        <v>4.9245919564599561E-2</v>
      </c>
      <c r="AG30" s="25">
        <f t="shared" si="134"/>
        <v>-0.5</v>
      </c>
      <c r="AH30" s="25">
        <f t="shared" si="134"/>
        <v>-0.79980399418598735</v>
      </c>
      <c r="AI30" s="25">
        <f t="shared" si="134"/>
        <v>-0.79951046522328029</v>
      </c>
    </row>
    <row r="33" spans="2:35" x14ac:dyDescent="0.2">
      <c r="B33" t="s">
        <v>110</v>
      </c>
      <c r="W33" s="1">
        <f>+R27</f>
        <v>0</v>
      </c>
      <c r="X33" s="1">
        <f>+W33+X23</f>
        <v>1834.7032679015806</v>
      </c>
      <c r="Y33" s="1">
        <f>+X33+Y23</f>
        <v>3775.4949092485949</v>
      </c>
      <c r="Z33" s="1">
        <f>+Y33+Z23</f>
        <v>5795.0617540130888</v>
      </c>
      <c r="AA33" s="1">
        <f>+Z33+AA23</f>
        <v>7890.1380129089794</v>
      </c>
      <c r="AB33" s="1">
        <f>+AA33+AB23</f>
        <v>9847.420360234828</v>
      </c>
      <c r="AC33" s="1">
        <f>+AB33+AC23</f>
        <v>11737.373312886824</v>
      </c>
      <c r="AD33" s="1">
        <f>+AC33+AD23</f>
        <v>13609.391190701004</v>
      </c>
      <c r="AE33" s="1">
        <f>+AD33+AE23</f>
        <v>15498.861957190555</v>
      </c>
      <c r="AF33" s="1">
        <f>+AE33+AF23</f>
        <v>17431.778840516599</v>
      </c>
      <c r="AG33" s="1">
        <f>+AF33+AG23</f>
        <v>18693.962940310266</v>
      </c>
      <c r="AH33" s="1">
        <f>+AG33+AH23</f>
        <v>19417.690537194187</v>
      </c>
      <c r="AI33" s="1">
        <f>+AH33+AI23</f>
        <v>20027.85192505829</v>
      </c>
    </row>
  </sheetData>
  <hyperlinks>
    <hyperlink ref="A1" location="Main!A1" display="Main" xr:uid="{6F2D3B94-EC42-45A9-97E1-D3E623B3FF8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D8C-3D34-4DEF-904D-39A18D13C697}">
  <dimension ref="A1:C29"/>
  <sheetViews>
    <sheetView topLeftCell="A2" zoomScale="190" zoomScaleNormal="190" workbookViewId="0">
      <selection activeCell="C30" sqref="C30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8" t="s">
        <v>7</v>
      </c>
    </row>
    <row r="2" spans="1:3" x14ac:dyDescent="0.2">
      <c r="B2" t="s">
        <v>75</v>
      </c>
      <c r="C2" t="s">
        <v>22</v>
      </c>
    </row>
    <row r="3" spans="1:3" x14ac:dyDescent="0.2">
      <c r="B3" t="s">
        <v>86</v>
      </c>
      <c r="C3" t="s">
        <v>87</v>
      </c>
    </row>
    <row r="4" spans="1:3" x14ac:dyDescent="0.2">
      <c r="B4" t="s">
        <v>76</v>
      </c>
      <c r="C4" t="s">
        <v>77</v>
      </c>
    </row>
    <row r="5" spans="1:3" x14ac:dyDescent="0.2">
      <c r="C5" t="s">
        <v>78</v>
      </c>
    </row>
    <row r="6" spans="1:3" x14ac:dyDescent="0.2">
      <c r="C6" t="s">
        <v>79</v>
      </c>
    </row>
    <row r="7" spans="1:3" x14ac:dyDescent="0.2">
      <c r="C7" t="s">
        <v>80</v>
      </c>
    </row>
    <row r="8" spans="1:3" x14ac:dyDescent="0.2">
      <c r="C8" t="s">
        <v>81</v>
      </c>
    </row>
    <row r="9" spans="1:3" x14ac:dyDescent="0.2">
      <c r="C9" t="s">
        <v>82</v>
      </c>
    </row>
    <row r="10" spans="1:3" x14ac:dyDescent="0.2">
      <c r="C10" t="s">
        <v>83</v>
      </c>
    </row>
    <row r="11" spans="1:3" x14ac:dyDescent="0.2">
      <c r="C11" t="s">
        <v>84</v>
      </c>
    </row>
    <row r="12" spans="1:3" x14ac:dyDescent="0.2">
      <c r="C12" t="s">
        <v>85</v>
      </c>
    </row>
    <row r="13" spans="1:3" x14ac:dyDescent="0.2">
      <c r="C13" t="s">
        <v>88</v>
      </c>
    </row>
    <row r="14" spans="1:3" x14ac:dyDescent="0.2">
      <c r="C14" t="s">
        <v>89</v>
      </c>
    </row>
    <row r="15" spans="1:3" x14ac:dyDescent="0.2">
      <c r="C15" t="s">
        <v>90</v>
      </c>
    </row>
    <row r="16" spans="1:3" x14ac:dyDescent="0.2">
      <c r="C16" t="s">
        <v>91</v>
      </c>
    </row>
    <row r="17" spans="3:3" x14ac:dyDescent="0.2">
      <c r="C17" t="s">
        <v>92</v>
      </c>
    </row>
    <row r="18" spans="3:3" x14ac:dyDescent="0.2">
      <c r="C18" t="s">
        <v>93</v>
      </c>
    </row>
    <row r="19" spans="3:3" x14ac:dyDescent="0.2">
      <c r="C19" t="s">
        <v>94</v>
      </c>
    </row>
    <row r="20" spans="3:3" x14ac:dyDescent="0.2">
      <c r="C20" t="s">
        <v>95</v>
      </c>
    </row>
    <row r="21" spans="3:3" x14ac:dyDescent="0.2">
      <c r="C21" t="s">
        <v>96</v>
      </c>
    </row>
    <row r="22" spans="3:3" x14ac:dyDescent="0.2">
      <c r="C22" t="s">
        <v>97</v>
      </c>
    </row>
    <row r="23" spans="3:3" x14ac:dyDescent="0.2">
      <c r="C23" t="s">
        <v>98</v>
      </c>
    </row>
    <row r="24" spans="3:3" x14ac:dyDescent="0.2">
      <c r="C24" t="s">
        <v>99</v>
      </c>
    </row>
    <row r="25" spans="3:3" x14ac:dyDescent="0.2">
      <c r="C25" t="s">
        <v>100</v>
      </c>
    </row>
    <row r="26" spans="3:3" x14ac:dyDescent="0.2">
      <c r="C26" t="s">
        <v>101</v>
      </c>
    </row>
    <row r="27" spans="3:3" x14ac:dyDescent="0.2">
      <c r="C27" t="s">
        <v>102</v>
      </c>
    </row>
    <row r="28" spans="3:3" x14ac:dyDescent="0.2">
      <c r="C28" t="s">
        <v>103</v>
      </c>
    </row>
    <row r="29" spans="3:3" x14ac:dyDescent="0.2">
      <c r="C29" t="s">
        <v>104</v>
      </c>
    </row>
  </sheetData>
  <hyperlinks>
    <hyperlink ref="A1" location="Main!A1" display="Main" xr:uid="{2724D065-F033-4833-A2DC-365820F9E7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Epidiolex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2022-12-20T01:13:24Z</dcterms:created>
  <dcterms:modified xsi:type="dcterms:W3CDTF">2023-06-01T15:49:38Z</dcterms:modified>
</cp:coreProperties>
</file>