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05F5D5E-50C1-4867-8D5E-4A0C4CD33089}" xr6:coauthVersionLast="47" xr6:coauthVersionMax="47" xr10:uidLastSave="{00000000-0000-0000-0000-000000000000}"/>
  <bookViews>
    <workbookView xWindow="19950" yWindow="465" windowWidth="28410" windowHeight="20415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VX-634" sheetId="14" r:id="rId12"/>
    <sheet name="IP" sheetId="4" r:id="rId13"/>
    <sheet name="Compound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0" i="3" l="1"/>
  <c r="W30" i="3"/>
  <c r="V30" i="3"/>
  <c r="X29" i="3"/>
  <c r="W29" i="3"/>
  <c r="V29" i="3"/>
  <c r="X28" i="3"/>
  <c r="W28" i="3"/>
  <c r="V28" i="3"/>
  <c r="X27" i="3"/>
  <c r="W27" i="3"/>
  <c r="V27" i="3"/>
  <c r="V17" i="3"/>
  <c r="W17" i="3"/>
  <c r="X17" i="3"/>
  <c r="V18" i="3"/>
  <c r="V19" i="3" s="1"/>
  <c r="V21" i="3" s="1"/>
  <c r="V22" i="3" s="1"/>
  <c r="X16" i="3"/>
  <c r="W16" i="3"/>
  <c r="V16" i="3"/>
  <c r="X20" i="3"/>
  <c r="W20" i="3"/>
  <c r="V20" i="3"/>
  <c r="X25" i="3"/>
  <c r="W25" i="3"/>
  <c r="V25" i="3"/>
  <c r="X18" i="3"/>
  <c r="X19" i="3" s="1"/>
  <c r="W18" i="3"/>
  <c r="W19" i="3" s="1"/>
  <c r="V14" i="3"/>
  <c r="W14" i="3"/>
  <c r="X14" i="3"/>
  <c r="X15" i="3"/>
  <c r="W15" i="3"/>
  <c r="V15" i="3"/>
  <c r="X10" i="3"/>
  <c r="W10" i="3"/>
  <c r="V10" i="3"/>
  <c r="X9" i="3"/>
  <c r="W9" i="3"/>
  <c r="V9" i="3"/>
  <c r="T20" i="3"/>
  <c r="U18" i="3"/>
  <c r="U19" i="3" s="1"/>
  <c r="U21" i="3" s="1"/>
  <c r="U30" i="3" s="1"/>
  <c r="U15" i="3"/>
  <c r="U50" i="3"/>
  <c r="U46" i="3"/>
  <c r="U37" i="3"/>
  <c r="U32" i="3"/>
  <c r="U41" i="3"/>
  <c r="M5" i="1"/>
  <c r="AP4" i="3"/>
  <c r="AQ4" i="3"/>
  <c r="AR4" i="3" s="1"/>
  <c r="AS4" i="3" s="1"/>
  <c r="AT4" i="3" s="1"/>
  <c r="AU4" i="3" s="1"/>
  <c r="S20" i="3"/>
  <c r="S18" i="3"/>
  <c r="S46" i="3"/>
  <c r="S50" i="3" s="1"/>
  <c r="S37" i="3"/>
  <c r="S32" i="3"/>
  <c r="S41" i="3" s="1"/>
  <c r="C29" i="3"/>
  <c r="C20" i="3"/>
  <c r="C18" i="3"/>
  <c r="C15" i="3"/>
  <c r="C28" i="3" s="1"/>
  <c r="G20" i="3"/>
  <c r="C13" i="3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X13" i="3"/>
  <c r="V13" i="3"/>
  <c r="U13" i="3"/>
  <c r="AO5" i="3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M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Q71" i="3"/>
  <c r="Q64" i="3"/>
  <c r="Q65" i="3" s="1"/>
  <c r="Q60" i="3"/>
  <c r="Q61" i="3" s="1"/>
  <c r="Q46" i="3"/>
  <c r="Q50" i="3" s="1"/>
  <c r="Q37" i="3"/>
  <c r="Q32" i="3"/>
  <c r="L20" i="3"/>
  <c r="P18" i="3"/>
  <c r="P20" i="3"/>
  <c r="L18" i="3"/>
  <c r="AF18" i="3"/>
  <c r="AE18" i="3"/>
  <c r="AE13" i="3"/>
  <c r="AE15" i="3" s="1"/>
  <c r="AF14" i="3"/>
  <c r="AF12" i="3"/>
  <c r="AF11" i="3"/>
  <c r="AF10" i="3"/>
  <c r="AF9" i="3"/>
  <c r="L13" i="3"/>
  <c r="L15" i="3" s="1"/>
  <c r="L28" i="3" s="1"/>
  <c r="M20" i="3"/>
  <c r="Q20" i="3"/>
  <c r="AG12" i="3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G10" i="3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X21" i="3" l="1"/>
  <c r="W21" i="3"/>
  <c r="X22" i="3"/>
  <c r="X23" i="3"/>
  <c r="X24" i="3" s="1"/>
  <c r="W22" i="3"/>
  <c r="W23" i="3"/>
  <c r="W24" i="3" s="1"/>
  <c r="V23" i="3"/>
  <c r="V24" i="3" s="1"/>
  <c r="U23" i="3"/>
  <c r="U24" i="3" s="1"/>
  <c r="W13" i="3"/>
  <c r="U28" i="3"/>
  <c r="U27" i="3"/>
  <c r="U29" i="3"/>
  <c r="H27" i="3"/>
  <c r="K27" i="3"/>
  <c r="G27" i="3"/>
  <c r="AV4" i="3"/>
  <c r="C19" i="3"/>
  <c r="C21" i="3" s="1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G25" i="3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P19" i="3"/>
  <c r="P21" i="3" s="1"/>
  <c r="P30" i="3" s="1"/>
  <c r="AF13" i="3"/>
  <c r="AF15" i="3" s="1"/>
  <c r="AF28" i="3" s="1"/>
  <c r="Q41" i="3"/>
  <c r="Q73" i="3"/>
  <c r="AG17" i="3"/>
  <c r="P28" i="3"/>
  <c r="M19" i="3"/>
  <c r="M21" i="3" s="1"/>
  <c r="M23" i="3" s="1"/>
  <c r="M24" i="3" s="1"/>
  <c r="AE19" i="3"/>
  <c r="L19" i="3"/>
  <c r="L21" i="3" s="1"/>
  <c r="AG11" i="3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S13" i="3"/>
  <c r="S15" i="3" s="1"/>
  <c r="S19" i="3" s="1"/>
  <c r="T13" i="3"/>
  <c r="T27" i="3" s="1"/>
  <c r="R13" i="3"/>
  <c r="AG9" i="3"/>
  <c r="AH9" i="3" s="1"/>
  <c r="Q19" i="3"/>
  <c r="Q21" i="3" s="1"/>
  <c r="M7" i="1"/>
  <c r="C23" i="3" l="1"/>
  <c r="C24" i="3" s="1"/>
  <c r="C30" i="3"/>
  <c r="AW4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G20" i="3"/>
  <c r="AI9" i="3"/>
  <c r="AH13" i="3"/>
  <c r="M30" i="3"/>
  <c r="AF19" i="3"/>
  <c r="P23" i="3"/>
  <c r="P24" i="3" s="1"/>
  <c r="Q30" i="3"/>
  <c r="Q23" i="3"/>
  <c r="R15" i="3"/>
  <c r="R19" i="3" s="1"/>
  <c r="T15" i="3"/>
  <c r="S28" i="3"/>
  <c r="L30" i="3"/>
  <c r="L23" i="3"/>
  <c r="L24" i="3" s="1"/>
  <c r="AG13" i="3"/>
  <c r="T28" i="3" l="1"/>
  <c r="AX4" i="3"/>
  <c r="AY4" i="3" s="1"/>
  <c r="G30" i="3"/>
  <c r="T18" i="3"/>
  <c r="T19" i="3" s="1"/>
  <c r="T29" i="3"/>
  <c r="AG16" i="3"/>
  <c r="AG29" i="3" s="1"/>
  <c r="AH16" i="3"/>
  <c r="AH29" i="3" s="1"/>
  <c r="AH14" i="3"/>
  <c r="AH15" i="3" s="1"/>
  <c r="AH28" i="3" s="1"/>
  <c r="AJ9" i="3"/>
  <c r="AI13" i="3"/>
  <c r="R28" i="3"/>
  <c r="R21" i="3"/>
  <c r="S21" i="3"/>
  <c r="AG14" i="3"/>
  <c r="AG15" i="3" s="1"/>
  <c r="Q52" i="3"/>
  <c r="Q24" i="3"/>
  <c r="T21" i="3" l="1"/>
  <c r="AG18" i="3"/>
  <c r="AG19" i="3" s="1"/>
  <c r="AG21" i="3" s="1"/>
  <c r="AI16" i="3"/>
  <c r="AI29" i="3" s="1"/>
  <c r="AI14" i="3"/>
  <c r="AI15" i="3" s="1"/>
  <c r="AI28" i="3" s="1"/>
  <c r="AK9" i="3"/>
  <c r="AJ13" i="3"/>
  <c r="AH18" i="3"/>
  <c r="AH19" i="3" s="1"/>
  <c r="AG28" i="3"/>
  <c r="T23" i="3"/>
  <c r="T24" i="3" s="1"/>
  <c r="T30" i="3"/>
  <c r="S30" i="3"/>
  <c r="S23" i="3"/>
  <c r="S24" i="3" l="1"/>
  <c r="S52" i="3"/>
  <c r="R30" i="3"/>
  <c r="AG22" i="3"/>
  <c r="AG30" i="3" s="1"/>
  <c r="AJ16" i="3"/>
  <c r="AJ29" i="3" s="1"/>
  <c r="AJ14" i="3"/>
  <c r="AJ15" i="3" s="1"/>
  <c r="AJ28" i="3" s="1"/>
  <c r="AI18" i="3"/>
  <c r="AI19" i="3" s="1"/>
  <c r="AL9" i="3"/>
  <c r="AK13" i="3"/>
  <c r="R23" i="3"/>
  <c r="AG23" i="3" l="1"/>
  <c r="AG24" i="3" s="1"/>
  <c r="AK16" i="3"/>
  <c r="AK29" i="3" s="1"/>
  <c r="AK14" i="3"/>
  <c r="AK15" i="3" s="1"/>
  <c r="AK28" i="3" s="1"/>
  <c r="AM9" i="3"/>
  <c r="AL13" i="3"/>
  <c r="AJ18" i="3"/>
  <c r="AJ19" i="3" s="1"/>
  <c r="AG32" i="3"/>
  <c r="R24" i="3"/>
  <c r="AH20" i="3" l="1"/>
  <c r="AH21" i="3" s="1"/>
  <c r="AL16" i="3"/>
  <c r="AL29" i="3" s="1"/>
  <c r="AL14" i="3"/>
  <c r="AL15" i="3" s="1"/>
  <c r="AL28" i="3" s="1"/>
  <c r="AK18" i="3"/>
  <c r="AK19" i="3" s="1"/>
  <c r="AN9" i="3"/>
  <c r="AM13" i="3"/>
  <c r="AM16" i="3" l="1"/>
  <c r="AM29" i="3" s="1"/>
  <c r="AM14" i="3"/>
  <c r="AM15" i="3" s="1"/>
  <c r="AM28" i="3" s="1"/>
  <c r="AH22" i="3"/>
  <c r="AH30" i="3" s="1"/>
  <c r="AO9" i="3"/>
  <c r="AO13" i="3" s="1"/>
  <c r="AN13" i="3"/>
  <c r="AL18" i="3"/>
  <c r="AL19" i="3" s="1"/>
  <c r="AH23" i="3" l="1"/>
  <c r="AH32" i="3" s="1"/>
  <c r="AN14" i="3"/>
  <c r="AN16" i="3"/>
  <c r="AN29" i="3" s="1"/>
  <c r="AN15" i="3"/>
  <c r="AN28" i="3" s="1"/>
  <c r="AM18" i="3"/>
  <c r="AM19" i="3" s="1"/>
  <c r="AP9" i="3"/>
  <c r="AH24" i="3" l="1"/>
  <c r="AO16" i="3"/>
  <c r="AO29" i="3" s="1"/>
  <c r="AO14" i="3"/>
  <c r="AO15" i="3" s="1"/>
  <c r="AO28" i="3" s="1"/>
  <c r="AI20" i="3"/>
  <c r="AI21" i="3" s="1"/>
  <c r="AQ9" i="3"/>
  <c r="AP13" i="3"/>
  <c r="AN18" i="3"/>
  <c r="AN19" i="3" s="1"/>
  <c r="AI22" i="3" l="1"/>
  <c r="AI30" i="3" s="1"/>
  <c r="AP14" i="3"/>
  <c r="AP15" i="3" s="1"/>
  <c r="AP28" i="3" s="1"/>
  <c r="AP16" i="3"/>
  <c r="AP29" i="3" s="1"/>
  <c r="AO18" i="3"/>
  <c r="AO19" i="3" s="1"/>
  <c r="AR9" i="3"/>
  <c r="AQ13" i="3"/>
  <c r="AI23" i="3" l="1"/>
  <c r="AI24" i="3" s="1"/>
  <c r="AQ14" i="3"/>
  <c r="AQ15" i="3" s="1"/>
  <c r="AQ28" i="3" s="1"/>
  <c r="AQ16" i="3"/>
  <c r="AQ29" i="3" s="1"/>
  <c r="AS9" i="3"/>
  <c r="AR13" i="3"/>
  <c r="AP18" i="3"/>
  <c r="AP19" i="3" s="1"/>
  <c r="AI32" i="3" l="1"/>
  <c r="AJ20" i="3" s="1"/>
  <c r="AJ21" i="3" s="1"/>
  <c r="AR16" i="3"/>
  <c r="AR29" i="3" s="1"/>
  <c r="AR14" i="3"/>
  <c r="AR15" i="3" s="1"/>
  <c r="AR28" i="3" s="1"/>
  <c r="AQ18" i="3"/>
  <c r="AQ19" i="3" s="1"/>
  <c r="AT9" i="3"/>
  <c r="AS13" i="3"/>
  <c r="AT13" i="3" l="1"/>
  <c r="AT14" i="3" s="1"/>
  <c r="AT15" i="3" s="1"/>
  <c r="AT28" i="3" s="1"/>
  <c r="AU9" i="3"/>
  <c r="AS14" i="3"/>
  <c r="AS15" i="3" s="1"/>
  <c r="AS28" i="3" s="1"/>
  <c r="AS16" i="3"/>
  <c r="AS29" i="3" s="1"/>
  <c r="AJ22" i="3"/>
  <c r="AJ30" i="3" s="1"/>
  <c r="AR18" i="3"/>
  <c r="AR19" i="3" s="1"/>
  <c r="AT16" i="3" l="1"/>
  <c r="AT29" i="3" s="1"/>
  <c r="AV9" i="3"/>
  <c r="AU13" i="3"/>
  <c r="AJ23" i="3"/>
  <c r="AT18" i="3"/>
  <c r="AT19" i="3" s="1"/>
  <c r="AS18" i="3"/>
  <c r="AS19" i="3" s="1"/>
  <c r="AU16" i="3" l="1"/>
  <c r="AU18" i="3" s="1"/>
  <c r="AU14" i="3"/>
  <c r="AU15" i="3" s="1"/>
  <c r="AU19" i="3" s="1"/>
  <c r="AW9" i="3"/>
  <c r="AV13" i="3"/>
  <c r="AJ24" i="3"/>
  <c r="AJ32" i="3"/>
  <c r="AV16" i="3" l="1"/>
  <c r="AV18" i="3" s="1"/>
  <c r="AV14" i="3"/>
  <c r="AV15" i="3" s="1"/>
  <c r="AV19" i="3" s="1"/>
  <c r="AX9" i="3"/>
  <c r="AW13" i="3"/>
  <c r="AK20" i="3"/>
  <c r="AK21" i="3" s="1"/>
  <c r="AW14" i="3" l="1"/>
  <c r="AW15" i="3" s="1"/>
  <c r="AW16" i="3"/>
  <c r="AW18" i="3" s="1"/>
  <c r="AY9" i="3"/>
  <c r="AY13" i="3" s="1"/>
  <c r="AX13" i="3"/>
  <c r="AK22" i="3"/>
  <c r="AK30" i="3" s="1"/>
  <c r="AX14" i="3" l="1"/>
  <c r="AX15" i="3" s="1"/>
  <c r="AX16" i="3"/>
  <c r="AX18" i="3" s="1"/>
  <c r="AY14" i="3"/>
  <c r="AY15" i="3" s="1"/>
  <c r="AY16" i="3"/>
  <c r="AY18" i="3" s="1"/>
  <c r="AW19" i="3"/>
  <c r="AK23" i="3"/>
  <c r="AK24" i="3" s="1"/>
  <c r="AY19" i="3" l="1"/>
  <c r="AX19" i="3"/>
  <c r="AK32" i="3"/>
  <c r="AL20" i="3" s="1"/>
  <c r="AL21" i="3" s="1"/>
  <c r="AL22" i="3" l="1"/>
  <c r="AL30" i="3" s="1"/>
  <c r="AL23" i="3" l="1"/>
  <c r="AL24" i="3" l="1"/>
  <c r="AL32" i="3"/>
  <c r="AM20" i="3" s="1"/>
  <c r="AM21" i="3" s="1"/>
  <c r="AM22" i="3" l="1"/>
  <c r="AM30" i="3" s="1"/>
  <c r="AM23" i="3" l="1"/>
  <c r="AM32" i="3" l="1"/>
  <c r="AN20" i="3" s="1"/>
  <c r="AN21" i="3" s="1"/>
  <c r="AM24" i="3"/>
  <c r="AN22" i="3" l="1"/>
  <c r="AN30" i="3" s="1"/>
  <c r="AN23" i="3" l="1"/>
  <c r="AN24" i="3" l="1"/>
  <c r="AN32" i="3"/>
  <c r="AO20" i="3" s="1"/>
  <c r="AO21" i="3" s="1"/>
  <c r="AO22" i="3" l="1"/>
  <c r="AO30" i="3" s="1"/>
  <c r="AO23" i="3" l="1"/>
  <c r="AO24" i="3" s="1"/>
  <c r="AO32" i="3" l="1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24" i="3" l="1"/>
  <c r="AQ32" i="3"/>
  <c r="AR20" i="3" s="1"/>
  <c r="AR21" i="3" s="1"/>
  <c r="AR22" i="3" l="1"/>
  <c r="AR30" i="3" s="1"/>
  <c r="AR23" i="3" l="1"/>
  <c r="AR24" i="3" s="1"/>
  <c r="AR32" i="3" l="1"/>
  <c r="AS20" i="3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32" i="3" s="1"/>
  <c r="AU20" i="3" l="1"/>
  <c r="AU21" i="3"/>
  <c r="AU22" i="3" s="1"/>
  <c r="AU23" i="3" s="1"/>
  <c r="AU32" i="3" s="1"/>
  <c r="AT24" i="3"/>
  <c r="AV20" i="3" l="1"/>
  <c r="AU24" i="3"/>
  <c r="AV21" i="3" l="1"/>
  <c r="AV22" i="3" s="1"/>
  <c r="AV23" i="3" s="1"/>
  <c r="AV32" i="3" s="1"/>
  <c r="AW20" i="3" s="1"/>
  <c r="AW21" i="3" l="1"/>
  <c r="AW22" i="3" s="1"/>
  <c r="AV24" i="3"/>
  <c r="AW23" i="3" l="1"/>
  <c r="AW32" i="3" s="1"/>
  <c r="AX20" i="3" s="1"/>
  <c r="AW24" i="3" l="1"/>
  <c r="AX21" i="3" l="1"/>
  <c r="AX22" i="3" s="1"/>
  <c r="AX23" i="3" l="1"/>
  <c r="AX32" i="3" s="1"/>
  <c r="AX24" i="3" l="1"/>
  <c r="AY20" i="3"/>
  <c r="AY21" i="3" s="1"/>
  <c r="AY22" i="3" l="1"/>
  <c r="AY23" i="3" s="1"/>
  <c r="AY24" i="3" l="1"/>
  <c r="AZ23" i="3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AY32" i="3"/>
  <c r="BB31" i="3" l="1"/>
  <c r="BB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AG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</commentList>
</comments>
</file>

<file path=xl/sharedStrings.xml><?xml version="1.0" encoding="utf-8"?>
<sst xmlns="http://schemas.openxmlformats.org/spreadsheetml/2006/main" count="490" uniqueCount="322">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</sst>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62077</xdr:colOff>
      <xdr:row>0</xdr:row>
      <xdr:rowOff>6569</xdr:rowOff>
    </xdr:from>
    <xdr:to>
      <xdr:col>21</xdr:col>
      <xdr:colOff>62077</xdr:colOff>
      <xdr:row>74</xdr:row>
      <xdr:rowOff>130394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3173732" y="6569"/>
          <a:ext cx="0" cy="12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38100</xdr:rowOff>
    </xdr:from>
    <xdr:to>
      <xdr:col>32</xdr:col>
      <xdr:colOff>28575</xdr:colOff>
      <xdr:row>55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6"/>
  <sheetViews>
    <sheetView tabSelected="1" zoomScale="130" zoomScaleNormal="130" workbookViewId="0">
      <selection activeCell="D11" sqref="D11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333.78</v>
      </c>
    </row>
    <row r="3" spans="2:14" x14ac:dyDescent="0.2">
      <c r="B3" s="16" t="s">
        <v>21</v>
      </c>
      <c r="C3" t="s">
        <v>121</v>
      </c>
      <c r="D3" t="s">
        <v>15</v>
      </c>
      <c r="H3" s="8" t="s">
        <v>39</v>
      </c>
      <c r="L3" t="s">
        <v>1</v>
      </c>
      <c r="M3" s="2">
        <v>257.55160000000001</v>
      </c>
      <c r="N3" s="3" t="s">
        <v>300</v>
      </c>
    </row>
    <row r="4" spans="2:14" x14ac:dyDescent="0.2">
      <c r="B4" s="16" t="s">
        <v>22</v>
      </c>
      <c r="C4" t="s">
        <v>120</v>
      </c>
      <c r="D4" t="s">
        <v>15</v>
      </c>
      <c r="H4" s="8" t="s">
        <v>39</v>
      </c>
      <c r="L4" t="s">
        <v>2</v>
      </c>
      <c r="M4" s="2">
        <f>+M3*M2</f>
        <v>85965.573047999991</v>
      </c>
      <c r="N4" s="3"/>
    </row>
    <row r="5" spans="2:14" x14ac:dyDescent="0.2">
      <c r="B5" s="16" t="s">
        <v>23</v>
      </c>
      <c r="C5" t="s">
        <v>116</v>
      </c>
      <c r="D5" t="s">
        <v>15</v>
      </c>
      <c r="E5" t="s">
        <v>115</v>
      </c>
      <c r="H5" s="8" t="s">
        <v>39</v>
      </c>
      <c r="L5" t="s">
        <v>3</v>
      </c>
      <c r="M5" s="2">
        <f>9289.9+1124.2+1081.5</f>
        <v>11495.6</v>
      </c>
      <c r="N5" s="3" t="s">
        <v>300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300</v>
      </c>
    </row>
    <row r="7" spans="2:14" x14ac:dyDescent="0.2">
      <c r="B7" s="7"/>
      <c r="H7" s="8"/>
      <c r="L7" t="s">
        <v>5</v>
      </c>
      <c r="M7" s="2">
        <f>+M4-M5+M6</f>
        <v>74469.973047999985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6" t="s">
        <v>36</v>
      </c>
      <c r="C10" t="s">
        <v>167</v>
      </c>
      <c r="D10" t="s">
        <v>43</v>
      </c>
      <c r="E10" t="s">
        <v>51</v>
      </c>
      <c r="F10" t="s">
        <v>77</v>
      </c>
      <c r="H10" s="8" t="s">
        <v>38</v>
      </c>
    </row>
    <row r="11" spans="2:14" x14ac:dyDescent="0.2">
      <c r="B11" s="28" t="s">
        <v>47</v>
      </c>
      <c r="D11" s="26" t="s">
        <v>48</v>
      </c>
      <c r="E11" s="26" t="s">
        <v>49</v>
      </c>
      <c r="F11" s="26" t="s">
        <v>44</v>
      </c>
      <c r="H11" s="8"/>
    </row>
    <row r="12" spans="2:14" x14ac:dyDescent="0.2">
      <c r="B12" s="7" t="s">
        <v>46</v>
      </c>
      <c r="C12" t="s">
        <v>319</v>
      </c>
      <c r="D12" t="s">
        <v>15</v>
      </c>
      <c r="F12" t="s">
        <v>44</v>
      </c>
      <c r="H12" s="8"/>
    </row>
    <row r="13" spans="2:14" x14ac:dyDescent="0.2">
      <c r="B13" s="16" t="s">
        <v>40</v>
      </c>
      <c r="C13" t="s">
        <v>163</v>
      </c>
      <c r="D13" t="s">
        <v>41</v>
      </c>
      <c r="F13" t="s">
        <v>42</v>
      </c>
      <c r="H13" s="8"/>
      <c r="J13" t="s">
        <v>166</v>
      </c>
    </row>
    <row r="14" spans="2:14" x14ac:dyDescent="0.2">
      <c r="B14" s="16" t="s">
        <v>52</v>
      </c>
      <c r="D14" t="s">
        <v>53</v>
      </c>
      <c r="E14" t="s">
        <v>54</v>
      </c>
      <c r="F14" t="s">
        <v>57</v>
      </c>
      <c r="H14" s="8"/>
      <c r="J14" t="s">
        <v>151</v>
      </c>
    </row>
    <row r="15" spans="2:14" x14ac:dyDescent="0.2">
      <c r="B15" s="20" t="s">
        <v>200</v>
      </c>
      <c r="C15" t="s">
        <v>201</v>
      </c>
      <c r="D15" t="s">
        <v>15</v>
      </c>
      <c r="E15" t="s">
        <v>202</v>
      </c>
      <c r="F15" t="s">
        <v>44</v>
      </c>
      <c r="H15" s="8"/>
      <c r="J15" t="s">
        <v>309</v>
      </c>
    </row>
    <row r="16" spans="2:14" x14ac:dyDescent="0.2">
      <c r="B16" s="7" t="s">
        <v>318</v>
      </c>
      <c r="D16" t="s">
        <v>15</v>
      </c>
      <c r="E16" t="s">
        <v>50</v>
      </c>
      <c r="F16" t="s">
        <v>57</v>
      </c>
      <c r="H16" s="8" t="s">
        <v>45</v>
      </c>
      <c r="J16" t="s">
        <v>172</v>
      </c>
    </row>
    <row r="17" spans="2:10" x14ac:dyDescent="0.2">
      <c r="B17" s="7"/>
      <c r="D17" t="s">
        <v>58</v>
      </c>
      <c r="E17" t="s">
        <v>51</v>
      </c>
      <c r="F17" t="s">
        <v>321</v>
      </c>
      <c r="H17" s="8"/>
      <c r="J17" t="s">
        <v>182</v>
      </c>
    </row>
    <row r="18" spans="2:10" x14ac:dyDescent="0.2">
      <c r="B18" s="7"/>
      <c r="D18" t="s">
        <v>129</v>
      </c>
      <c r="E18" t="s">
        <v>51</v>
      </c>
      <c r="H18" s="8" t="s">
        <v>128</v>
      </c>
    </row>
    <row r="19" spans="2:10" x14ac:dyDescent="0.2">
      <c r="B19" s="7"/>
      <c r="D19" t="s">
        <v>53</v>
      </c>
      <c r="E19" t="s">
        <v>173</v>
      </c>
      <c r="F19" t="s">
        <v>56</v>
      </c>
      <c r="H19" s="8"/>
    </row>
    <row r="20" spans="2:10" x14ac:dyDescent="0.2">
      <c r="B20" s="7" t="s">
        <v>308</v>
      </c>
      <c r="D20" t="s">
        <v>306</v>
      </c>
      <c r="E20" t="s">
        <v>55</v>
      </c>
      <c r="F20" t="s">
        <v>108</v>
      </c>
      <c r="H20" s="8"/>
    </row>
    <row r="21" spans="2:10" x14ac:dyDescent="0.2">
      <c r="B21" s="27" t="s">
        <v>305</v>
      </c>
      <c r="C21" s="9"/>
      <c r="D21" s="9" t="s">
        <v>306</v>
      </c>
      <c r="E21" s="9" t="s">
        <v>55</v>
      </c>
      <c r="F21" s="9" t="s">
        <v>57</v>
      </c>
      <c r="G21" s="9"/>
      <c r="H21" s="10"/>
    </row>
    <row r="23" spans="2:10" x14ac:dyDescent="0.2">
      <c r="E23" s="17" t="s">
        <v>311</v>
      </c>
    </row>
    <row r="25" spans="2:10" x14ac:dyDescent="0.2">
      <c r="E25" s="17" t="s">
        <v>130</v>
      </c>
    </row>
    <row r="26" spans="2:10" x14ac:dyDescent="0.2">
      <c r="E26" s="17" t="s">
        <v>131</v>
      </c>
    </row>
    <row r="27" spans="2:10" x14ac:dyDescent="0.2">
      <c r="E27" s="17" t="s">
        <v>132</v>
      </c>
    </row>
    <row r="28" spans="2:10" x14ac:dyDescent="0.2">
      <c r="E28" s="17" t="s">
        <v>141</v>
      </c>
    </row>
    <row r="29" spans="2:10" x14ac:dyDescent="0.2">
      <c r="E29" s="17" t="s">
        <v>142</v>
      </c>
    </row>
    <row r="30" spans="2:10" x14ac:dyDescent="0.2">
      <c r="E30" s="17" t="s">
        <v>159</v>
      </c>
    </row>
    <row r="31" spans="2:10" x14ac:dyDescent="0.2">
      <c r="E31" s="17" t="s">
        <v>162</v>
      </c>
    </row>
    <row r="32" spans="2:10" x14ac:dyDescent="0.2">
      <c r="E32" s="17" t="s">
        <v>164</v>
      </c>
    </row>
    <row r="33" spans="5:5" x14ac:dyDescent="0.2">
      <c r="E33" s="17" t="s">
        <v>168</v>
      </c>
    </row>
    <row r="34" spans="5:5" x14ac:dyDescent="0.2">
      <c r="E34" s="17" t="s">
        <v>174</v>
      </c>
    </row>
    <row r="35" spans="5:5" x14ac:dyDescent="0.2">
      <c r="E35" s="17" t="s">
        <v>176</v>
      </c>
    </row>
    <row r="36" spans="5:5" x14ac:dyDescent="0.2">
      <c r="E36" s="17" t="s">
        <v>177</v>
      </c>
    </row>
    <row r="37" spans="5:5" x14ac:dyDescent="0.2">
      <c r="E37" s="17" t="s">
        <v>178</v>
      </c>
    </row>
    <row r="38" spans="5:5" x14ac:dyDescent="0.2">
      <c r="E38" s="17" t="s">
        <v>179</v>
      </c>
    </row>
    <row r="39" spans="5:5" x14ac:dyDescent="0.2">
      <c r="E39" s="17" t="s">
        <v>180</v>
      </c>
    </row>
    <row r="40" spans="5:5" x14ac:dyDescent="0.2">
      <c r="E40" s="17" t="s">
        <v>240</v>
      </c>
    </row>
    <row r="41" spans="5:5" x14ac:dyDescent="0.2">
      <c r="E41" s="17" t="s">
        <v>241</v>
      </c>
    </row>
    <row r="42" spans="5:5" x14ac:dyDescent="0.2">
      <c r="E42" s="17" t="s">
        <v>255</v>
      </c>
    </row>
    <row r="43" spans="5:5" x14ac:dyDescent="0.2">
      <c r="E43" s="17" t="s">
        <v>256</v>
      </c>
    </row>
    <row r="44" spans="5:5" x14ac:dyDescent="0.2">
      <c r="E44" s="17" t="s">
        <v>257</v>
      </c>
    </row>
    <row r="45" spans="5:5" x14ac:dyDescent="0.2">
      <c r="E45" s="17" t="s">
        <v>259</v>
      </c>
    </row>
    <row r="46" spans="5:5" x14ac:dyDescent="0.2">
      <c r="E46" s="17" t="s">
        <v>260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3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1" location="'VX-548'!A1" display="VX-548" xr:uid="{C5FCC979-874F-4CAD-BE67-3603EB5F3567}"/>
    <hyperlink ref="B21" location="'VX-634'!A1" display="VX-634" xr:uid="{28A7C8E1-14DE-4193-86D6-B95B3E551AF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47</v>
      </c>
    </row>
    <row r="3" spans="1:5" x14ac:dyDescent="0.2">
      <c r="B3" t="s">
        <v>8</v>
      </c>
    </row>
    <row r="4" spans="1:5" x14ac:dyDescent="0.2">
      <c r="B4" t="s">
        <v>9</v>
      </c>
      <c r="C4" t="s">
        <v>48</v>
      </c>
    </row>
    <row r="5" spans="1:5" x14ac:dyDescent="0.2">
      <c r="B5" t="s">
        <v>10</v>
      </c>
      <c r="C5" t="s">
        <v>49</v>
      </c>
    </row>
    <row r="6" spans="1:5" x14ac:dyDescent="0.2">
      <c r="B6" t="s">
        <v>242</v>
      </c>
      <c r="C6" t="s">
        <v>246</v>
      </c>
    </row>
    <row r="7" spans="1:5" x14ac:dyDescent="0.2">
      <c r="B7" t="s">
        <v>137</v>
      </c>
    </row>
    <row r="8" spans="1:5" x14ac:dyDescent="0.2">
      <c r="C8" s="18" t="s">
        <v>320</v>
      </c>
    </row>
    <row r="12" spans="1:5" x14ac:dyDescent="0.2">
      <c r="C12" s="18" t="s">
        <v>253</v>
      </c>
    </row>
    <row r="13" spans="1:5" x14ac:dyDescent="0.2">
      <c r="C13" s="18"/>
      <c r="D13" t="s">
        <v>244</v>
      </c>
    </row>
    <row r="14" spans="1:5" x14ac:dyDescent="0.2">
      <c r="C14" t="s">
        <v>243</v>
      </c>
      <c r="D14" s="22">
        <v>101</v>
      </c>
    </row>
    <row r="15" spans="1:5" x14ac:dyDescent="0.2">
      <c r="C15" t="s">
        <v>245</v>
      </c>
      <c r="D15" s="22">
        <v>137.80000000000001</v>
      </c>
      <c r="E15" t="s">
        <v>250</v>
      </c>
    </row>
    <row r="16" spans="1:5" x14ac:dyDescent="0.2">
      <c r="C16" t="s">
        <v>247</v>
      </c>
      <c r="D16" s="22">
        <v>86.9</v>
      </c>
      <c r="E16" t="s">
        <v>251</v>
      </c>
    </row>
    <row r="17" spans="3:5" x14ac:dyDescent="0.2">
      <c r="C17" t="s">
        <v>248</v>
      </c>
      <c r="D17" s="22">
        <v>112.9</v>
      </c>
      <c r="E17" t="s">
        <v>251</v>
      </c>
    </row>
    <row r="18" spans="3:5" x14ac:dyDescent="0.2">
      <c r="C18" t="s">
        <v>249</v>
      </c>
      <c r="D18" s="22">
        <v>115.6</v>
      </c>
      <c r="E18" t="s">
        <v>251</v>
      </c>
    </row>
    <row r="19" spans="3:5" x14ac:dyDescent="0.2">
      <c r="D19" s="22"/>
    </row>
    <row r="20" spans="3:5" x14ac:dyDescent="0.2">
      <c r="D20" s="22"/>
    </row>
    <row r="21" spans="3:5" x14ac:dyDescent="0.2">
      <c r="C21" s="18" t="s">
        <v>252</v>
      </c>
    </row>
    <row r="22" spans="3:5" x14ac:dyDescent="0.2">
      <c r="D22" t="s">
        <v>244</v>
      </c>
    </row>
    <row r="23" spans="3:5" x14ac:dyDescent="0.2">
      <c r="C23" t="s">
        <v>243</v>
      </c>
      <c r="D23">
        <v>72.7</v>
      </c>
    </row>
    <row r="24" spans="3:5" x14ac:dyDescent="0.2">
      <c r="C24" t="s">
        <v>245</v>
      </c>
      <c r="D24">
        <v>110.5</v>
      </c>
      <c r="E24" t="s">
        <v>254</v>
      </c>
    </row>
    <row r="25" spans="3:5" x14ac:dyDescent="0.2">
      <c r="C25" t="s">
        <v>247</v>
      </c>
      <c r="D25">
        <v>95.1</v>
      </c>
      <c r="E25" t="s">
        <v>251</v>
      </c>
    </row>
    <row r="26" spans="3:5" x14ac:dyDescent="0.2">
      <c r="C26" t="s">
        <v>249</v>
      </c>
      <c r="D26">
        <v>85.2</v>
      </c>
      <c r="E26" t="s">
        <v>251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163</v>
      </c>
    </row>
    <row r="4" spans="1:3" x14ac:dyDescent="0.2">
      <c r="B4" t="s">
        <v>9</v>
      </c>
      <c r="C4" t="s">
        <v>165</v>
      </c>
    </row>
    <row r="5" spans="1:3" x14ac:dyDescent="0.2">
      <c r="B5" t="s">
        <v>10</v>
      </c>
      <c r="C5" t="s">
        <v>205</v>
      </c>
    </row>
    <row r="6" spans="1:3" x14ac:dyDescent="0.2">
      <c r="B6" t="s">
        <v>137</v>
      </c>
    </row>
    <row r="7" spans="1:3" x14ac:dyDescent="0.2">
      <c r="C7" s="18" t="s">
        <v>238</v>
      </c>
    </row>
    <row r="8" spans="1:3" x14ac:dyDescent="0.2">
      <c r="C8" t="s">
        <v>239</v>
      </c>
    </row>
    <row r="9" spans="1:3" x14ac:dyDescent="0.2">
      <c r="C9" t="s">
        <v>258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305</v>
      </c>
    </row>
    <row r="3" spans="1:3" x14ac:dyDescent="0.2">
      <c r="B3" t="s">
        <v>9</v>
      </c>
      <c r="C3" t="s">
        <v>310</v>
      </c>
    </row>
    <row r="4" spans="1:3" x14ac:dyDescent="0.2">
      <c r="B4" t="s">
        <v>122</v>
      </c>
      <c r="C4" t="s">
        <v>307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65</v>
      </c>
      <c r="C2" t="s">
        <v>67</v>
      </c>
      <c r="D2" t="s">
        <v>68</v>
      </c>
      <c r="E2" t="s">
        <v>70</v>
      </c>
      <c r="F2" t="s">
        <v>72</v>
      </c>
      <c r="G2" t="s">
        <v>77</v>
      </c>
      <c r="H2" t="s">
        <v>78</v>
      </c>
      <c r="I2" t="s">
        <v>81</v>
      </c>
    </row>
    <row r="3" spans="1:9" x14ac:dyDescent="0.2">
      <c r="B3">
        <v>11390600</v>
      </c>
      <c r="C3" t="s">
        <v>66</v>
      </c>
      <c r="D3" t="s">
        <v>69</v>
      </c>
      <c r="E3" t="s">
        <v>71</v>
      </c>
      <c r="F3">
        <v>2</v>
      </c>
      <c r="G3" s="15">
        <v>44019</v>
      </c>
      <c r="H3" s="15">
        <v>44761</v>
      </c>
      <c r="I3" t="s">
        <v>82</v>
      </c>
    </row>
    <row r="4" spans="1:9" x14ac:dyDescent="0.2">
      <c r="B4">
        <v>11370798</v>
      </c>
      <c r="C4" t="s">
        <v>76</v>
      </c>
      <c r="D4" t="s">
        <v>79</v>
      </c>
      <c r="E4" t="s">
        <v>80</v>
      </c>
      <c r="F4">
        <v>2</v>
      </c>
      <c r="G4" s="15">
        <v>44074</v>
      </c>
      <c r="H4" s="15">
        <v>44740</v>
      </c>
      <c r="I4" t="s">
        <v>83</v>
      </c>
    </row>
    <row r="5" spans="1:9" x14ac:dyDescent="0.2">
      <c r="B5">
        <v>11369692</v>
      </c>
      <c r="C5" t="s">
        <v>84</v>
      </c>
      <c r="D5" t="s">
        <v>79</v>
      </c>
      <c r="E5" t="s">
        <v>85</v>
      </c>
      <c r="F5">
        <v>5</v>
      </c>
      <c r="G5" s="15">
        <v>42671</v>
      </c>
      <c r="H5" s="15">
        <v>44740</v>
      </c>
      <c r="I5" t="s">
        <v>86</v>
      </c>
    </row>
    <row r="6" spans="1:9" x14ac:dyDescent="0.2">
      <c r="B6">
        <v>11358977</v>
      </c>
      <c r="C6" t="s">
        <v>87</v>
      </c>
      <c r="D6" t="s">
        <v>79</v>
      </c>
      <c r="E6" t="s">
        <v>88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">
      <c r="B7">
        <v>11345700</v>
      </c>
      <c r="C7" t="s">
        <v>90</v>
      </c>
      <c r="D7" t="s">
        <v>79</v>
      </c>
      <c r="E7" t="s">
        <v>89</v>
      </c>
      <c r="F7">
        <v>1</v>
      </c>
      <c r="G7" s="15">
        <v>43899</v>
      </c>
      <c r="H7" s="15">
        <v>44712</v>
      </c>
      <c r="I7" t="s">
        <v>91</v>
      </c>
    </row>
    <row r="8" spans="1:9" x14ac:dyDescent="0.2">
      <c r="B8">
        <v>11291662</v>
      </c>
      <c r="C8" t="s">
        <v>92</v>
      </c>
      <c r="D8" t="s">
        <v>79</v>
      </c>
      <c r="E8" t="s">
        <v>93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96</v>
      </c>
      <c r="D9" t="s">
        <v>79</v>
      </c>
      <c r="E9" t="s">
        <v>97</v>
      </c>
      <c r="F9">
        <v>5</v>
      </c>
      <c r="G9" s="15">
        <v>43501</v>
      </c>
      <c r="H9" s="15">
        <v>44628</v>
      </c>
      <c r="I9" t="s">
        <v>98</v>
      </c>
    </row>
    <row r="10" spans="1:9" x14ac:dyDescent="0.2">
      <c r="B10">
        <v>11253509</v>
      </c>
      <c r="C10" t="s">
        <v>99</v>
      </c>
      <c r="D10" t="s">
        <v>79</v>
      </c>
      <c r="E10" t="s">
        <v>100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206</v>
      </c>
      <c r="D11" t="s">
        <v>79</v>
      </c>
      <c r="E11" t="s">
        <v>207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">
      <c r="B12">
        <v>11186566</v>
      </c>
      <c r="C12" t="s">
        <v>208</v>
      </c>
      <c r="D12" t="s">
        <v>79</v>
      </c>
      <c r="E12" t="s">
        <v>209</v>
      </c>
      <c r="F12">
        <v>6</v>
      </c>
      <c r="G12" s="15">
        <v>43803</v>
      </c>
      <c r="H12" s="15">
        <v>44530</v>
      </c>
      <c r="I12" t="s">
        <v>210</v>
      </c>
    </row>
    <row r="13" spans="1:9" x14ac:dyDescent="0.2">
      <c r="B13">
        <v>11179394</v>
      </c>
      <c r="C13" t="s">
        <v>211</v>
      </c>
      <c r="D13" t="s">
        <v>79</v>
      </c>
      <c r="E13" t="s">
        <v>212</v>
      </c>
      <c r="F13">
        <v>3</v>
      </c>
      <c r="G13" s="15">
        <v>42172</v>
      </c>
      <c r="H13" s="15">
        <v>44523</v>
      </c>
      <c r="I13" t="s">
        <v>213</v>
      </c>
    </row>
    <row r="14" spans="1:9" x14ac:dyDescent="0.2">
      <c r="B14">
        <v>11179367</v>
      </c>
      <c r="C14" t="s">
        <v>214</v>
      </c>
      <c r="D14" t="s">
        <v>79</v>
      </c>
      <c r="E14" t="s">
        <v>215</v>
      </c>
      <c r="F14">
        <v>2</v>
      </c>
      <c r="G14" s="15">
        <v>43500</v>
      </c>
      <c r="H14" s="15">
        <v>44523</v>
      </c>
      <c r="I14" t="s">
        <v>216</v>
      </c>
    </row>
    <row r="15" spans="1:9" x14ac:dyDescent="0.2">
      <c r="B15">
        <v>11155533</v>
      </c>
      <c r="C15" t="s">
        <v>217</v>
      </c>
      <c r="D15" t="s">
        <v>79</v>
      </c>
      <c r="E15" t="s">
        <v>218</v>
      </c>
      <c r="F15">
        <v>2</v>
      </c>
      <c r="G15" s="15">
        <v>43915</v>
      </c>
      <c r="H15" s="15">
        <v>44495</v>
      </c>
      <c r="I15" t="s">
        <v>219</v>
      </c>
    </row>
    <row r="16" spans="1:9" x14ac:dyDescent="0.2">
      <c r="B16">
        <v>11147770</v>
      </c>
      <c r="C16" t="s">
        <v>220</v>
      </c>
      <c r="D16" t="s">
        <v>79</v>
      </c>
      <c r="E16" t="s">
        <v>221</v>
      </c>
      <c r="F16">
        <v>2</v>
      </c>
      <c r="G16" s="15">
        <v>43536</v>
      </c>
      <c r="H16" s="15">
        <v>44488</v>
      </c>
      <c r="I16" t="s">
        <v>216</v>
      </c>
    </row>
    <row r="17" spans="2:9" x14ac:dyDescent="0.2">
      <c r="B17">
        <v>11124805</v>
      </c>
      <c r="C17" t="s">
        <v>222</v>
      </c>
      <c r="D17" t="s">
        <v>79</v>
      </c>
      <c r="E17" t="s">
        <v>223</v>
      </c>
      <c r="F17">
        <v>7</v>
      </c>
      <c r="G17" s="15">
        <v>42929</v>
      </c>
      <c r="H17" s="15">
        <v>44460</v>
      </c>
      <c r="I17" t="s">
        <v>224</v>
      </c>
    </row>
    <row r="18" spans="2:9" x14ac:dyDescent="0.2">
      <c r="B18">
        <v>11117900</v>
      </c>
      <c r="C18" t="s">
        <v>76</v>
      </c>
      <c r="D18" t="s">
        <v>79</v>
      </c>
      <c r="E18" t="s">
        <v>80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225</v>
      </c>
      <c r="D19" t="s">
        <v>79</v>
      </c>
      <c r="E19" t="s">
        <v>226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227</v>
      </c>
      <c r="D20" t="s">
        <v>79</v>
      </c>
      <c r="E20" t="s">
        <v>228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229</v>
      </c>
      <c r="D21" t="s">
        <v>79</v>
      </c>
      <c r="E21" t="s">
        <v>230</v>
      </c>
      <c r="F21">
        <v>5</v>
      </c>
      <c r="G21" s="15">
        <v>43874</v>
      </c>
      <c r="H21" s="15">
        <v>44418</v>
      </c>
      <c r="I21" t="s">
        <v>210</v>
      </c>
    </row>
    <row r="22" spans="2:9" x14ac:dyDescent="0.2">
      <c r="B22">
        <v>11066417</v>
      </c>
      <c r="C22" t="s">
        <v>232</v>
      </c>
      <c r="D22" t="s">
        <v>79</v>
      </c>
      <c r="E22" t="s">
        <v>231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233</v>
      </c>
      <c r="D23" t="s">
        <v>79</v>
      </c>
      <c r="E23" t="s">
        <v>234</v>
      </c>
      <c r="F23">
        <v>5</v>
      </c>
      <c r="G23" s="15">
        <v>43578</v>
      </c>
      <c r="H23" s="15">
        <v>44390</v>
      </c>
      <c r="I23" t="s">
        <v>235</v>
      </c>
    </row>
    <row r="24" spans="2:9" x14ac:dyDescent="0.2">
      <c r="B24">
        <v>11052075</v>
      </c>
      <c r="C24" t="s">
        <v>236</v>
      </c>
      <c r="D24" t="s">
        <v>79</v>
      </c>
      <c r="E24" t="s">
        <v>237</v>
      </c>
      <c r="G24" s="15">
        <v>43679</v>
      </c>
      <c r="H24" s="15">
        <v>44383</v>
      </c>
      <c r="I24" t="s">
        <v>216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105</v>
      </c>
    </row>
    <row r="3" spans="1:6" x14ac:dyDescent="0.2">
      <c r="B3" t="s">
        <v>104</v>
      </c>
      <c r="C3" t="s">
        <v>101</v>
      </c>
      <c r="D3" t="s">
        <v>103</v>
      </c>
      <c r="E3" t="s">
        <v>102</v>
      </c>
      <c r="F3" s="15">
        <v>40686</v>
      </c>
    </row>
    <row r="4" spans="1:6" x14ac:dyDescent="0.2">
      <c r="B4" t="s">
        <v>114</v>
      </c>
      <c r="C4" t="s">
        <v>113</v>
      </c>
      <c r="D4" t="s">
        <v>115</v>
      </c>
      <c r="E4" t="s">
        <v>15</v>
      </c>
      <c r="F4" s="15">
        <v>42187</v>
      </c>
    </row>
    <row r="5" spans="1:6" x14ac:dyDescent="0.2">
      <c r="B5" t="s">
        <v>118</v>
      </c>
      <c r="C5" t="s">
        <v>117</v>
      </c>
      <c r="E5" t="s">
        <v>15</v>
      </c>
    </row>
    <row r="6" spans="1:6" x14ac:dyDescent="0.2">
      <c r="B6" t="s">
        <v>21</v>
      </c>
      <c r="C6" t="s">
        <v>119</v>
      </c>
      <c r="E6" t="s">
        <v>15</v>
      </c>
    </row>
    <row r="8" spans="1:6" x14ac:dyDescent="0.2">
      <c r="F8" t="s">
        <v>37</v>
      </c>
    </row>
    <row r="9" spans="1:6" x14ac:dyDescent="0.2">
      <c r="B9" t="s">
        <v>109</v>
      </c>
      <c r="D9" t="s">
        <v>111</v>
      </c>
      <c r="E9" t="s">
        <v>102</v>
      </c>
      <c r="F9" t="s">
        <v>57</v>
      </c>
    </row>
    <row r="10" spans="1:6" x14ac:dyDescent="0.2">
      <c r="B10" t="s">
        <v>110</v>
      </c>
      <c r="D10" t="s">
        <v>111</v>
      </c>
      <c r="E10" t="s">
        <v>102</v>
      </c>
      <c r="F10" t="s">
        <v>57</v>
      </c>
    </row>
    <row r="11" spans="1:6" x14ac:dyDescent="0.2">
      <c r="B11" t="s">
        <v>73</v>
      </c>
      <c r="C11" t="s">
        <v>74</v>
      </c>
      <c r="D11" t="s">
        <v>75</v>
      </c>
      <c r="E11" t="s">
        <v>112</v>
      </c>
      <c r="F11" t="s">
        <v>57</v>
      </c>
    </row>
    <row r="12" spans="1:6" x14ac:dyDescent="0.2">
      <c r="B12" t="s">
        <v>261</v>
      </c>
      <c r="D12" t="s">
        <v>49</v>
      </c>
      <c r="E12" t="s">
        <v>48</v>
      </c>
      <c r="F12" t="s">
        <v>262</v>
      </c>
    </row>
    <row r="13" spans="1:6" x14ac:dyDescent="0.2">
      <c r="B13" t="s">
        <v>106</v>
      </c>
      <c r="D13" t="s">
        <v>107</v>
      </c>
      <c r="E13" t="s">
        <v>102</v>
      </c>
      <c r="F13" t="s">
        <v>108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G74"/>
  <sheetViews>
    <sheetView zoomScale="190" zoomScaleNormal="19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X13" sqref="X13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49" max="49" width="10.7109375" bestFit="1" customWidth="1"/>
  </cols>
  <sheetData>
    <row r="1" spans="1:51" x14ac:dyDescent="0.2">
      <c r="A1" s="11" t="s">
        <v>20</v>
      </c>
    </row>
    <row r="3" spans="1:51" x14ac:dyDescent="0.2">
      <c r="C3" s="3" t="s">
        <v>317</v>
      </c>
      <c r="D3" s="3" t="s">
        <v>316</v>
      </c>
      <c r="E3" s="3" t="s">
        <v>312</v>
      </c>
      <c r="F3" s="3" t="s">
        <v>313</v>
      </c>
      <c r="G3" s="3" t="s">
        <v>314</v>
      </c>
      <c r="H3" s="3" t="s">
        <v>315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6</v>
      </c>
      <c r="R3" s="3" t="s">
        <v>33</v>
      </c>
      <c r="S3" s="3" t="s">
        <v>34</v>
      </c>
      <c r="T3" s="3" t="s">
        <v>35</v>
      </c>
      <c r="U3" s="3" t="s">
        <v>300</v>
      </c>
      <c r="V3" s="3" t="s">
        <v>301</v>
      </c>
      <c r="W3" s="3" t="s">
        <v>302</v>
      </c>
      <c r="X3" s="3" t="s">
        <v>303</v>
      </c>
      <c r="Z3">
        <v>2015</v>
      </c>
      <c r="AA3">
        <f>+Z3+1</f>
        <v>2016</v>
      </c>
      <c r="AB3">
        <f t="shared" ref="AB3:AT3" si="0">+AA3+1</f>
        <v>2017</v>
      </c>
      <c r="AC3">
        <f t="shared" si="0"/>
        <v>2018</v>
      </c>
      <c r="AD3">
        <f t="shared" si="0"/>
        <v>2019</v>
      </c>
      <c r="AE3">
        <f t="shared" si="0"/>
        <v>2020</v>
      </c>
      <c r="AF3">
        <f t="shared" si="0"/>
        <v>2021</v>
      </c>
      <c r="AG3">
        <f t="shared" si="0"/>
        <v>2022</v>
      </c>
      <c r="AH3">
        <f t="shared" si="0"/>
        <v>2023</v>
      </c>
      <c r="AI3">
        <f t="shared" si="0"/>
        <v>2024</v>
      </c>
      <c r="AJ3">
        <f t="shared" si="0"/>
        <v>2025</v>
      </c>
      <c r="AK3">
        <f t="shared" si="0"/>
        <v>2026</v>
      </c>
      <c r="AL3">
        <f t="shared" si="0"/>
        <v>2027</v>
      </c>
      <c r="AM3">
        <f t="shared" si="0"/>
        <v>2028</v>
      </c>
      <c r="AN3">
        <f t="shared" si="0"/>
        <v>2029</v>
      </c>
      <c r="AO3">
        <f t="shared" si="0"/>
        <v>2030</v>
      </c>
      <c r="AP3">
        <f t="shared" si="0"/>
        <v>2031</v>
      </c>
      <c r="AQ3">
        <f t="shared" si="0"/>
        <v>2032</v>
      </c>
      <c r="AR3">
        <f t="shared" si="0"/>
        <v>2033</v>
      </c>
      <c r="AS3">
        <f t="shared" si="0"/>
        <v>2034</v>
      </c>
      <c r="AT3">
        <f t="shared" si="0"/>
        <v>2035</v>
      </c>
      <c r="AU3">
        <f t="shared" ref="AU3" si="1">+AT3+1</f>
        <v>2036</v>
      </c>
      <c r="AV3">
        <f t="shared" ref="AV3" si="2">+AU3+1</f>
        <v>2037</v>
      </c>
      <c r="AW3">
        <f t="shared" ref="AW3" si="3">+AV3+1</f>
        <v>2038</v>
      </c>
      <c r="AX3">
        <f t="shared" ref="AX3" si="4">+AW3+1</f>
        <v>2039</v>
      </c>
      <c r="AY3">
        <f t="shared" ref="AY3" si="5">+AX3+1</f>
        <v>2040</v>
      </c>
    </row>
    <row r="4" spans="1:51" x14ac:dyDescent="0.2">
      <c r="B4" t="s">
        <v>52</v>
      </c>
      <c r="AK4" s="2">
        <v>200</v>
      </c>
      <c r="AL4" s="2">
        <v>400</v>
      </c>
      <c r="AM4" s="2">
        <v>600</v>
      </c>
      <c r="AN4" s="2">
        <v>800</v>
      </c>
      <c r="AO4" s="2">
        <v>1000</v>
      </c>
      <c r="AP4" s="2">
        <f>+AO4*1.01</f>
        <v>1010</v>
      </c>
      <c r="AQ4" s="2">
        <f t="shared" ref="AQ4:AT5" si="6">+AP4*1.01</f>
        <v>1020.1</v>
      </c>
      <c r="AR4" s="2">
        <f t="shared" si="6"/>
        <v>1030.3009999999999</v>
      </c>
      <c r="AS4" s="2">
        <f t="shared" si="6"/>
        <v>1040.60401</v>
      </c>
      <c r="AT4" s="2">
        <f t="shared" si="6"/>
        <v>1051.0100500999999</v>
      </c>
      <c r="AU4" s="2">
        <f t="shared" ref="AU4:AU5" si="7">+AT4*1.01</f>
        <v>1061.5201506009998</v>
      </c>
      <c r="AV4" s="2">
        <f t="shared" ref="AV4:AV5" si="8">+AU4*1.01</f>
        <v>1072.1353521070098</v>
      </c>
      <c r="AW4" s="2">
        <f t="shared" ref="AW4:AW5" si="9">+AV4*1.01</f>
        <v>1082.8567056280799</v>
      </c>
      <c r="AX4" s="2">
        <f t="shared" ref="AX4:AX5" si="10">+AW4*1.01</f>
        <v>1093.6852726843608</v>
      </c>
      <c r="AY4" s="2">
        <f t="shared" ref="AY4" si="11">+AX4*1.01</f>
        <v>1104.6221254112045</v>
      </c>
    </row>
    <row r="5" spans="1:51" s="2" customFormat="1" x14ac:dyDescent="0.2">
      <c r="B5" s="2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I5" s="2">
        <v>200</v>
      </c>
      <c r="AJ5" s="2">
        <v>1500</v>
      </c>
      <c r="AK5" s="2">
        <v>3000</v>
      </c>
      <c r="AL5" s="2">
        <v>4000</v>
      </c>
      <c r="AM5" s="2">
        <v>5000</v>
      </c>
      <c r="AN5" s="2">
        <v>6000</v>
      </c>
      <c r="AO5" s="2">
        <f>+AN5*1.01</f>
        <v>6060</v>
      </c>
      <c r="AP5" s="2">
        <f t="shared" ref="AP5:AS5" si="12">+AO5*1.01</f>
        <v>6120.6</v>
      </c>
      <c r="AQ5" s="2">
        <f t="shared" si="12"/>
        <v>6181.8060000000005</v>
      </c>
      <c r="AR5" s="2">
        <f t="shared" si="12"/>
        <v>6243.624060000001</v>
      </c>
      <c r="AS5" s="2">
        <f t="shared" si="12"/>
        <v>6306.060300600001</v>
      </c>
      <c r="AT5" s="2">
        <f t="shared" si="6"/>
        <v>6369.1209036060009</v>
      </c>
      <c r="AU5" s="2">
        <f t="shared" si="7"/>
        <v>6432.812112642061</v>
      </c>
      <c r="AV5" s="2">
        <f t="shared" si="8"/>
        <v>6497.1402337684813</v>
      </c>
      <c r="AW5" s="2">
        <f t="shared" si="9"/>
        <v>6562.1116361061659</v>
      </c>
      <c r="AX5" s="2">
        <f t="shared" si="10"/>
        <v>6627.7327524672273</v>
      </c>
      <c r="AY5" s="2">
        <f t="shared" ref="AY5" si="13">+AX5*0.1</f>
        <v>662.77327524672273</v>
      </c>
    </row>
    <row r="6" spans="1:51" s="2" customFormat="1" x14ac:dyDescent="0.2">
      <c r="B6" s="2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51" s="2" customFormat="1" x14ac:dyDescent="0.2">
      <c r="B7" s="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H7" s="2">
        <v>100</v>
      </c>
      <c r="AI7" s="2">
        <v>300</v>
      </c>
      <c r="AJ7" s="2">
        <v>500</v>
      </c>
      <c r="AK7" s="2">
        <v>800</v>
      </c>
      <c r="AL7" s="2">
        <v>1000</v>
      </c>
      <c r="AM7" s="2">
        <f>+AL7*1.01</f>
        <v>1010</v>
      </c>
      <c r="AN7" s="2">
        <f t="shared" ref="AN7:AT7" si="14">+AM7*1.01</f>
        <v>1020.1</v>
      </c>
      <c r="AO7" s="2">
        <f t="shared" si="14"/>
        <v>1030.3009999999999</v>
      </c>
      <c r="AP7" s="2">
        <f t="shared" si="14"/>
        <v>1040.60401</v>
      </c>
      <c r="AQ7" s="2">
        <f t="shared" si="14"/>
        <v>1051.0100500999999</v>
      </c>
      <c r="AR7" s="2">
        <f t="shared" si="14"/>
        <v>1061.5201506009998</v>
      </c>
      <c r="AS7" s="2">
        <f t="shared" si="14"/>
        <v>1072.1353521070098</v>
      </c>
      <c r="AT7" s="2">
        <f t="shared" si="14"/>
        <v>1082.8567056280799</v>
      </c>
      <c r="AU7" s="2">
        <f t="shared" ref="AU7" si="15">+AT7*1.01</f>
        <v>1093.6852726843608</v>
      </c>
      <c r="AV7" s="2">
        <f t="shared" ref="AV7" si="16">+AU7*1.01</f>
        <v>1104.6221254112045</v>
      </c>
      <c r="AW7" s="2">
        <f t="shared" ref="AW7" si="17">+AV7*1.01</f>
        <v>1115.6683466653164</v>
      </c>
      <c r="AX7" s="2">
        <f t="shared" ref="AX7" si="18">+AW7*1.01</f>
        <v>1126.8250301319697</v>
      </c>
      <c r="AY7" s="2">
        <f t="shared" ref="AY7" si="19">+AX7*1.01</f>
        <v>1138.0932804332895</v>
      </c>
    </row>
    <row r="8" spans="1:51" s="2" customFormat="1" x14ac:dyDescent="0.2">
      <c r="B8" s="2" t="s">
        <v>270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51" s="2" customFormat="1" x14ac:dyDescent="0.2">
      <c r="B9" s="2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420</v>
      </c>
      <c r="I9" s="12">
        <v>895</v>
      </c>
      <c r="J9" s="12">
        <v>918</v>
      </c>
      <c r="K9" s="12">
        <v>960</v>
      </c>
      <c r="L9" s="12">
        <v>1091</v>
      </c>
      <c r="M9" s="12">
        <v>1193.2</v>
      </c>
      <c r="N9" s="12">
        <v>1256</v>
      </c>
      <c r="O9" s="12">
        <v>1556</v>
      </c>
      <c r="P9" s="12">
        <v>1693</v>
      </c>
      <c r="Q9" s="12">
        <v>1761.6</v>
      </c>
      <c r="R9" s="12">
        <v>1893</v>
      </c>
      <c r="S9" s="12">
        <v>2010.5</v>
      </c>
      <c r="T9" s="12">
        <v>2022</v>
      </c>
      <c r="U9" s="12">
        <v>2096.6999999999998</v>
      </c>
      <c r="V9" s="2">
        <f>+U9+25</f>
        <v>2121.6999999999998</v>
      </c>
      <c r="W9" s="2">
        <f>+V9+25</f>
        <v>2146.6999999999998</v>
      </c>
      <c r="X9" s="2">
        <f>+W9+25</f>
        <v>2171.6999999999998</v>
      </c>
      <c r="AF9" s="2">
        <f>SUM(M9:P9)</f>
        <v>5698.2</v>
      </c>
      <c r="AG9" s="2">
        <f t="shared" ref="AG9:AG11" si="20">SUM(Q9:T9)</f>
        <v>7687.1</v>
      </c>
      <c r="AH9" s="2">
        <f>+AG9*1.2</f>
        <v>9224.52</v>
      </c>
      <c r="AI9" s="2">
        <f>+AH9*1.1</f>
        <v>10146.972000000002</v>
      </c>
      <c r="AJ9" s="2">
        <f>+AI9*1.02</f>
        <v>10349.911440000002</v>
      </c>
      <c r="AK9" s="2">
        <f t="shared" ref="AK9:AR9" si="21">+AJ9*1.02</f>
        <v>10556.909668800003</v>
      </c>
      <c r="AL9" s="2">
        <f t="shared" si="21"/>
        <v>10768.047862176003</v>
      </c>
      <c r="AM9" s="2">
        <f t="shared" si="21"/>
        <v>10983.408819419523</v>
      </c>
      <c r="AN9" s="2">
        <f t="shared" si="21"/>
        <v>11203.076995807913</v>
      </c>
      <c r="AO9" s="2">
        <f t="shared" si="21"/>
        <v>11427.138535724071</v>
      </c>
      <c r="AP9" s="2">
        <f t="shared" si="21"/>
        <v>11655.681306438551</v>
      </c>
      <c r="AQ9" s="2">
        <f t="shared" si="21"/>
        <v>11888.794932567323</v>
      </c>
      <c r="AR9" s="2">
        <f t="shared" si="21"/>
        <v>12126.570831218671</v>
      </c>
      <c r="AS9" s="2">
        <f>+AR9*0.5</f>
        <v>6063.2854156093354</v>
      </c>
      <c r="AT9" s="2">
        <f>+AS9*0.1</f>
        <v>606.32854156093356</v>
      </c>
      <c r="AU9" s="2">
        <f t="shared" ref="AU9:AY9" si="22">+AT9*0.1</f>
        <v>60.632854156093359</v>
      </c>
      <c r="AV9" s="2">
        <f t="shared" si="22"/>
        <v>6.0632854156093359</v>
      </c>
      <c r="AW9" s="2">
        <f t="shared" si="22"/>
        <v>0.60632854156093363</v>
      </c>
      <c r="AX9" s="2">
        <f t="shared" si="22"/>
        <v>6.0632854156093367E-2</v>
      </c>
      <c r="AY9" s="2">
        <f t="shared" si="22"/>
        <v>6.0632854156093367E-3</v>
      </c>
    </row>
    <row r="10" spans="1:51" s="2" customFormat="1" x14ac:dyDescent="0.2">
      <c r="B10" s="2" t="s">
        <v>22</v>
      </c>
      <c r="C10" s="12">
        <v>255</v>
      </c>
      <c r="D10" s="12">
        <v>294</v>
      </c>
      <c r="E10" s="12">
        <v>320</v>
      </c>
      <c r="F10" s="12">
        <v>362</v>
      </c>
      <c r="G10" s="12">
        <v>404</v>
      </c>
      <c r="H10" s="12">
        <v>331.5</v>
      </c>
      <c r="I10" s="12">
        <v>173</v>
      </c>
      <c r="J10" s="12">
        <v>172</v>
      </c>
      <c r="K10" s="12">
        <v>156</v>
      </c>
      <c r="L10" s="12">
        <v>128</v>
      </c>
      <c r="M10" s="12">
        <v>125.1</v>
      </c>
      <c r="N10" s="12">
        <v>134</v>
      </c>
      <c r="O10" s="12">
        <v>81</v>
      </c>
      <c r="P10" s="12">
        <v>80</v>
      </c>
      <c r="Q10" s="12">
        <v>64.8</v>
      </c>
      <c r="R10" s="12">
        <v>43</v>
      </c>
      <c r="S10" s="12">
        <v>38.200000000000003</v>
      </c>
      <c r="T10" s="12">
        <v>34</v>
      </c>
      <c r="U10" s="12">
        <v>278.10000000000002</v>
      </c>
      <c r="V10" s="2">
        <f>+U10</f>
        <v>278.10000000000002</v>
      </c>
      <c r="W10" s="2">
        <f>+V10</f>
        <v>278.10000000000002</v>
      </c>
      <c r="X10" s="2">
        <f>+W10</f>
        <v>278.10000000000002</v>
      </c>
      <c r="AF10" s="2">
        <f t="shared" ref="AF10:AF14" si="23">SUM(M10:P10)</f>
        <v>420.1</v>
      </c>
      <c r="AG10" s="2">
        <f t="shared" si="20"/>
        <v>180</v>
      </c>
      <c r="AH10" s="2">
        <f>+AG10*0.9</f>
        <v>162</v>
      </c>
      <c r="AI10" s="2">
        <f t="shared" ref="AI10:AT10" si="24">+AH10*0.9</f>
        <v>145.80000000000001</v>
      </c>
      <c r="AJ10" s="2">
        <f t="shared" si="24"/>
        <v>131.22000000000003</v>
      </c>
      <c r="AK10" s="2">
        <f t="shared" si="24"/>
        <v>118.09800000000003</v>
      </c>
      <c r="AL10" s="2">
        <f t="shared" si="24"/>
        <v>106.28820000000003</v>
      </c>
      <c r="AM10" s="2">
        <f t="shared" si="24"/>
        <v>95.659380000000027</v>
      </c>
      <c r="AN10" s="2">
        <f t="shared" si="24"/>
        <v>86.093442000000024</v>
      </c>
      <c r="AO10" s="2">
        <f t="shared" si="24"/>
        <v>77.484097800000029</v>
      </c>
      <c r="AP10" s="2">
        <f t="shared" si="24"/>
        <v>69.735688020000026</v>
      </c>
      <c r="AQ10" s="2">
        <f t="shared" si="24"/>
        <v>62.762119218000024</v>
      </c>
      <c r="AR10" s="2">
        <f t="shared" si="24"/>
        <v>56.485907296200025</v>
      </c>
      <c r="AS10" s="2">
        <f t="shared" si="24"/>
        <v>50.837316566580022</v>
      </c>
      <c r="AT10" s="2">
        <f t="shared" si="24"/>
        <v>45.753584909922019</v>
      </c>
      <c r="AU10" s="2">
        <f t="shared" ref="AU10:AU12" si="25">+AT10*0.9</f>
        <v>41.178226418929817</v>
      </c>
      <c r="AV10" s="2">
        <f t="shared" ref="AV10:AV12" si="26">+AU10*0.9</f>
        <v>37.060403777036839</v>
      </c>
      <c r="AW10" s="2">
        <f t="shared" ref="AW10:AW12" si="27">+AV10*0.9</f>
        <v>33.35436339933316</v>
      </c>
      <c r="AX10" s="2">
        <f t="shared" ref="AX10:AX12" si="28">+AW10*0.9</f>
        <v>30.018927059399843</v>
      </c>
      <c r="AY10" s="2">
        <f t="shared" ref="AY10:AY12" si="29">+AX10*0.9</f>
        <v>27.017034353459859</v>
      </c>
    </row>
    <row r="11" spans="1:51" s="2" customFormat="1" x14ac:dyDescent="0.2">
      <c r="B11" s="2" t="s">
        <v>23</v>
      </c>
      <c r="C11" s="12">
        <v>282</v>
      </c>
      <c r="D11" s="12">
        <v>315</v>
      </c>
      <c r="E11" s="12">
        <v>293</v>
      </c>
      <c r="F11" s="12">
        <v>316</v>
      </c>
      <c r="G11" s="12">
        <v>297</v>
      </c>
      <c r="H11" s="12">
        <v>269.8</v>
      </c>
      <c r="I11" s="12">
        <v>234</v>
      </c>
      <c r="J11" s="12">
        <v>231.7</v>
      </c>
      <c r="K11" s="12">
        <v>226</v>
      </c>
      <c r="L11" s="12">
        <v>215</v>
      </c>
      <c r="M11" s="12">
        <v>218.7</v>
      </c>
      <c r="N11" s="12">
        <v>221</v>
      </c>
      <c r="O11" s="12">
        <v>185</v>
      </c>
      <c r="P11" s="12">
        <v>147</v>
      </c>
      <c r="Q11" s="12">
        <v>132.1</v>
      </c>
      <c r="R11" s="12">
        <v>122</v>
      </c>
      <c r="S11" s="12">
        <v>146.19999999999999</v>
      </c>
      <c r="T11" s="12">
        <v>111</v>
      </c>
      <c r="U11" s="12"/>
      <c r="AF11" s="2">
        <f t="shared" si="23"/>
        <v>771.7</v>
      </c>
      <c r="AG11" s="2">
        <f t="shared" si="20"/>
        <v>511.29999999999995</v>
      </c>
      <c r="AH11" s="2">
        <f t="shared" ref="AH11:AT11" si="30">+AG11*0.9</f>
        <v>460.16999999999996</v>
      </c>
      <c r="AI11" s="2">
        <f t="shared" si="30"/>
        <v>414.15299999999996</v>
      </c>
      <c r="AJ11" s="2">
        <f t="shared" si="30"/>
        <v>372.73769999999996</v>
      </c>
      <c r="AK11" s="2">
        <f t="shared" si="30"/>
        <v>335.46392999999995</v>
      </c>
      <c r="AL11" s="2">
        <f t="shared" si="30"/>
        <v>301.91753699999998</v>
      </c>
      <c r="AM11" s="2">
        <f t="shared" si="30"/>
        <v>271.72578329999999</v>
      </c>
      <c r="AN11" s="2">
        <f t="shared" si="30"/>
        <v>244.55320497</v>
      </c>
      <c r="AO11" s="2">
        <f t="shared" si="30"/>
        <v>220.09788447299999</v>
      </c>
      <c r="AP11" s="2">
        <f t="shared" si="30"/>
        <v>198.0880960257</v>
      </c>
      <c r="AQ11" s="2">
        <f t="shared" si="30"/>
        <v>178.27928642313</v>
      </c>
      <c r="AR11" s="2">
        <f t="shared" si="30"/>
        <v>160.45135778081701</v>
      </c>
      <c r="AS11" s="2">
        <f t="shared" si="30"/>
        <v>144.40622200273532</v>
      </c>
      <c r="AT11" s="2">
        <f t="shared" si="30"/>
        <v>129.96559980246178</v>
      </c>
      <c r="AU11" s="2">
        <f t="shared" si="25"/>
        <v>116.96903982221561</v>
      </c>
      <c r="AV11" s="2">
        <f t="shared" si="26"/>
        <v>105.27213583999405</v>
      </c>
      <c r="AW11" s="2">
        <f t="shared" si="27"/>
        <v>94.744922255994652</v>
      </c>
      <c r="AX11" s="2">
        <f t="shared" si="28"/>
        <v>85.27043003039519</v>
      </c>
      <c r="AY11" s="2">
        <f t="shared" si="29"/>
        <v>76.743387027355666</v>
      </c>
    </row>
    <row r="12" spans="1:51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F12" s="2">
        <f t="shared" si="23"/>
        <v>683.3</v>
      </c>
      <c r="AG12" s="2">
        <f>SUM(Q12:T12)</f>
        <v>553.4</v>
      </c>
      <c r="AH12" s="2">
        <f t="shared" ref="AH12:AT12" si="31">+AG12*0.9</f>
        <v>498.06</v>
      </c>
      <c r="AI12" s="2">
        <f t="shared" si="31"/>
        <v>448.25400000000002</v>
      </c>
      <c r="AJ12" s="2">
        <f t="shared" si="31"/>
        <v>403.42860000000002</v>
      </c>
      <c r="AK12" s="2">
        <f t="shared" si="31"/>
        <v>363.08574000000004</v>
      </c>
      <c r="AL12" s="2">
        <f t="shared" si="31"/>
        <v>326.77716600000002</v>
      </c>
      <c r="AM12" s="2">
        <f t="shared" si="31"/>
        <v>294.09944940000003</v>
      </c>
      <c r="AN12" s="2">
        <f t="shared" si="31"/>
        <v>264.68950446000002</v>
      </c>
      <c r="AO12" s="2">
        <f t="shared" si="31"/>
        <v>238.22055401400002</v>
      </c>
      <c r="AP12" s="2">
        <f t="shared" si="31"/>
        <v>214.39849861260001</v>
      </c>
      <c r="AQ12" s="2">
        <f t="shared" si="31"/>
        <v>192.95864875134001</v>
      </c>
      <c r="AR12" s="2">
        <f t="shared" si="31"/>
        <v>173.66278387620602</v>
      </c>
      <c r="AS12" s="2">
        <f t="shared" si="31"/>
        <v>156.29650548858541</v>
      </c>
      <c r="AT12" s="2">
        <f t="shared" si="31"/>
        <v>140.66685493972687</v>
      </c>
      <c r="AU12" s="2">
        <f t="shared" si="25"/>
        <v>126.60016944575419</v>
      </c>
      <c r="AV12" s="2">
        <f t="shared" si="26"/>
        <v>113.94015250117877</v>
      </c>
      <c r="AW12" s="2">
        <f t="shared" si="27"/>
        <v>102.5461372510609</v>
      </c>
      <c r="AX12" s="2">
        <f t="shared" si="28"/>
        <v>92.291523525954815</v>
      </c>
      <c r="AY12" s="2">
        <f t="shared" si="29"/>
        <v>83.062371173359338</v>
      </c>
    </row>
    <row r="13" spans="1:51" s="13" customFormat="1" x14ac:dyDescent="0.2">
      <c r="B13" s="13" t="s">
        <v>24</v>
      </c>
      <c r="C13" s="14">
        <f t="shared" ref="C13:K13" si="32">SUM(C9:C12)+C8</f>
        <v>783</v>
      </c>
      <c r="D13" s="14">
        <f t="shared" si="32"/>
        <v>869.93299999999999</v>
      </c>
      <c r="E13" s="14">
        <f t="shared" si="32"/>
        <v>858.18200000000002</v>
      </c>
      <c r="F13" s="14">
        <f t="shared" si="32"/>
        <v>940.91300000000001</v>
      </c>
      <c r="G13" s="14">
        <f t="shared" si="32"/>
        <v>950</v>
      </c>
      <c r="H13" s="14">
        <f t="shared" si="32"/>
        <v>1257</v>
      </c>
      <c r="I13" s="14">
        <f t="shared" si="32"/>
        <v>1515</v>
      </c>
      <c r="J13" s="14">
        <f t="shared" si="32"/>
        <v>1524.4</v>
      </c>
      <c r="K13" s="14">
        <f t="shared" si="32"/>
        <v>1538</v>
      </c>
      <c r="L13" s="14">
        <f t="shared" ref="L13:P13" si="33">SUM(L9:L12)</f>
        <v>1627</v>
      </c>
      <c r="M13" s="14">
        <f t="shared" si="33"/>
        <v>1723.3</v>
      </c>
      <c r="N13" s="14">
        <f t="shared" si="33"/>
        <v>1794</v>
      </c>
      <c r="O13" s="14">
        <f t="shared" si="33"/>
        <v>1984</v>
      </c>
      <c r="P13" s="14">
        <f t="shared" si="33"/>
        <v>2072</v>
      </c>
      <c r="Q13" s="14">
        <f>SUM(Q9:Q12)</f>
        <v>2097.5</v>
      </c>
      <c r="R13" s="14">
        <f t="shared" ref="R13:X13" si="34">SUM(R9:R12)</f>
        <v>2197</v>
      </c>
      <c r="S13" s="14">
        <f t="shared" si="34"/>
        <v>2334.2999999999997</v>
      </c>
      <c r="T13" s="14">
        <f t="shared" si="34"/>
        <v>2303</v>
      </c>
      <c r="U13" s="14">
        <f t="shared" si="34"/>
        <v>2374.7999999999997</v>
      </c>
      <c r="V13" s="14">
        <f t="shared" si="34"/>
        <v>2399.7999999999997</v>
      </c>
      <c r="W13" s="14">
        <f t="shared" si="34"/>
        <v>2424.7999999999997</v>
      </c>
      <c r="X13" s="14">
        <f t="shared" si="34"/>
        <v>2449.7999999999997</v>
      </c>
      <c r="AE13" s="13">
        <f t="shared" ref="AE13" si="35">SUM(AE9:AE12)</f>
        <v>0</v>
      </c>
      <c r="AF13" s="13">
        <f>SUM(AF9:AF12)</f>
        <v>7573.3</v>
      </c>
      <c r="AG13" s="13">
        <f>SUM(AG9:AG12)</f>
        <v>8931.7999999999993</v>
      </c>
      <c r="AH13" s="13">
        <f>SUM(AH4:AH12)</f>
        <v>10444.75</v>
      </c>
      <c r="AI13" s="13">
        <f t="shared" ref="AI13:AT13" si="36">SUM(AI4:AI12)</f>
        <v>11655.179000000002</v>
      </c>
      <c r="AJ13" s="13">
        <f t="shared" si="36"/>
        <v>13257.29774</v>
      </c>
      <c r="AK13" s="13">
        <f t="shared" si="36"/>
        <v>15373.557338800003</v>
      </c>
      <c r="AL13" s="13">
        <f t="shared" si="36"/>
        <v>16903.030765176005</v>
      </c>
      <c r="AM13" s="13">
        <f t="shared" si="36"/>
        <v>18254.893432119523</v>
      </c>
      <c r="AN13" s="13">
        <f t="shared" si="36"/>
        <v>19618.513147237914</v>
      </c>
      <c r="AO13" s="13">
        <f>SUM(AO4:AO12)</f>
        <v>20053.242072011071</v>
      </c>
      <c r="AP13" s="13">
        <f t="shared" si="36"/>
        <v>20309.107599096853</v>
      </c>
      <c r="AQ13" s="13">
        <f t="shared" si="36"/>
        <v>20575.711037059798</v>
      </c>
      <c r="AR13" s="13">
        <f t="shared" si="36"/>
        <v>20852.616090772895</v>
      </c>
      <c r="AS13" s="13">
        <f t="shared" si="36"/>
        <v>14833.625122374249</v>
      </c>
      <c r="AT13" s="13">
        <f t="shared" si="36"/>
        <v>9425.7022405471253</v>
      </c>
      <c r="AU13" s="13">
        <f t="shared" ref="AU13:AY13" si="37">SUM(AU4:AU12)</f>
        <v>8933.3978257704148</v>
      </c>
      <c r="AV13" s="13">
        <f t="shared" si="37"/>
        <v>8936.2336888205155</v>
      </c>
      <c r="AW13" s="13">
        <f t="shared" si="37"/>
        <v>8991.8884398475129</v>
      </c>
      <c r="AX13" s="13">
        <f t="shared" si="37"/>
        <v>9055.8845687534649</v>
      </c>
      <c r="AY13" s="13">
        <f t="shared" si="37"/>
        <v>3092.3175369308074</v>
      </c>
    </row>
    <row r="14" spans="1:51" s="2" customFormat="1" x14ac:dyDescent="0.2">
      <c r="B14" s="2" t="s">
        <v>59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289.39999999999998</v>
      </c>
      <c r="T14" s="12">
        <v>280.89999999999998</v>
      </c>
      <c r="U14" s="12">
        <v>265</v>
      </c>
      <c r="V14" s="2">
        <f>+V13-V15</f>
        <v>239.98000000000002</v>
      </c>
      <c r="W14" s="2">
        <f>+W13-W15</f>
        <v>242.48000000000002</v>
      </c>
      <c r="X14" s="2">
        <f>+X13-X15</f>
        <v>244.98000000000002</v>
      </c>
      <c r="AF14" s="2">
        <f t="shared" si="23"/>
        <v>904.21199999999999</v>
      </c>
      <c r="AG14" s="2">
        <f>SUM(Q14:T14)</f>
        <v>977.9</v>
      </c>
      <c r="AH14" s="2">
        <f>+AH13*0.07</f>
        <v>731.13250000000005</v>
      </c>
      <c r="AI14" s="2">
        <f t="shared" ref="AI14:AT14" si="38">+AI13*0.07</f>
        <v>815.86253000000022</v>
      </c>
      <c r="AJ14" s="2">
        <f t="shared" si="38"/>
        <v>928.01084180000009</v>
      </c>
      <c r="AK14" s="2">
        <f t="shared" si="38"/>
        <v>1076.1490137160004</v>
      </c>
      <c r="AL14" s="2">
        <f t="shared" si="38"/>
        <v>1183.2121535623205</v>
      </c>
      <c r="AM14" s="2">
        <f t="shared" si="38"/>
        <v>1277.8425402483667</v>
      </c>
      <c r="AN14" s="2">
        <f t="shared" si="38"/>
        <v>1373.2959203066541</v>
      </c>
      <c r="AO14" s="2">
        <f t="shared" si="38"/>
        <v>1403.726945040775</v>
      </c>
      <c r="AP14" s="2">
        <f t="shared" si="38"/>
        <v>1421.6375319367799</v>
      </c>
      <c r="AQ14" s="2">
        <f t="shared" si="38"/>
        <v>1440.2997725941859</v>
      </c>
      <c r="AR14" s="2">
        <f t="shared" si="38"/>
        <v>1459.6831263541028</v>
      </c>
      <c r="AS14" s="2">
        <f t="shared" si="38"/>
        <v>1038.3537585661975</v>
      </c>
      <c r="AT14" s="2">
        <f t="shared" si="38"/>
        <v>659.79915683829881</v>
      </c>
      <c r="AU14" s="2">
        <f t="shared" ref="AU14:AY14" si="39">+AU13*0.07</f>
        <v>625.33784780392909</v>
      </c>
      <c r="AV14" s="2">
        <f t="shared" si="39"/>
        <v>625.53635821743615</v>
      </c>
      <c r="AW14" s="2">
        <f t="shared" si="39"/>
        <v>629.432190789326</v>
      </c>
      <c r="AX14" s="2">
        <f t="shared" si="39"/>
        <v>633.91191981274255</v>
      </c>
      <c r="AY14" s="2">
        <f t="shared" si="39"/>
        <v>216.46222758515654</v>
      </c>
    </row>
    <row r="15" spans="1:51" s="2" customFormat="1" x14ac:dyDescent="0.2">
      <c r="B15" s="2" t="s">
        <v>60</v>
      </c>
      <c r="C15" s="12">
        <f t="shared" ref="C15:J15" si="40">+C13-C14</f>
        <v>671.745</v>
      </c>
      <c r="D15" s="12">
        <f t="shared" si="40"/>
        <v>747.64400000000001</v>
      </c>
      <c r="E15" s="12">
        <f t="shared" si="40"/>
        <v>763.09</v>
      </c>
      <c r="F15" s="12">
        <f t="shared" si="40"/>
        <v>805.173</v>
      </c>
      <c r="G15" s="12">
        <f t="shared" si="40"/>
        <v>818.08600000000001</v>
      </c>
      <c r="H15" s="12">
        <f t="shared" si="40"/>
        <v>1071.9880000000001</v>
      </c>
      <c r="I15" s="12">
        <f t="shared" si="40"/>
        <v>1352.5029999999999</v>
      </c>
      <c r="J15" s="12">
        <f t="shared" si="40"/>
        <v>1339.9</v>
      </c>
      <c r="K15" s="12">
        <f t="shared" ref="K15:L15" si="41">+K13-K14</f>
        <v>1351.818</v>
      </c>
      <c r="L15" s="12">
        <f t="shared" si="41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42">+R13-R14</f>
        <v>1935.2</v>
      </c>
      <c r="S15" s="12">
        <f>+S13-S14</f>
        <v>2044.8999999999996</v>
      </c>
      <c r="T15" s="12">
        <f t="shared" si="42"/>
        <v>2022.1</v>
      </c>
      <c r="U15" s="12">
        <f>+U13-U14</f>
        <v>2109.7999999999997</v>
      </c>
      <c r="V15" s="2">
        <f>+V13*0.9</f>
        <v>2159.8199999999997</v>
      </c>
      <c r="W15" s="2">
        <f>+W13*0.9</f>
        <v>2182.3199999999997</v>
      </c>
      <c r="X15" s="2">
        <f>+X13*0.9</f>
        <v>2204.8199999999997</v>
      </c>
      <c r="AE15" s="2">
        <f t="shared" ref="AE15" si="43">+AE13-AE14</f>
        <v>0</v>
      </c>
      <c r="AF15" s="2">
        <f>+AF13-AF14</f>
        <v>6669.0879999999997</v>
      </c>
      <c r="AG15" s="2">
        <f>+AG13-AG14</f>
        <v>7953.9</v>
      </c>
      <c r="AH15" s="2">
        <f>+AH13-AH14</f>
        <v>9713.6175000000003</v>
      </c>
      <c r="AI15" s="2">
        <f t="shared" ref="AI15:AT15" si="44">+AI13-AI14</f>
        <v>10839.316470000002</v>
      </c>
      <c r="AJ15" s="2">
        <f t="shared" si="44"/>
        <v>12329.2868982</v>
      </c>
      <c r="AK15" s="2">
        <f t="shared" si="44"/>
        <v>14297.408325084003</v>
      </c>
      <c r="AL15" s="2">
        <f t="shared" si="44"/>
        <v>15719.818611613684</v>
      </c>
      <c r="AM15" s="2">
        <f t="shared" si="44"/>
        <v>16977.050891871157</v>
      </c>
      <c r="AN15" s="2">
        <f t="shared" si="44"/>
        <v>18245.217226931261</v>
      </c>
      <c r="AO15" s="2">
        <f t="shared" si="44"/>
        <v>18649.515126970295</v>
      </c>
      <c r="AP15" s="2">
        <f t="shared" si="44"/>
        <v>18887.470067160073</v>
      </c>
      <c r="AQ15" s="2">
        <f t="shared" si="44"/>
        <v>19135.411264465612</v>
      </c>
      <c r="AR15" s="2">
        <f t="shared" si="44"/>
        <v>19392.932964418793</v>
      </c>
      <c r="AS15" s="2">
        <f t="shared" si="44"/>
        <v>13795.271363808051</v>
      </c>
      <c r="AT15" s="2">
        <f t="shared" si="44"/>
        <v>8765.9030837088267</v>
      </c>
      <c r="AU15" s="2">
        <f t="shared" ref="AU15:AY15" si="45">+AU13-AU14</f>
        <v>8308.0599779664863</v>
      </c>
      <c r="AV15" s="2">
        <f t="shared" si="45"/>
        <v>8310.6973306030795</v>
      </c>
      <c r="AW15" s="2">
        <f t="shared" si="45"/>
        <v>8362.4562490581866</v>
      </c>
      <c r="AX15" s="2">
        <f t="shared" si="45"/>
        <v>8421.9726489407221</v>
      </c>
      <c r="AY15" s="2">
        <f t="shared" si="45"/>
        <v>2875.8553093456508</v>
      </c>
    </row>
    <row r="16" spans="1:51" s="2" customFormat="1" x14ac:dyDescent="0.2">
      <c r="B16" s="2" t="s">
        <v>61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215.3</v>
      </c>
      <c r="S16" s="12">
        <v>246.8</v>
      </c>
      <c r="T16" s="12">
        <v>225.6</v>
      </c>
      <c r="U16" s="12">
        <v>196.9</v>
      </c>
      <c r="V16" s="2">
        <f>+R16</f>
        <v>215.3</v>
      </c>
      <c r="W16" s="2">
        <f>+S16</f>
        <v>246.8</v>
      </c>
      <c r="X16" s="2">
        <f>+T16</f>
        <v>225.6</v>
      </c>
      <c r="AE16" s="2">
        <v>609</v>
      </c>
      <c r="AF16" s="2">
        <v>673</v>
      </c>
      <c r="AG16" s="2">
        <f t="shared" ref="AG16:AG17" si="46">SUM(Q16:T16)</f>
        <v>854.7</v>
      </c>
      <c r="AH16" s="2">
        <f>+AH13*0.1</f>
        <v>1044.4750000000001</v>
      </c>
      <c r="AI16" s="2">
        <f t="shared" ref="AI16:AT16" si="47">+AI13*0.1</f>
        <v>1165.5179000000003</v>
      </c>
      <c r="AJ16" s="2">
        <f t="shared" si="47"/>
        <v>1325.7297740000001</v>
      </c>
      <c r="AK16" s="2">
        <f t="shared" si="47"/>
        <v>1537.3557338800003</v>
      </c>
      <c r="AL16" s="2">
        <f t="shared" si="47"/>
        <v>1690.3030765176006</v>
      </c>
      <c r="AM16" s="2">
        <f t="shared" si="47"/>
        <v>1825.4893432119525</v>
      </c>
      <c r="AN16" s="2">
        <f t="shared" si="47"/>
        <v>1961.8513147237916</v>
      </c>
      <c r="AO16" s="2">
        <f t="shared" si="47"/>
        <v>2005.3242072011071</v>
      </c>
      <c r="AP16" s="2">
        <f t="shared" si="47"/>
        <v>2030.9107599096853</v>
      </c>
      <c r="AQ16" s="2">
        <f t="shared" si="47"/>
        <v>2057.57110370598</v>
      </c>
      <c r="AR16" s="2">
        <f t="shared" si="47"/>
        <v>2085.2616090772894</v>
      </c>
      <c r="AS16" s="2">
        <f t="shared" si="47"/>
        <v>1483.3625122374251</v>
      </c>
      <c r="AT16" s="2">
        <f t="shared" si="47"/>
        <v>942.57022405471253</v>
      </c>
      <c r="AU16" s="2">
        <f t="shared" ref="AU16:AY16" si="48">+AU13*0.1</f>
        <v>893.33978257704155</v>
      </c>
      <c r="AV16" s="2">
        <f t="shared" si="48"/>
        <v>893.62336888205164</v>
      </c>
      <c r="AW16" s="2">
        <f t="shared" si="48"/>
        <v>899.18884398475132</v>
      </c>
      <c r="AX16" s="2">
        <f t="shared" si="48"/>
        <v>905.58845687534654</v>
      </c>
      <c r="AY16" s="2">
        <f t="shared" si="48"/>
        <v>309.23175369308075</v>
      </c>
    </row>
    <row r="17" spans="2:111" s="2" customFormat="1" x14ac:dyDescent="0.2">
      <c r="B17" s="2" t="s">
        <v>62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600.1</v>
      </c>
      <c r="S17" s="12">
        <v>645</v>
      </c>
      <c r="T17" s="12">
        <v>623.20000000000005</v>
      </c>
      <c r="U17" s="12">
        <v>663.5</v>
      </c>
      <c r="V17" s="2">
        <f>+U17</f>
        <v>663.5</v>
      </c>
      <c r="W17" s="2">
        <f>+V17</f>
        <v>663.5</v>
      </c>
      <c r="X17" s="2">
        <f>+W17</f>
        <v>663.5</v>
      </c>
      <c r="AE17" s="2">
        <v>1372</v>
      </c>
      <c r="AF17" s="2">
        <v>1658</v>
      </c>
      <c r="AG17" s="2">
        <f t="shared" si="46"/>
        <v>2388.3000000000002</v>
      </c>
    </row>
    <row r="18" spans="2:111" s="2" customFormat="1" x14ac:dyDescent="0.2">
      <c r="B18" s="2" t="s">
        <v>63</v>
      </c>
      <c r="C18" s="12">
        <f t="shared" ref="C18:D18" si="49">SUM(C16:C17)</f>
        <v>467.80499999999995</v>
      </c>
      <c r="D18" s="12">
        <f t="shared" si="49"/>
        <v>591.09100000000001</v>
      </c>
      <c r="E18" s="12">
        <f t="shared" ref="E18:G18" si="50">SUM(E16:E17)</f>
        <v>486.53499999999997</v>
      </c>
      <c r="F18" s="12">
        <f t="shared" si="50"/>
        <v>535.59300000000007</v>
      </c>
      <c r="G18" s="12">
        <f t="shared" si="50"/>
        <v>715.62199999999996</v>
      </c>
      <c r="H18" s="12">
        <f t="shared" ref="H18:I18" si="51">SUM(H16:H17)</f>
        <v>675.28800000000001</v>
      </c>
      <c r="I18" s="12">
        <f t="shared" si="51"/>
        <v>630.78600000000006</v>
      </c>
      <c r="J18" s="12">
        <f t="shared" ref="J18" si="52">SUM(J16:J17)</f>
        <v>612.70000000000005</v>
      </c>
      <c r="K18" s="12">
        <f t="shared" ref="K18:L18" si="53">SUM(K16:K17)</f>
        <v>678.048</v>
      </c>
      <c r="L18" s="12">
        <f t="shared" si="53"/>
        <v>539</v>
      </c>
      <c r="M18" s="12">
        <f>SUM(M16:M17)</f>
        <v>531</v>
      </c>
      <c r="N18" s="12">
        <f t="shared" ref="N18:Q18" si="54">SUM(N16:N17)</f>
        <v>643.29999999999995</v>
      </c>
      <c r="O18" s="12">
        <f t="shared" si="54"/>
        <v>691.93999999999994</v>
      </c>
      <c r="P18" s="12">
        <f>SUM(P16:P17)</f>
        <v>703</v>
      </c>
      <c r="Q18" s="12">
        <f t="shared" si="54"/>
        <v>687</v>
      </c>
      <c r="R18" s="12">
        <f>SUM(R16:R17)</f>
        <v>815.40000000000009</v>
      </c>
      <c r="S18" s="12">
        <f>SUM(S16:S17)</f>
        <v>891.8</v>
      </c>
      <c r="T18" s="12">
        <f t="shared" ref="T18:U18" si="55">SUM(T16:T17)</f>
        <v>848.80000000000007</v>
      </c>
      <c r="U18" s="12">
        <f t="shared" si="55"/>
        <v>860.4</v>
      </c>
      <c r="V18" s="12">
        <f t="shared" ref="V18:X18" si="56">SUM(V16:V17)</f>
        <v>878.8</v>
      </c>
      <c r="W18" s="12">
        <f t="shared" si="56"/>
        <v>910.3</v>
      </c>
      <c r="X18" s="12">
        <f t="shared" si="56"/>
        <v>889.1</v>
      </c>
      <c r="AE18" s="12">
        <f t="shared" ref="AE18:AG18" si="57">SUM(AE16:AE17)</f>
        <v>1981</v>
      </c>
      <c r="AF18" s="12">
        <f t="shared" si="57"/>
        <v>2331</v>
      </c>
      <c r="AG18" s="12">
        <f t="shared" si="57"/>
        <v>3243</v>
      </c>
      <c r="AH18" s="12">
        <f t="shared" ref="AH18:AT18" si="58">SUM(AH16:AH17)</f>
        <v>1044.4750000000001</v>
      </c>
      <c r="AI18" s="12">
        <f t="shared" si="58"/>
        <v>1165.5179000000003</v>
      </c>
      <c r="AJ18" s="12">
        <f t="shared" si="58"/>
        <v>1325.7297740000001</v>
      </c>
      <c r="AK18" s="12">
        <f t="shared" si="58"/>
        <v>1537.3557338800003</v>
      </c>
      <c r="AL18" s="12">
        <f t="shared" si="58"/>
        <v>1690.3030765176006</v>
      </c>
      <c r="AM18" s="12">
        <f t="shared" si="58"/>
        <v>1825.4893432119525</v>
      </c>
      <c r="AN18" s="12">
        <f t="shared" si="58"/>
        <v>1961.8513147237916</v>
      </c>
      <c r="AO18" s="12">
        <f t="shared" si="58"/>
        <v>2005.3242072011071</v>
      </c>
      <c r="AP18" s="12">
        <f t="shared" si="58"/>
        <v>2030.9107599096853</v>
      </c>
      <c r="AQ18" s="12">
        <f t="shared" si="58"/>
        <v>2057.57110370598</v>
      </c>
      <c r="AR18" s="12">
        <f t="shared" si="58"/>
        <v>2085.2616090772894</v>
      </c>
      <c r="AS18" s="12">
        <f t="shared" si="58"/>
        <v>1483.3625122374251</v>
      </c>
      <c r="AT18" s="12">
        <f t="shared" si="58"/>
        <v>942.57022405471253</v>
      </c>
      <c r="AU18" s="12">
        <f t="shared" ref="AU18:AY18" si="59">SUM(AU16:AU17)</f>
        <v>893.33978257704155</v>
      </c>
      <c r="AV18" s="12">
        <f t="shared" si="59"/>
        <v>893.62336888205164</v>
      </c>
      <c r="AW18" s="12">
        <f t="shared" si="59"/>
        <v>899.18884398475132</v>
      </c>
      <c r="AX18" s="12">
        <f t="shared" si="59"/>
        <v>905.58845687534654</v>
      </c>
      <c r="AY18" s="12">
        <f t="shared" si="59"/>
        <v>309.23175369308075</v>
      </c>
    </row>
    <row r="19" spans="2:111" x14ac:dyDescent="0.2">
      <c r="B19" s="2" t="s">
        <v>64</v>
      </c>
      <c r="C19" s="12">
        <f t="shared" ref="C19:D19" si="60">C15-C18</f>
        <v>203.94000000000005</v>
      </c>
      <c r="D19" s="12">
        <f t="shared" si="60"/>
        <v>156.553</v>
      </c>
      <c r="E19" s="12">
        <f t="shared" ref="E19:G19" si="61">E15-E18</f>
        <v>276.55500000000006</v>
      </c>
      <c r="F19" s="12">
        <f t="shared" si="61"/>
        <v>269.57999999999993</v>
      </c>
      <c r="G19" s="12">
        <f t="shared" si="61"/>
        <v>102.46400000000006</v>
      </c>
      <c r="H19" s="12">
        <f t="shared" ref="H19:I19" si="62">H15-H18</f>
        <v>396.70000000000005</v>
      </c>
      <c r="I19" s="12">
        <f t="shared" si="62"/>
        <v>721.71699999999987</v>
      </c>
      <c r="J19" s="12">
        <f t="shared" ref="J19" si="63">J15-J18</f>
        <v>727.2</v>
      </c>
      <c r="K19" s="12">
        <f t="shared" ref="K19:L19" si="64">K15-K18</f>
        <v>673.77</v>
      </c>
      <c r="L19" s="12">
        <f t="shared" si="64"/>
        <v>884.90000000000009</v>
      </c>
      <c r="M19" s="12">
        <f>M15-M18</f>
        <v>1000</v>
      </c>
      <c r="N19" s="12">
        <f t="shared" ref="N19:Q19" si="65">N15-N18</f>
        <v>922.7</v>
      </c>
      <c r="O19" s="12">
        <f t="shared" si="65"/>
        <v>1055.5480000000002</v>
      </c>
      <c r="P19" s="12">
        <f>P15-P18</f>
        <v>1121.5999999999999</v>
      </c>
      <c r="Q19" s="12">
        <f t="shared" si="65"/>
        <v>1264.7</v>
      </c>
      <c r="R19" s="12">
        <f>R15-R18</f>
        <v>1119.8</v>
      </c>
      <c r="S19" s="12">
        <f>S15-S18</f>
        <v>1153.0999999999997</v>
      </c>
      <c r="T19" s="12">
        <f t="shared" ref="T19:U19" si="66">T15-T18</f>
        <v>1173.2999999999997</v>
      </c>
      <c r="U19" s="12">
        <f t="shared" si="66"/>
        <v>1249.3999999999996</v>
      </c>
      <c r="V19" s="12">
        <f t="shared" ref="V19:X19" si="67">V15-V18</f>
        <v>1281.0199999999998</v>
      </c>
      <c r="W19" s="12">
        <f t="shared" si="67"/>
        <v>1272.0199999999998</v>
      </c>
      <c r="X19" s="12">
        <f t="shared" si="67"/>
        <v>1315.7199999999998</v>
      </c>
      <c r="AE19" s="12">
        <f t="shared" ref="AE19:AG19" si="68">AE15-AE18</f>
        <v>-1981</v>
      </c>
      <c r="AF19" s="12">
        <f t="shared" si="68"/>
        <v>4338.0879999999997</v>
      </c>
      <c r="AG19" s="12">
        <f t="shared" si="68"/>
        <v>4710.8999999999996</v>
      </c>
      <c r="AH19" s="12">
        <f t="shared" ref="AH19:AT19" si="69">AH15-AH18</f>
        <v>8669.1424999999999</v>
      </c>
      <c r="AI19" s="12">
        <f t="shared" si="69"/>
        <v>9673.7985700000008</v>
      </c>
      <c r="AJ19" s="12">
        <f t="shared" si="69"/>
        <v>11003.557124200001</v>
      </c>
      <c r="AK19" s="12">
        <f t="shared" si="69"/>
        <v>12760.052591204003</v>
      </c>
      <c r="AL19" s="12">
        <f t="shared" si="69"/>
        <v>14029.515535096083</v>
      </c>
      <c r="AM19" s="12">
        <f t="shared" si="69"/>
        <v>15151.561548659203</v>
      </c>
      <c r="AN19" s="12">
        <f t="shared" si="69"/>
        <v>16283.36591220747</v>
      </c>
      <c r="AO19" s="12">
        <f t="shared" si="69"/>
        <v>16644.190919769186</v>
      </c>
      <c r="AP19" s="12">
        <f t="shared" si="69"/>
        <v>16856.559307250387</v>
      </c>
      <c r="AQ19" s="12">
        <f t="shared" si="69"/>
        <v>17077.840160759632</v>
      </c>
      <c r="AR19" s="12">
        <f t="shared" si="69"/>
        <v>17307.671355341503</v>
      </c>
      <c r="AS19" s="12">
        <f t="shared" si="69"/>
        <v>12311.908851570626</v>
      </c>
      <c r="AT19" s="12">
        <f t="shared" si="69"/>
        <v>7823.3328596541141</v>
      </c>
      <c r="AU19" s="12">
        <f t="shared" ref="AU19:AY19" si="70">AU15-AU18</f>
        <v>7414.7201953894446</v>
      </c>
      <c r="AV19" s="12">
        <f t="shared" si="70"/>
        <v>7417.0739617210274</v>
      </c>
      <c r="AW19" s="12">
        <f t="shared" si="70"/>
        <v>7463.2674050734349</v>
      </c>
      <c r="AX19" s="12">
        <f t="shared" si="70"/>
        <v>7516.3841920653758</v>
      </c>
      <c r="AY19" s="12">
        <f t="shared" si="70"/>
        <v>2566.6235556525698</v>
      </c>
    </row>
    <row r="20" spans="2:111" s="2" customFormat="1" x14ac:dyDescent="0.2">
      <c r="B20" s="2" t="s">
        <v>123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v>122.6</v>
      </c>
      <c r="V20" s="2">
        <f>+U20</f>
        <v>122.6</v>
      </c>
      <c r="W20" s="2">
        <f>+V20</f>
        <v>122.6</v>
      </c>
      <c r="X20" s="2">
        <f>+W20</f>
        <v>122.6</v>
      </c>
      <c r="AG20" s="2">
        <f t="shared" ref="AG20:AG22" si="71">SUM(Q20:T20)</f>
        <v>89.6</v>
      </c>
      <c r="AH20" s="2">
        <f t="shared" ref="AH20:AV20" si="72">+AG32*$BB$30</f>
        <v>0</v>
      </c>
      <c r="AI20" s="2">
        <f t="shared" si="72"/>
        <v>69.35314000000001</v>
      </c>
      <c r="AJ20" s="2">
        <f t="shared" si="72"/>
        <v>147.29835367999999</v>
      </c>
      <c r="AK20" s="2">
        <f t="shared" si="72"/>
        <v>236.50519750303999</v>
      </c>
      <c r="AL20" s="2">
        <f t="shared" si="72"/>
        <v>340.47765981269634</v>
      </c>
      <c r="AM20" s="2">
        <f t="shared" si="72"/>
        <v>455.43760537196664</v>
      </c>
      <c r="AN20" s="2">
        <f t="shared" si="72"/>
        <v>580.29359860421596</v>
      </c>
      <c r="AO20" s="2">
        <f t="shared" si="72"/>
        <v>715.20287469070945</v>
      </c>
      <c r="AP20" s="2">
        <f t="shared" si="72"/>
        <v>854.07802504638869</v>
      </c>
      <c r="AQ20" s="2">
        <f t="shared" si="72"/>
        <v>995.76312370476285</v>
      </c>
      <c r="AR20" s="2">
        <f t="shared" si="72"/>
        <v>1140.3519499804779</v>
      </c>
      <c r="AS20" s="2">
        <f t="shared" si="72"/>
        <v>1287.9361364230538</v>
      </c>
      <c r="AT20" s="2">
        <f t="shared" si="72"/>
        <v>1396.7348963270033</v>
      </c>
      <c r="AU20" s="2">
        <f t="shared" si="72"/>
        <v>1470.4954383748523</v>
      </c>
      <c r="AV20" s="2">
        <f t="shared" si="72"/>
        <v>1541.5771634449668</v>
      </c>
      <c r="AW20" s="2">
        <f t="shared" ref="AW20:AY20" si="73">+AV32*$BB$30</f>
        <v>1613.2463724462948</v>
      </c>
      <c r="AX20" s="2">
        <f t="shared" si="73"/>
        <v>1685.8584826664526</v>
      </c>
      <c r="AY20" s="2">
        <f t="shared" si="73"/>
        <v>1759.4764240643071</v>
      </c>
    </row>
    <row r="21" spans="2:111" x14ac:dyDescent="0.2">
      <c r="B21" s="2" t="s">
        <v>124</v>
      </c>
      <c r="C21" s="12">
        <f t="shared" ref="C21:D21" si="74">+C19+C20</f>
        <v>195.79700000000005</v>
      </c>
      <c r="D21" s="12">
        <f t="shared" si="74"/>
        <v>151.78</v>
      </c>
      <c r="E21" s="12">
        <f t="shared" ref="E21:F21" si="75">+E19+E20</f>
        <v>277.30200000000008</v>
      </c>
      <c r="F21" s="12">
        <f t="shared" si="75"/>
        <v>272.8189999999999</v>
      </c>
      <c r="G21" s="12">
        <f t="shared" ref="G21:J21" si="76">+G19+G20</f>
        <v>105.54400000000005</v>
      </c>
      <c r="H21" s="12">
        <f t="shared" si="76"/>
        <v>394.81000000000006</v>
      </c>
      <c r="I21" s="12">
        <f t="shared" si="76"/>
        <v>720.15699999999993</v>
      </c>
      <c r="J21" s="12">
        <f t="shared" si="76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7">+N19+N20</f>
        <v>908.30000000000007</v>
      </c>
      <c r="O21" s="12">
        <f t="shared" si="77"/>
        <v>1041.4090000000003</v>
      </c>
      <c r="P21" s="12">
        <f t="shared" si="77"/>
        <v>1107.6999999999998</v>
      </c>
      <c r="Q21" s="12">
        <f t="shared" si="77"/>
        <v>1251.4000000000001</v>
      </c>
      <c r="R21" s="12">
        <f t="shared" ref="R21" si="78">+R19+R20</f>
        <v>1116</v>
      </c>
      <c r="S21" s="12">
        <f t="shared" ref="S21" si="79">+S19+S20</f>
        <v>1185.3999999999996</v>
      </c>
      <c r="T21" s="12">
        <f t="shared" ref="T21:X21" si="80">+T19+T20</f>
        <v>1247.6999999999998</v>
      </c>
      <c r="U21" s="12">
        <f t="shared" si="80"/>
        <v>1371.9999999999995</v>
      </c>
      <c r="V21" s="12">
        <f t="shared" si="80"/>
        <v>1403.6199999999997</v>
      </c>
      <c r="W21" s="12">
        <f t="shared" si="80"/>
        <v>1394.6199999999997</v>
      </c>
      <c r="X21" s="12">
        <f t="shared" si="80"/>
        <v>1438.3199999999997</v>
      </c>
      <c r="AG21" s="2">
        <f>+AG19+AG20</f>
        <v>4800.5</v>
      </c>
      <c r="AH21" s="2">
        <f t="shared" ref="AH21:AT21" si="81">+AH19+AH20</f>
        <v>8669.1424999999999</v>
      </c>
      <c r="AI21" s="2">
        <f t="shared" si="81"/>
        <v>9743.1517100000001</v>
      </c>
      <c r="AJ21" s="2">
        <f t="shared" si="81"/>
        <v>11150.855477880001</v>
      </c>
      <c r="AK21" s="2">
        <f t="shared" si="81"/>
        <v>12996.557788707043</v>
      </c>
      <c r="AL21" s="2">
        <f t="shared" si="81"/>
        <v>14369.993194908779</v>
      </c>
      <c r="AM21" s="2">
        <f t="shared" si="81"/>
        <v>15606.999154031169</v>
      </c>
      <c r="AN21" s="2">
        <f t="shared" si="81"/>
        <v>16863.659510811685</v>
      </c>
      <c r="AO21" s="2">
        <f t="shared" si="81"/>
        <v>17359.393794459895</v>
      </c>
      <c r="AP21" s="2">
        <f t="shared" si="81"/>
        <v>17710.637332296777</v>
      </c>
      <c r="AQ21" s="2">
        <f t="shared" si="81"/>
        <v>18073.603284464396</v>
      </c>
      <c r="AR21" s="2">
        <f t="shared" si="81"/>
        <v>18448.023305321982</v>
      </c>
      <c r="AS21" s="2">
        <f t="shared" si="81"/>
        <v>13599.84498799368</v>
      </c>
      <c r="AT21" s="2">
        <f t="shared" si="81"/>
        <v>9220.0677559811174</v>
      </c>
      <c r="AU21" s="2">
        <f t="shared" ref="AU21:AY21" si="82">+AU19+AU20</f>
        <v>8885.2156337642973</v>
      </c>
      <c r="AV21" s="2">
        <f t="shared" si="82"/>
        <v>8958.651125165994</v>
      </c>
      <c r="AW21" s="2">
        <f t="shared" si="82"/>
        <v>9076.513777519729</v>
      </c>
      <c r="AX21" s="2">
        <f t="shared" si="82"/>
        <v>9202.2426747318277</v>
      </c>
      <c r="AY21" s="2">
        <f t="shared" si="82"/>
        <v>4326.099979716877</v>
      </c>
    </row>
    <row r="22" spans="2:111" s="2" customFormat="1" x14ac:dyDescent="0.2">
      <c r="B22" s="2" t="s">
        <v>125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191.7</v>
      </c>
      <c r="V22" s="2">
        <f>+V21*0.15</f>
        <v>210.54299999999995</v>
      </c>
      <c r="W22" s="2">
        <f>+W21*0.15</f>
        <v>209.19299999999996</v>
      </c>
      <c r="X22" s="2">
        <f>+X21*0.15</f>
        <v>215.74799999999996</v>
      </c>
      <c r="AG22" s="2">
        <f t="shared" si="71"/>
        <v>1011.4</v>
      </c>
      <c r="AH22" s="2">
        <f>+AH21*0.2</f>
        <v>1733.8285000000001</v>
      </c>
      <c r="AI22" s="2">
        <f t="shared" ref="AI22:AT22" si="83">+AI21*0.2</f>
        <v>1948.6303420000002</v>
      </c>
      <c r="AJ22" s="2">
        <f t="shared" si="83"/>
        <v>2230.1710955760004</v>
      </c>
      <c r="AK22" s="2">
        <f t="shared" si="83"/>
        <v>2599.3115577414087</v>
      </c>
      <c r="AL22" s="2">
        <f t="shared" si="83"/>
        <v>2873.9986389817559</v>
      </c>
      <c r="AM22" s="2">
        <f t="shared" si="83"/>
        <v>3121.3998308062341</v>
      </c>
      <c r="AN22" s="2">
        <f t="shared" si="83"/>
        <v>3372.7319021623371</v>
      </c>
      <c r="AO22" s="2">
        <f t="shared" si="83"/>
        <v>3471.878758891979</v>
      </c>
      <c r="AP22" s="2">
        <f t="shared" si="83"/>
        <v>3542.1274664593557</v>
      </c>
      <c r="AQ22" s="2">
        <f t="shared" si="83"/>
        <v>3614.7206568928796</v>
      </c>
      <c r="AR22" s="2">
        <f t="shared" si="83"/>
        <v>3689.6046610643966</v>
      </c>
      <c r="AS22" s="2">
        <f t="shared" si="83"/>
        <v>2719.9689975987362</v>
      </c>
      <c r="AT22" s="2">
        <f t="shared" si="83"/>
        <v>1844.0135511962235</v>
      </c>
      <c r="AU22" s="2">
        <f t="shared" ref="AU22:AY22" si="84">+AU21*0.2</f>
        <v>1777.0431267528595</v>
      </c>
      <c r="AV22" s="2">
        <f t="shared" si="84"/>
        <v>1791.7302250331988</v>
      </c>
      <c r="AW22" s="2">
        <f>+AW21*0.2</f>
        <v>1815.3027555039459</v>
      </c>
      <c r="AX22" s="2">
        <f>+AX21*0.2</f>
        <v>1840.4485349463657</v>
      </c>
      <c r="AY22" s="2">
        <f t="shared" si="84"/>
        <v>865.21999594337547</v>
      </c>
    </row>
    <row r="23" spans="2:111" x14ac:dyDescent="0.2">
      <c r="B23" s="2" t="s">
        <v>126</v>
      </c>
      <c r="C23" s="12">
        <f t="shared" ref="C23:D23" si="85">+C21-C22</f>
        <v>187.74200000000005</v>
      </c>
      <c r="D23" s="12">
        <f t="shared" si="85"/>
        <v>151.78</v>
      </c>
      <c r="E23" s="12">
        <f t="shared" ref="E23:F23" si="86">+E21-E22</f>
        <v>225.76800000000009</v>
      </c>
      <c r="F23" s="12">
        <f t="shared" si="86"/>
        <v>213.10799999999989</v>
      </c>
      <c r="G23" s="12">
        <f t="shared" ref="G23:J23" si="87">+G21-G22</f>
        <v>92.396000000000058</v>
      </c>
      <c r="H23" s="12">
        <f t="shared" si="87"/>
        <v>301.09400000000005</v>
      </c>
      <c r="I23" s="12">
        <f t="shared" si="87"/>
        <v>665.37599999999998</v>
      </c>
      <c r="J23" s="12">
        <f t="shared" si="87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X23" si="88">+N21-N22</f>
        <v>897.40000000000009</v>
      </c>
      <c r="O23" s="12">
        <f t="shared" si="88"/>
        <v>810.59600000000034</v>
      </c>
      <c r="P23" s="12">
        <f t="shared" si="88"/>
        <v>868.69999999999982</v>
      </c>
      <c r="Q23" s="12">
        <f t="shared" si="88"/>
        <v>1002.4000000000001</v>
      </c>
      <c r="R23" s="12">
        <f t="shared" si="88"/>
        <v>857.4</v>
      </c>
      <c r="S23" s="12">
        <f t="shared" si="88"/>
        <v>939.49999999999966</v>
      </c>
      <c r="T23" s="12">
        <f t="shared" si="88"/>
        <v>989.79999999999984</v>
      </c>
      <c r="U23" s="12">
        <f t="shared" si="88"/>
        <v>1180.2999999999995</v>
      </c>
      <c r="V23" s="12">
        <f t="shared" si="88"/>
        <v>1193.0769999999998</v>
      </c>
      <c r="W23" s="12">
        <f t="shared" si="88"/>
        <v>1185.4269999999997</v>
      </c>
      <c r="X23" s="12">
        <f t="shared" si="88"/>
        <v>1222.5719999999997</v>
      </c>
      <c r="AG23" s="2">
        <f>+AG21-AG22</f>
        <v>3789.1</v>
      </c>
      <c r="AH23" s="2">
        <f t="shared" ref="AH23:AN23" si="89">+AH21-AH22</f>
        <v>6935.3140000000003</v>
      </c>
      <c r="AI23" s="2">
        <f t="shared" si="89"/>
        <v>7794.5213679999997</v>
      </c>
      <c r="AJ23" s="2">
        <f t="shared" si="89"/>
        <v>8920.6843823039999</v>
      </c>
      <c r="AK23" s="2">
        <f t="shared" si="89"/>
        <v>10397.246230965635</v>
      </c>
      <c r="AL23" s="2">
        <f t="shared" si="89"/>
        <v>11495.994555927024</v>
      </c>
      <c r="AM23" s="2">
        <f t="shared" si="89"/>
        <v>12485.599323224935</v>
      </c>
      <c r="AN23" s="2">
        <f t="shared" si="89"/>
        <v>13490.927608649348</v>
      </c>
      <c r="AO23" s="2">
        <f t="shared" ref="AO23:AT23" si="90">+AO21-AO22</f>
        <v>13887.515035567916</v>
      </c>
      <c r="AP23" s="2">
        <f t="shared" si="90"/>
        <v>14168.509865837423</v>
      </c>
      <c r="AQ23" s="2">
        <f t="shared" si="90"/>
        <v>14458.882627571516</v>
      </c>
      <c r="AR23" s="2">
        <f t="shared" si="90"/>
        <v>14758.418644257585</v>
      </c>
      <c r="AS23" s="2">
        <f t="shared" si="90"/>
        <v>10879.875990394943</v>
      </c>
      <c r="AT23" s="2">
        <f t="shared" si="90"/>
        <v>7376.054204784894</v>
      </c>
      <c r="AU23" s="2">
        <f t="shared" ref="AU23:AY23" si="91">+AU21-AU22</f>
        <v>7108.172507011438</v>
      </c>
      <c r="AV23" s="2">
        <f t="shared" si="91"/>
        <v>7166.9209001327954</v>
      </c>
      <c r="AW23" s="2">
        <f t="shared" si="91"/>
        <v>7261.2110220157829</v>
      </c>
      <c r="AX23" s="2">
        <f t="shared" si="91"/>
        <v>7361.794139785462</v>
      </c>
      <c r="AY23" s="2">
        <f t="shared" si="91"/>
        <v>3460.8799837735014</v>
      </c>
      <c r="AZ23" s="2">
        <f t="shared" ref="AZ23:CE23" si="92">+AY23*(1+$BB$28)</f>
        <v>3287.8359845848263</v>
      </c>
      <c r="BA23" s="2">
        <f t="shared" si="92"/>
        <v>3123.444185355585</v>
      </c>
      <c r="BB23" s="2">
        <f t="shared" si="92"/>
        <v>2967.2719760878058</v>
      </c>
      <c r="BC23" s="2">
        <f t="shared" si="92"/>
        <v>2818.9083772834156</v>
      </c>
      <c r="BD23" s="2">
        <f t="shared" si="92"/>
        <v>2677.9629584192448</v>
      </c>
      <c r="BE23" s="2">
        <f t="shared" si="92"/>
        <v>2544.0648104982824</v>
      </c>
      <c r="BF23" s="2">
        <f t="shared" si="92"/>
        <v>2416.8615699733682</v>
      </c>
      <c r="BG23" s="2">
        <f t="shared" si="92"/>
        <v>2296.0184914746997</v>
      </c>
      <c r="BH23" s="2">
        <f t="shared" si="92"/>
        <v>2181.2175669009644</v>
      </c>
      <c r="BI23" s="2">
        <f t="shared" si="92"/>
        <v>2072.1566885559159</v>
      </c>
      <c r="BJ23" s="2">
        <f t="shared" si="92"/>
        <v>1968.54885412812</v>
      </c>
      <c r="BK23" s="2">
        <f t="shared" si="92"/>
        <v>1870.1214114217139</v>
      </c>
      <c r="BL23" s="2">
        <f t="shared" si="92"/>
        <v>1776.6153408506282</v>
      </c>
      <c r="BM23" s="2">
        <f t="shared" si="92"/>
        <v>1687.7845738080966</v>
      </c>
      <c r="BN23" s="2">
        <f t="shared" si="92"/>
        <v>1603.3953451176917</v>
      </c>
      <c r="BO23" s="2">
        <f t="shared" si="92"/>
        <v>1523.2255778618071</v>
      </c>
      <c r="BP23" s="2">
        <f t="shared" si="92"/>
        <v>1447.0642989687167</v>
      </c>
      <c r="BQ23" s="2">
        <f t="shared" si="92"/>
        <v>1374.7110840202809</v>
      </c>
      <c r="BR23" s="2">
        <f t="shared" si="92"/>
        <v>1305.9755298192667</v>
      </c>
      <c r="BS23" s="2">
        <f t="shared" si="92"/>
        <v>1240.6767533283034</v>
      </c>
      <c r="BT23" s="2">
        <f t="shared" si="92"/>
        <v>1178.6429156618883</v>
      </c>
      <c r="BU23" s="2">
        <f t="shared" si="92"/>
        <v>1119.7107698787938</v>
      </c>
      <c r="BV23" s="2">
        <f t="shared" si="92"/>
        <v>1063.7252313848542</v>
      </c>
      <c r="BW23" s="2">
        <f t="shared" si="92"/>
        <v>1010.5389698156114</v>
      </c>
      <c r="BX23" s="2">
        <f t="shared" si="92"/>
        <v>960.01202132483081</v>
      </c>
      <c r="BY23" s="2">
        <f t="shared" si="92"/>
        <v>912.01142025858928</v>
      </c>
      <c r="BZ23" s="2">
        <f t="shared" si="92"/>
        <v>866.41084924565973</v>
      </c>
      <c r="CA23" s="2">
        <f t="shared" si="92"/>
        <v>823.09030678337672</v>
      </c>
      <c r="CB23" s="2">
        <f t="shared" si="92"/>
        <v>781.93579144420789</v>
      </c>
      <c r="CC23" s="2">
        <f t="shared" si="92"/>
        <v>742.83900187199743</v>
      </c>
      <c r="CD23" s="2">
        <f t="shared" si="92"/>
        <v>705.69705177839751</v>
      </c>
      <c r="CE23" s="2">
        <f t="shared" si="92"/>
        <v>670.41219918947763</v>
      </c>
      <c r="CF23" s="2">
        <f t="shared" ref="CF23:DG23" si="93">+CE23*(1+$BB$28)</f>
        <v>636.89158923000377</v>
      </c>
      <c r="CG23" s="2">
        <f t="shared" si="93"/>
        <v>605.04700976850359</v>
      </c>
      <c r="CH23" s="2">
        <f t="shared" si="93"/>
        <v>574.79465928007835</v>
      </c>
      <c r="CI23" s="2">
        <f t="shared" si="93"/>
        <v>546.05492631607444</v>
      </c>
      <c r="CJ23" s="2">
        <f t="shared" si="93"/>
        <v>518.75218000027064</v>
      </c>
      <c r="CK23" s="2">
        <f t="shared" si="93"/>
        <v>492.8145710002571</v>
      </c>
      <c r="CL23" s="2">
        <f t="shared" si="93"/>
        <v>468.17384245024425</v>
      </c>
      <c r="CM23" s="2">
        <f t="shared" si="93"/>
        <v>444.76515032773204</v>
      </c>
      <c r="CN23" s="2">
        <f t="shared" si="93"/>
        <v>422.52689281134542</v>
      </c>
      <c r="CO23" s="2">
        <f t="shared" si="93"/>
        <v>401.40054817077811</v>
      </c>
      <c r="CP23" s="2">
        <f t="shared" si="93"/>
        <v>381.33052076223919</v>
      </c>
      <c r="CQ23" s="2">
        <f t="shared" si="93"/>
        <v>362.2639947241272</v>
      </c>
      <c r="CR23" s="2">
        <f t="shared" si="93"/>
        <v>344.15079498792085</v>
      </c>
      <c r="CS23" s="2">
        <f t="shared" si="93"/>
        <v>326.94325523852478</v>
      </c>
      <c r="CT23" s="2">
        <f t="shared" si="93"/>
        <v>310.59609247659853</v>
      </c>
      <c r="CU23" s="2">
        <f t="shared" si="93"/>
        <v>295.0662878527686</v>
      </c>
      <c r="CV23" s="2">
        <f t="shared" si="93"/>
        <v>280.31297346013014</v>
      </c>
      <c r="CW23" s="2">
        <f t="shared" si="93"/>
        <v>266.29732478712361</v>
      </c>
      <c r="CX23" s="2">
        <f t="shared" si="93"/>
        <v>252.98245854776741</v>
      </c>
      <c r="CY23" s="2">
        <f t="shared" si="93"/>
        <v>240.33333562037902</v>
      </c>
      <c r="CZ23" s="2">
        <f t="shared" si="93"/>
        <v>228.31666883936006</v>
      </c>
      <c r="DA23" s="2">
        <f t="shared" si="93"/>
        <v>216.90083539739206</v>
      </c>
      <c r="DB23" s="2">
        <f t="shared" si="93"/>
        <v>206.05579362752243</v>
      </c>
      <c r="DC23" s="2">
        <f t="shared" si="93"/>
        <v>195.75300394614629</v>
      </c>
      <c r="DD23" s="2">
        <f t="shared" si="93"/>
        <v>185.96535374883896</v>
      </c>
      <c r="DE23" s="2">
        <f t="shared" si="93"/>
        <v>176.66708606139701</v>
      </c>
      <c r="DF23" s="2">
        <f t="shared" si="93"/>
        <v>167.83373175832716</v>
      </c>
      <c r="DG23" s="2">
        <f t="shared" si="93"/>
        <v>159.44204517041081</v>
      </c>
    </row>
    <row r="24" spans="2:111" s="1" customFormat="1" x14ac:dyDescent="0.2">
      <c r="B24" s="1" t="s">
        <v>127</v>
      </c>
      <c r="C24" s="21">
        <f t="shared" ref="C24:D24" si="94">+C23/C25</f>
        <v>0.72267387254222692</v>
      </c>
      <c r="D24" s="21">
        <f t="shared" si="94"/>
        <v>0.58419164626730091</v>
      </c>
      <c r="E24" s="21">
        <f t="shared" ref="E24:G24" si="95">+E23/E25</f>
        <v>0.86775439607956217</v>
      </c>
      <c r="F24" s="21">
        <f t="shared" si="95"/>
        <v>0.82020768064290128</v>
      </c>
      <c r="G24" s="21">
        <f t="shared" si="95"/>
        <v>0.35472390612462734</v>
      </c>
      <c r="H24" s="21">
        <f t="shared" ref="H24:I24" si="96">+H23/H25</f>
        <v>1.1487402139576055</v>
      </c>
      <c r="I24" s="21">
        <f t="shared" si="96"/>
        <v>2.5250023717814924</v>
      </c>
      <c r="J24" s="21">
        <f t="shared" ref="J24:K24" si="97">+J23/J25</f>
        <v>2.771692046028329</v>
      </c>
      <c r="K24" s="21">
        <f t="shared" si="97"/>
        <v>2.2136444018645935</v>
      </c>
      <c r="L24" s="21">
        <f t="shared" ref="L24:P24" si="98">+L23/L25</f>
        <v>2.5575826681870013</v>
      </c>
      <c r="M24" s="21">
        <f t="shared" si="98"/>
        <v>2.9774723176785032</v>
      </c>
      <c r="N24" s="21">
        <f t="shared" si="98"/>
        <v>3.438314176245211</v>
      </c>
      <c r="O24" s="21">
        <f t="shared" si="98"/>
        <v>3.1211942689261374</v>
      </c>
      <c r="P24" s="21">
        <f t="shared" si="98"/>
        <v>3.3801556420233454</v>
      </c>
      <c r="Q24" s="21">
        <f>+Q23/Q25</f>
        <v>3.8867778208607993</v>
      </c>
      <c r="R24" s="21">
        <f t="shared" ref="R24:X24" si="99">+R23/R25</f>
        <v>3.3142636258214146</v>
      </c>
      <c r="S24" s="21">
        <f t="shared" si="99"/>
        <v>3.6204238921001912</v>
      </c>
      <c r="T24" s="21">
        <f t="shared" si="99"/>
        <v>3.8025355359200916</v>
      </c>
      <c r="U24" s="21">
        <f t="shared" si="99"/>
        <v>4.5343834037648847</v>
      </c>
      <c r="V24" s="21">
        <f t="shared" si="99"/>
        <v>4.5834690741452162</v>
      </c>
      <c r="W24" s="21">
        <f t="shared" si="99"/>
        <v>4.554079907798692</v>
      </c>
      <c r="X24" s="21">
        <f t="shared" si="99"/>
        <v>4.6967806377256993</v>
      </c>
      <c r="AG24" s="1">
        <f>+AG23/AG25</f>
        <v>14.624083365495949</v>
      </c>
      <c r="AH24" s="1">
        <f t="shared" ref="AH24:AT24" si="100">+AH23/AH25</f>
        <v>26.766939405634893</v>
      </c>
      <c r="AI24" s="1">
        <f t="shared" si="100"/>
        <v>30.083062014666154</v>
      </c>
      <c r="AJ24" s="1">
        <f t="shared" si="100"/>
        <v>34.429503598240068</v>
      </c>
      <c r="AK24" s="1">
        <f t="shared" si="100"/>
        <v>40.12831428392758</v>
      </c>
      <c r="AL24" s="1">
        <f t="shared" si="100"/>
        <v>44.368948498367523</v>
      </c>
      <c r="AM24" s="1">
        <f t="shared" si="100"/>
        <v>48.188341656599526</v>
      </c>
      <c r="AN24" s="1">
        <f t="shared" si="100"/>
        <v>52.068419948472986</v>
      </c>
      <c r="AO24" s="1">
        <f t="shared" si="100"/>
        <v>53.599054556418054</v>
      </c>
      <c r="AP24" s="1">
        <f t="shared" si="100"/>
        <v>54.683557953830274</v>
      </c>
      <c r="AQ24" s="1">
        <f t="shared" si="100"/>
        <v>55.804255606219677</v>
      </c>
      <c r="AR24" s="1">
        <f t="shared" si="100"/>
        <v>56.960318966644486</v>
      </c>
      <c r="AS24" s="1">
        <f t="shared" si="100"/>
        <v>41.991030453087397</v>
      </c>
      <c r="AT24" s="1">
        <f t="shared" si="100"/>
        <v>28.467982264704343</v>
      </c>
      <c r="AU24" s="1">
        <f t="shared" ref="AU24:AY24" si="101">+AU23/AU25</f>
        <v>27.434089181827243</v>
      </c>
      <c r="AV24" s="1">
        <f t="shared" si="101"/>
        <v>27.660829410006933</v>
      </c>
      <c r="AW24" s="1">
        <f t="shared" si="101"/>
        <v>28.024743427309083</v>
      </c>
      <c r="AX24" s="1">
        <f t="shared" si="101"/>
        <v>28.412945348457981</v>
      </c>
      <c r="AY24" s="1">
        <f t="shared" si="101"/>
        <v>13.357313715837522</v>
      </c>
    </row>
    <row r="25" spans="2:111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f>+U25</f>
        <v>260.3</v>
      </c>
      <c r="W25" s="2">
        <f>+V25</f>
        <v>260.3</v>
      </c>
      <c r="X25" s="2">
        <f>+W25</f>
        <v>260.3</v>
      </c>
      <c r="AG25" s="2">
        <f>AVERAGE(Q25:T25)</f>
        <v>259.09999999999997</v>
      </c>
      <c r="AH25" s="2">
        <f>+AG25</f>
        <v>259.09999999999997</v>
      </c>
      <c r="AI25" s="2">
        <f t="shared" ref="AI25:AT25" si="102">+AH25</f>
        <v>259.09999999999997</v>
      </c>
      <c r="AJ25" s="2">
        <f t="shared" si="102"/>
        <v>259.09999999999997</v>
      </c>
      <c r="AK25" s="2">
        <f t="shared" si="102"/>
        <v>259.09999999999997</v>
      </c>
      <c r="AL25" s="2">
        <f t="shared" si="102"/>
        <v>259.09999999999997</v>
      </c>
      <c r="AM25" s="2">
        <f t="shared" si="102"/>
        <v>259.09999999999997</v>
      </c>
      <c r="AN25" s="2">
        <f t="shared" si="102"/>
        <v>259.09999999999997</v>
      </c>
      <c r="AO25" s="2">
        <f t="shared" si="102"/>
        <v>259.09999999999997</v>
      </c>
      <c r="AP25" s="2">
        <f t="shared" si="102"/>
        <v>259.09999999999997</v>
      </c>
      <c r="AQ25" s="2">
        <f t="shared" si="102"/>
        <v>259.09999999999997</v>
      </c>
      <c r="AR25" s="2">
        <f t="shared" si="102"/>
        <v>259.09999999999997</v>
      </c>
      <c r="AS25" s="2">
        <f t="shared" si="102"/>
        <v>259.09999999999997</v>
      </c>
      <c r="AT25" s="2">
        <f t="shared" si="102"/>
        <v>259.09999999999997</v>
      </c>
      <c r="AU25" s="2">
        <f t="shared" ref="AU25" si="103">+AT25</f>
        <v>259.09999999999997</v>
      </c>
      <c r="AV25" s="2">
        <f t="shared" ref="AV25" si="104">+AU25</f>
        <v>259.09999999999997</v>
      </c>
      <c r="AW25" s="2">
        <f t="shared" ref="AW25" si="105">+AV25</f>
        <v>259.09999999999997</v>
      </c>
      <c r="AX25" s="2">
        <f t="shared" ref="AX25" si="106">+AW25</f>
        <v>259.09999999999997</v>
      </c>
      <c r="AY25" s="2">
        <f t="shared" ref="AY25" si="107">+AX25</f>
        <v>259.09999999999997</v>
      </c>
    </row>
    <row r="27" spans="2:111" s="26" customFormat="1" x14ac:dyDescent="0.2">
      <c r="B27" s="13" t="s">
        <v>304</v>
      </c>
      <c r="C27" s="24"/>
      <c r="D27" s="24"/>
      <c r="E27" s="24"/>
      <c r="F27" s="24"/>
      <c r="G27" s="25">
        <f t="shared" ref="G27:P27" si="108">+G13/C13-1</f>
        <v>0.21328224776500648</v>
      </c>
      <c r="H27" s="25">
        <f t="shared" si="108"/>
        <v>0.44493886310784858</v>
      </c>
      <c r="I27" s="25">
        <f t="shared" si="108"/>
        <v>0.76535979547461963</v>
      </c>
      <c r="J27" s="25">
        <f t="shared" si="108"/>
        <v>0.62012853473169161</v>
      </c>
      <c r="K27" s="25">
        <f t="shared" si="108"/>
        <v>0.61894736842105269</v>
      </c>
      <c r="L27" s="25">
        <f t="shared" si="108"/>
        <v>0.29435163086714389</v>
      </c>
      <c r="M27" s="25">
        <f t="shared" si="108"/>
        <v>0.13749174917491747</v>
      </c>
      <c r="N27" s="25">
        <f t="shared" si="108"/>
        <v>0.176856468118604</v>
      </c>
      <c r="O27" s="25">
        <f t="shared" si="108"/>
        <v>0.28998699609882972</v>
      </c>
      <c r="P27" s="25">
        <f t="shared" si="108"/>
        <v>0.27350952673632456</v>
      </c>
      <c r="Q27" s="25">
        <f t="shared" ref="Q27:T27" si="109">+Q13/M13-1</f>
        <v>0.21714153078396103</v>
      </c>
      <c r="R27" s="25">
        <f t="shared" si="109"/>
        <v>0.2246376811594204</v>
      </c>
      <c r="S27" s="25">
        <f t="shared" si="109"/>
        <v>0.17656249999999996</v>
      </c>
      <c r="T27" s="25">
        <f t="shared" si="109"/>
        <v>0.1114864864864864</v>
      </c>
      <c r="U27" s="25">
        <f t="shared" ref="U27" si="110">+U13/Q13-1</f>
        <v>0.13220500595947549</v>
      </c>
      <c r="V27" s="25">
        <f t="shared" ref="V27" si="111">+V13/R13-1</f>
        <v>9.2307692307692202E-2</v>
      </c>
      <c r="W27" s="25">
        <f t="shared" ref="W27" si="112">+W13/S13-1</f>
        <v>3.8769652572505642E-2</v>
      </c>
      <c r="X27" s="25">
        <f t="shared" ref="X27" si="113">+X13/T13-1</f>
        <v>6.3742943986105027E-2</v>
      </c>
    </row>
    <row r="28" spans="2:111" x14ac:dyDescent="0.2">
      <c r="B28" s="2" t="s">
        <v>181</v>
      </c>
      <c r="C28" s="19">
        <f t="shared" ref="C28" si="114">C15/C13</f>
        <v>0.85791187739463604</v>
      </c>
      <c r="D28" s="19">
        <f t="shared" ref="D28:H28" si="115">D15/D13</f>
        <v>0.8594271053058109</v>
      </c>
      <c r="E28" s="19">
        <f t="shared" si="115"/>
        <v>0.88919366754371454</v>
      </c>
      <c r="F28" s="19">
        <f t="shared" si="115"/>
        <v>0.8557358650587249</v>
      </c>
      <c r="G28" s="19">
        <f t="shared" si="115"/>
        <v>0.86114315789473683</v>
      </c>
      <c r="H28" s="19">
        <f t="shared" si="115"/>
        <v>0.8528146380270486</v>
      </c>
      <c r="I28" s="19">
        <f t="shared" ref="I28:J28" si="116">I15/I13</f>
        <v>0.8927412541254125</v>
      </c>
      <c r="J28" s="19">
        <f t="shared" si="116"/>
        <v>0.87896877459984257</v>
      </c>
      <c r="K28" s="19">
        <f t="shared" ref="K28:L28" si="117">K15/K13</f>
        <v>0.87894538361508456</v>
      </c>
      <c r="L28" s="19">
        <f t="shared" si="117"/>
        <v>0.87516902274124164</v>
      </c>
      <c r="M28" s="19">
        <f t="shared" ref="M28:P28" si="118">M15/M13</f>
        <v>0.888411768119306</v>
      </c>
      <c r="N28" s="19">
        <f t="shared" si="118"/>
        <v>0.87290969899665549</v>
      </c>
      <c r="O28" s="19">
        <f t="shared" si="118"/>
        <v>0.88079032258064516</v>
      </c>
      <c r="P28" s="19">
        <f t="shared" si="118"/>
        <v>0.88059845559845551</v>
      </c>
      <c r="Q28" s="19">
        <f t="shared" ref="Q28:R28" si="119">Q15/Q13</f>
        <v>0.93048867699642435</v>
      </c>
      <c r="R28" s="19">
        <f t="shared" si="119"/>
        <v>0.88083750568957675</v>
      </c>
      <c r="S28" s="19">
        <f>S15/S13</f>
        <v>0.87602279055819732</v>
      </c>
      <c r="T28" s="19">
        <f>T15/T13</f>
        <v>0.87802865827181931</v>
      </c>
      <c r="U28" s="19">
        <f t="shared" ref="U28:X28" si="120">U15/U13</f>
        <v>0.88841165571837633</v>
      </c>
      <c r="V28" s="19">
        <f t="shared" si="120"/>
        <v>0.9</v>
      </c>
      <c r="W28" s="19">
        <f t="shared" si="120"/>
        <v>0.9</v>
      </c>
      <c r="X28" s="19">
        <f t="shared" si="120"/>
        <v>0.9</v>
      </c>
      <c r="AF28" s="19">
        <f t="shared" ref="AF28:AG28" si="121">AF15/AF13</f>
        <v>0.88060528435424446</v>
      </c>
      <c r="AG28" s="19">
        <f t="shared" si="121"/>
        <v>0.89051478985198951</v>
      </c>
      <c r="AH28" s="19">
        <f t="shared" ref="AH28:AT28" si="122">AH15/AH13</f>
        <v>0.93</v>
      </c>
      <c r="AI28" s="19">
        <f t="shared" si="122"/>
        <v>0.92999999999999994</v>
      </c>
      <c r="AJ28" s="19">
        <f t="shared" si="122"/>
        <v>0.93</v>
      </c>
      <c r="AK28" s="19">
        <f t="shared" si="122"/>
        <v>0.93</v>
      </c>
      <c r="AL28" s="19">
        <f t="shared" si="122"/>
        <v>0.92999999999999994</v>
      </c>
      <c r="AM28" s="19">
        <f t="shared" si="122"/>
        <v>0.93</v>
      </c>
      <c r="AN28" s="19">
        <f t="shared" si="122"/>
        <v>0.93</v>
      </c>
      <c r="AO28" s="19">
        <f t="shared" si="122"/>
        <v>0.92999999999999994</v>
      </c>
      <c r="AP28" s="19">
        <f t="shared" si="122"/>
        <v>0.92999999999999994</v>
      </c>
      <c r="AQ28" s="19">
        <f t="shared" si="122"/>
        <v>0.93</v>
      </c>
      <c r="AR28" s="19">
        <f t="shared" si="122"/>
        <v>0.93</v>
      </c>
      <c r="AS28" s="19">
        <f t="shared" si="122"/>
        <v>0.92999999999999994</v>
      </c>
      <c r="AT28" s="19">
        <f t="shared" si="122"/>
        <v>0.93</v>
      </c>
      <c r="BA28" t="s">
        <v>298</v>
      </c>
      <c r="BB28" s="23">
        <v>-0.05</v>
      </c>
    </row>
    <row r="29" spans="2:111" x14ac:dyDescent="0.2">
      <c r="B29" s="2" t="s">
        <v>294</v>
      </c>
      <c r="C29" s="19">
        <f t="shared" ref="C29" si="123">+C16/C13</f>
        <v>0.17534482758620687</v>
      </c>
      <c r="D29" s="19">
        <f t="shared" ref="D29:H29" si="124">+D16/D13</f>
        <v>0.17611701131006641</v>
      </c>
      <c r="E29" s="19">
        <f t="shared" si="124"/>
        <v>0.1713447730201752</v>
      </c>
      <c r="F29" s="19">
        <f t="shared" si="124"/>
        <v>0.16632993698673523</v>
      </c>
      <c r="G29" s="19">
        <f t="shared" si="124"/>
        <v>0.16807789473684212</v>
      </c>
      <c r="H29" s="19">
        <f t="shared" si="124"/>
        <v>0.15535163086714399</v>
      </c>
      <c r="I29" s="19">
        <f t="shared" ref="I29:J29" si="125">+I16/I13</f>
        <v>0.12030231023102311</v>
      </c>
      <c r="J29" s="19">
        <f t="shared" si="125"/>
        <v>0.12581999475203359</v>
      </c>
      <c r="K29" s="19">
        <f t="shared" ref="K29:S29" si="126">+K16/K13</f>
        <v>0.11999414824447334</v>
      </c>
      <c r="L29" s="19">
        <f t="shared" si="126"/>
        <v>0.107559926244622</v>
      </c>
      <c r="M29" s="19">
        <f t="shared" si="126"/>
        <v>8.7622584576103987E-2</v>
      </c>
      <c r="N29" s="19">
        <f t="shared" si="126"/>
        <v>0.1084726867335563</v>
      </c>
      <c r="O29" s="19">
        <f t="shared" si="126"/>
        <v>9.9893649193548387E-2</v>
      </c>
      <c r="P29" s="19">
        <f t="shared" si="126"/>
        <v>0.10135135135135136</v>
      </c>
      <c r="Q29" s="19">
        <f t="shared" si="126"/>
        <v>7.9618593563766382E-2</v>
      </c>
      <c r="R29" s="19">
        <f t="shared" si="126"/>
        <v>9.7997269003186172E-2</v>
      </c>
      <c r="S29" s="19">
        <f t="shared" si="126"/>
        <v>0.105727627125905</v>
      </c>
      <c r="T29" s="19">
        <f>+T16/T13</f>
        <v>9.7959183673469383E-2</v>
      </c>
      <c r="U29" s="19">
        <f t="shared" ref="U29:X29" si="127">+U16/U13</f>
        <v>8.2912245241704582E-2</v>
      </c>
      <c r="V29" s="19">
        <f t="shared" si="127"/>
        <v>8.9715809650804251E-2</v>
      </c>
      <c r="W29" s="19">
        <f t="shared" si="127"/>
        <v>0.10178159023424614</v>
      </c>
      <c r="X29" s="19">
        <f t="shared" si="127"/>
        <v>9.2089150134704881E-2</v>
      </c>
      <c r="AF29" s="19"/>
      <c r="AG29" s="19">
        <f>+AG16/AG13</f>
        <v>9.5691797845898929E-2</v>
      </c>
      <c r="AH29" s="19">
        <f t="shared" ref="AH29:AT29" si="128">+AH16/AH13</f>
        <v>0.10000000000000002</v>
      </c>
      <c r="AI29" s="19">
        <f t="shared" si="128"/>
        <v>0.1</v>
      </c>
      <c r="AJ29" s="19">
        <f t="shared" si="128"/>
        <v>0.1</v>
      </c>
      <c r="AK29" s="19">
        <f t="shared" si="128"/>
        <v>0.1</v>
      </c>
      <c r="AL29" s="19">
        <f t="shared" si="128"/>
        <v>0.1</v>
      </c>
      <c r="AM29" s="19">
        <f t="shared" si="128"/>
        <v>0.1</v>
      </c>
      <c r="AN29" s="19">
        <f t="shared" si="128"/>
        <v>0.1</v>
      </c>
      <c r="AO29" s="19">
        <f t="shared" si="128"/>
        <v>0.1</v>
      </c>
      <c r="AP29" s="19">
        <f t="shared" si="128"/>
        <v>0.1</v>
      </c>
      <c r="AQ29" s="19">
        <f t="shared" si="128"/>
        <v>0.1</v>
      </c>
      <c r="AR29" s="19">
        <f t="shared" si="128"/>
        <v>9.9999999999999992E-2</v>
      </c>
      <c r="AS29" s="19">
        <f t="shared" si="128"/>
        <v>0.1</v>
      </c>
      <c r="AT29" s="19">
        <f t="shared" si="128"/>
        <v>0.1</v>
      </c>
      <c r="BA29" t="s">
        <v>296</v>
      </c>
      <c r="BB29" s="23">
        <v>7.0000000000000007E-2</v>
      </c>
    </row>
    <row r="30" spans="2:111" x14ac:dyDescent="0.2">
      <c r="B30" s="2" t="s">
        <v>184</v>
      </c>
      <c r="C30" s="19">
        <f t="shared" ref="C30" si="129">C22/C21</f>
        <v>4.1139547592659732E-2</v>
      </c>
      <c r="D30" s="19">
        <f t="shared" ref="D30:H30" si="130">D22/D21</f>
        <v>0</v>
      </c>
      <c r="E30" s="19">
        <f t="shared" si="130"/>
        <v>0.18584070796460173</v>
      </c>
      <c r="F30" s="19">
        <f t="shared" si="130"/>
        <v>0.21886672115945011</v>
      </c>
      <c r="G30" s="19">
        <f t="shared" si="130"/>
        <v>0.1245736375350564</v>
      </c>
      <c r="H30" s="19">
        <f t="shared" si="130"/>
        <v>0.23736987411666366</v>
      </c>
      <c r="I30" s="19">
        <f t="shared" ref="I30:J30" si="131">I22/I21</f>
        <v>7.6068135142753596E-2</v>
      </c>
      <c r="J30" s="19">
        <f t="shared" si="131"/>
        <v>-1.7419854732347417E-2</v>
      </c>
      <c r="K30" s="19">
        <f t="shared" ref="K30:L30" si="132">K22/K21</f>
        <v>0.1183036858950188</v>
      </c>
      <c r="L30" s="19">
        <f t="shared" si="132"/>
        <v>0.22735101619014811</v>
      </c>
      <c r="M30" s="19">
        <f>M22/M21</f>
        <v>0.20896733617366606</v>
      </c>
      <c r="N30" s="19">
        <f t="shared" ref="N30:T30" si="133">N22/N21</f>
        <v>1.2000440383133325E-2</v>
      </c>
      <c r="O30" s="19">
        <f t="shared" si="133"/>
        <v>0.22163530370872531</v>
      </c>
      <c r="P30" s="19">
        <f t="shared" si="133"/>
        <v>0.21576239053895463</v>
      </c>
      <c r="Q30" s="19">
        <f t="shared" si="133"/>
        <v>0.19897714559693142</v>
      </c>
      <c r="R30" s="19">
        <f t="shared" si="133"/>
        <v>0.23172043010752691</v>
      </c>
      <c r="S30" s="19">
        <f t="shared" si="133"/>
        <v>0.20744052640458924</v>
      </c>
      <c r="T30" s="19">
        <f t="shared" si="133"/>
        <v>0.20670032860463253</v>
      </c>
      <c r="U30" s="19">
        <f t="shared" ref="U30:X30" si="134">U22/U21</f>
        <v>0.13972303206997089</v>
      </c>
      <c r="V30" s="19">
        <f t="shared" si="134"/>
        <v>0.15</v>
      </c>
      <c r="W30" s="19">
        <f t="shared" si="134"/>
        <v>0.15</v>
      </c>
      <c r="X30" s="19">
        <f t="shared" si="134"/>
        <v>0.15</v>
      </c>
      <c r="AG30" s="23">
        <f>+AG22/AG21</f>
        <v>0.21068638683470473</v>
      </c>
      <c r="AH30" s="23">
        <f t="shared" ref="AH30:AT30" si="135">+AH22/AH21</f>
        <v>0.2</v>
      </c>
      <c r="AI30" s="23">
        <f t="shared" si="135"/>
        <v>0.2</v>
      </c>
      <c r="AJ30" s="23">
        <f t="shared" si="135"/>
        <v>0.2</v>
      </c>
      <c r="AK30" s="23">
        <f t="shared" si="135"/>
        <v>0.2</v>
      </c>
      <c r="AL30" s="23">
        <f t="shared" si="135"/>
        <v>0.2</v>
      </c>
      <c r="AM30" s="23">
        <f t="shared" si="135"/>
        <v>0.2</v>
      </c>
      <c r="AN30" s="23">
        <f t="shared" si="135"/>
        <v>0.2</v>
      </c>
      <c r="AO30" s="23">
        <f t="shared" si="135"/>
        <v>0.2</v>
      </c>
      <c r="AP30" s="23">
        <f t="shared" si="135"/>
        <v>0.2</v>
      </c>
      <c r="AQ30" s="23">
        <f t="shared" si="135"/>
        <v>0.2</v>
      </c>
      <c r="AR30" s="23">
        <f t="shared" si="135"/>
        <v>0.2</v>
      </c>
      <c r="AS30" s="23">
        <f t="shared" si="135"/>
        <v>0.2</v>
      </c>
      <c r="AT30" s="23">
        <f t="shared" si="135"/>
        <v>0.2</v>
      </c>
      <c r="BA30" t="s">
        <v>295</v>
      </c>
      <c r="BB30" s="23">
        <v>0.01</v>
      </c>
    </row>
    <row r="31" spans="2:111" x14ac:dyDescent="0.2">
      <c r="BA31" t="s">
        <v>297</v>
      </c>
      <c r="BB31" s="2">
        <f>NPV(BB29,AH23:CE23)+Main!M5-Main!M6</f>
        <v>122054.10373487382</v>
      </c>
    </row>
    <row r="32" spans="2:111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f>7600.1+638</f>
        <v>8238.1</v>
      </c>
      <c r="R32" s="12"/>
      <c r="S32" s="12">
        <f>9171.5+599.2</f>
        <v>9770.7000000000007</v>
      </c>
      <c r="T32" s="12"/>
      <c r="U32" s="12">
        <f>9289.9+1124.2+1081.5</f>
        <v>11495.6</v>
      </c>
      <c r="AG32" s="2">
        <f>+T32</f>
        <v>0</v>
      </c>
      <c r="AH32" s="2">
        <f>+AG32+AH23</f>
        <v>6935.3140000000003</v>
      </c>
      <c r="AI32" s="2">
        <f t="shared" ref="AI32:AT32" si="136">+AH32+AI23</f>
        <v>14729.835368</v>
      </c>
      <c r="AJ32" s="2">
        <f t="shared" si="136"/>
        <v>23650.519750304</v>
      </c>
      <c r="AK32" s="2">
        <f t="shared" si="136"/>
        <v>34047.765981269637</v>
      </c>
      <c r="AL32" s="2">
        <f t="shared" si="136"/>
        <v>45543.760537196664</v>
      </c>
      <c r="AM32" s="2">
        <f t="shared" si="136"/>
        <v>58029.359860421595</v>
      </c>
      <c r="AN32" s="2">
        <f t="shared" si="136"/>
        <v>71520.287469070943</v>
      </c>
      <c r="AO32" s="2">
        <f t="shared" si="136"/>
        <v>85407.802504638865</v>
      </c>
      <c r="AP32" s="2">
        <f t="shared" si="136"/>
        <v>99576.312370476284</v>
      </c>
      <c r="AQ32" s="2">
        <f t="shared" si="136"/>
        <v>114035.19499804779</v>
      </c>
      <c r="AR32" s="2">
        <f t="shared" si="136"/>
        <v>128793.61364230538</v>
      </c>
      <c r="AS32" s="2">
        <f t="shared" si="136"/>
        <v>139673.48963270034</v>
      </c>
      <c r="AT32" s="2">
        <f t="shared" si="136"/>
        <v>147049.54383748522</v>
      </c>
      <c r="AU32" s="2">
        <f t="shared" ref="AU32" si="137">+AT32+AU23</f>
        <v>154157.71634449667</v>
      </c>
      <c r="AV32" s="2">
        <f t="shared" ref="AV32" si="138">+AU32+AV23</f>
        <v>161324.63724462947</v>
      </c>
      <c r="AW32" s="2">
        <f t="shared" ref="AW32" si="139">+AV32+AW23</f>
        <v>168585.84826664525</v>
      </c>
      <c r="AX32" s="2">
        <f t="shared" ref="AX32" si="140">+AW32+AX23</f>
        <v>175947.64240643071</v>
      </c>
      <c r="AY32" s="2">
        <f t="shared" ref="AY32" si="141">+AX32+AY23</f>
        <v>179408.52239020422</v>
      </c>
      <c r="BA32" s="2" t="s">
        <v>299</v>
      </c>
      <c r="BB32" s="1">
        <f>BB31/Main!M3</f>
        <v>473.90155500829275</v>
      </c>
    </row>
    <row r="33" spans="2:21" s="2" customFormat="1" x14ac:dyDescent="0.2">
      <c r="B33" s="2" t="s">
        <v>264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1292.8</v>
      </c>
      <c r="R33" s="12"/>
      <c r="S33" s="12">
        <v>1385.2</v>
      </c>
      <c r="T33" s="12"/>
      <c r="U33" s="12">
        <v>1547.8</v>
      </c>
    </row>
    <row r="34" spans="2:21" s="2" customFormat="1" x14ac:dyDescent="0.2">
      <c r="B34" s="2" t="s">
        <v>265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338.9</v>
      </c>
      <c r="R34" s="12"/>
      <c r="S34" s="12">
        <v>388.2</v>
      </c>
      <c r="T34" s="12"/>
      <c r="U34" s="12">
        <v>535.1</v>
      </c>
    </row>
    <row r="35" spans="2:21" s="2" customFormat="1" x14ac:dyDescent="0.2">
      <c r="B35" s="2" t="s">
        <v>266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491.5</v>
      </c>
      <c r="R35" s="12"/>
      <c r="S35" s="12">
        <v>726.9</v>
      </c>
      <c r="T35" s="12"/>
      <c r="U35" s="12">
        <v>468.7</v>
      </c>
    </row>
    <row r="36" spans="2:21" s="2" customFormat="1" x14ac:dyDescent="0.2">
      <c r="B36" s="2" t="s">
        <v>267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1107.4000000000001</v>
      </c>
      <c r="R36" s="12"/>
      <c r="S36" s="12">
        <v>1118.7</v>
      </c>
      <c r="T36" s="12"/>
      <c r="U36" s="12">
        <v>1111.7</v>
      </c>
    </row>
    <row r="37" spans="2:21" s="2" customFormat="1" x14ac:dyDescent="0.2">
      <c r="B37" s="2" t="s">
        <v>268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f>1002.2+400</f>
        <v>1402.2</v>
      </c>
      <c r="R37" s="12"/>
      <c r="S37" s="12">
        <f>1075.2+603.6</f>
        <v>1678.8000000000002</v>
      </c>
      <c r="T37" s="12"/>
      <c r="U37" s="12">
        <f>1088+603.6</f>
        <v>1691.6</v>
      </c>
    </row>
    <row r="38" spans="2:21" s="2" customFormat="1" x14ac:dyDescent="0.2">
      <c r="B38" s="2" t="s">
        <v>125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>
        <v>945.5</v>
      </c>
      <c r="R38" s="12"/>
      <c r="S38" s="12">
        <v>1162.7</v>
      </c>
      <c r="T38" s="12"/>
      <c r="U38" s="12">
        <v>1359.9</v>
      </c>
    </row>
    <row r="39" spans="2:21" s="2" customFormat="1" x14ac:dyDescent="0.2">
      <c r="B39" s="2" t="s">
        <v>269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>
        <v>329</v>
      </c>
      <c r="R39" s="12"/>
      <c r="S39" s="12">
        <v>342.7</v>
      </c>
      <c r="T39" s="12"/>
      <c r="U39" s="12">
        <v>336.3</v>
      </c>
    </row>
    <row r="40" spans="2:21" s="2" customFormat="1" x14ac:dyDescent="0.2">
      <c r="B40" s="2" t="s">
        <v>270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>
        <v>110.7</v>
      </c>
      <c r="R40" s="12"/>
      <c r="S40" s="12">
        <v>132.5</v>
      </c>
      <c r="T40" s="12"/>
      <c r="U40" s="12">
        <v>427.5</v>
      </c>
    </row>
    <row r="41" spans="2:21" s="2" customFormat="1" x14ac:dyDescent="0.2">
      <c r="B41" s="2" t="s">
        <v>263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f>SUM(Q32:Q40)</f>
        <v>14256.1</v>
      </c>
      <c r="R41" s="12"/>
      <c r="S41" s="12">
        <f t="shared" ref="S41:U41" si="142">SUM(S32:S40)</f>
        <v>16706.400000000005</v>
      </c>
      <c r="T41" s="12"/>
      <c r="U41" s="12">
        <f t="shared" si="142"/>
        <v>18974.2</v>
      </c>
    </row>
    <row r="43" spans="2:21" s="2" customFormat="1" x14ac:dyDescent="0.2">
      <c r="B43" s="2" t="s">
        <v>271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173.6</v>
      </c>
      <c r="R43" s="12"/>
      <c r="S43" s="12">
        <v>126.9</v>
      </c>
      <c r="T43" s="12"/>
      <c r="U43" s="12">
        <v>323.2</v>
      </c>
    </row>
    <row r="44" spans="2:21" s="2" customFormat="1" x14ac:dyDescent="0.2">
      <c r="B44" s="2" t="s">
        <v>272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>
        <v>1720.5</v>
      </c>
      <c r="R44" s="12"/>
      <c r="S44" s="12">
        <v>2264.4</v>
      </c>
      <c r="T44" s="12"/>
      <c r="U44" s="12">
        <v>2326</v>
      </c>
    </row>
    <row r="45" spans="2:21" s="2" customFormat="1" x14ac:dyDescent="0.2">
      <c r="B45" s="2" t="s">
        <v>273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286.10000000000002</v>
      </c>
      <c r="R45" s="12"/>
      <c r="S45" s="12">
        <v>218</v>
      </c>
      <c r="T45" s="12"/>
      <c r="U45" s="12">
        <v>377</v>
      </c>
    </row>
    <row r="46" spans="2:21" s="2" customFormat="1" x14ac:dyDescent="0.2">
      <c r="B46" s="2" t="s">
        <v>269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f>495.5+377</f>
        <v>872.5</v>
      </c>
      <c r="R46" s="12"/>
      <c r="S46" s="12">
        <f>442.3+382.3</f>
        <v>824.6</v>
      </c>
      <c r="T46" s="12"/>
      <c r="U46" s="12">
        <f>417.6+371.6</f>
        <v>789.2</v>
      </c>
    </row>
    <row r="47" spans="2:21" s="2" customFormat="1" x14ac:dyDescent="0.2">
      <c r="B47" s="2" t="s">
        <v>274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179</v>
      </c>
      <c r="R47" s="12"/>
      <c r="S47" s="12">
        <v>127.2</v>
      </c>
      <c r="T47" s="12"/>
      <c r="U47" s="12">
        <v>0</v>
      </c>
    </row>
    <row r="48" spans="2:21" s="2" customFormat="1" x14ac:dyDescent="0.2">
      <c r="B48" s="2" t="s">
        <v>275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117.4</v>
      </c>
      <c r="R48" s="12"/>
      <c r="S48" s="12">
        <v>115.7</v>
      </c>
      <c r="T48" s="12"/>
      <c r="U48" s="12">
        <v>726.5</v>
      </c>
    </row>
    <row r="49" spans="2:21" s="2" customFormat="1" x14ac:dyDescent="0.2">
      <c r="B49" s="2" t="s">
        <v>277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10907</v>
      </c>
      <c r="R49" s="12"/>
      <c r="S49" s="12">
        <v>13029.6</v>
      </c>
      <c r="T49" s="12"/>
      <c r="U49" s="12">
        <v>14432.3</v>
      </c>
    </row>
    <row r="50" spans="2:21" s="2" customFormat="1" x14ac:dyDescent="0.2">
      <c r="B50" s="2" t="s">
        <v>276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SUM(Q43:Q49)</f>
        <v>14256.1</v>
      </c>
      <c r="R50" s="12"/>
      <c r="S50" s="12">
        <f t="shared" ref="S50:U50" si="143">SUM(S43:S49)</f>
        <v>16706.400000000001</v>
      </c>
      <c r="T50" s="12"/>
      <c r="U50" s="12">
        <f t="shared" si="143"/>
        <v>18974.199999999997</v>
      </c>
    </row>
    <row r="52" spans="2:21" s="2" customFormat="1" x14ac:dyDescent="0.2">
      <c r="B52" s="2" t="s">
        <v>278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f>+Q23</f>
        <v>1002.4000000000001</v>
      </c>
      <c r="R52" s="12"/>
      <c r="S52" s="12">
        <f>+S23</f>
        <v>939.49999999999966</v>
      </c>
      <c r="T52" s="12"/>
      <c r="U52" s="12"/>
    </row>
    <row r="53" spans="2:21" s="2" customFormat="1" x14ac:dyDescent="0.2">
      <c r="B53" s="2" t="s">
        <v>279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762.1</v>
      </c>
      <c r="R53" s="12"/>
      <c r="S53" s="12"/>
      <c r="T53" s="12"/>
      <c r="U53" s="12"/>
    </row>
    <row r="54" spans="2:21" s="2" customFormat="1" x14ac:dyDescent="0.2">
      <c r="B54" s="2" t="s">
        <v>280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130.30000000000001</v>
      </c>
      <c r="R54" s="12"/>
      <c r="S54" s="12"/>
      <c r="T54" s="12"/>
      <c r="U54" s="12"/>
    </row>
    <row r="55" spans="2:21" s="2" customFormat="1" x14ac:dyDescent="0.2">
      <c r="B55" s="2" t="s">
        <v>281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35.9</v>
      </c>
      <c r="R55" s="12"/>
      <c r="S55" s="12"/>
      <c r="T55" s="12"/>
      <c r="U55" s="12"/>
    </row>
    <row r="56" spans="2:21" s="2" customFormat="1" x14ac:dyDescent="0.2">
      <c r="B56" s="2" t="s">
        <v>274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>
        <v>-7.5</v>
      </c>
      <c r="R56" s="12"/>
      <c r="S56" s="12"/>
      <c r="T56" s="12"/>
      <c r="U56" s="12"/>
    </row>
    <row r="57" spans="2:21" s="2" customFormat="1" x14ac:dyDescent="0.2">
      <c r="B57" s="2" t="s">
        <v>125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>
        <v>-12.3</v>
      </c>
      <c r="R57" s="12"/>
      <c r="S57" s="12"/>
      <c r="T57" s="12"/>
      <c r="U57" s="12"/>
    </row>
    <row r="58" spans="2:21" s="2" customFormat="1" x14ac:dyDescent="0.2">
      <c r="B58" s="2" t="s">
        <v>282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>
        <v>75.599999999999994</v>
      </c>
      <c r="R58" s="12"/>
      <c r="S58" s="12"/>
      <c r="T58" s="12"/>
      <c r="U58" s="12"/>
    </row>
    <row r="59" spans="2:21" s="2" customFormat="1" x14ac:dyDescent="0.2">
      <c r="B59" s="2" t="s">
        <v>283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4.9000000000000004</v>
      </c>
      <c r="R59" s="12"/>
      <c r="S59" s="12"/>
      <c r="T59" s="12"/>
      <c r="U59" s="12"/>
    </row>
    <row r="60" spans="2:21" s="2" customFormat="1" x14ac:dyDescent="0.2">
      <c r="B60" s="2" t="s">
        <v>284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f>-165.2+2+67.6-14.5+61.6+15.7</f>
        <v>-32.799999999999997</v>
      </c>
      <c r="R60" s="12"/>
      <c r="S60" s="12"/>
      <c r="T60" s="12"/>
      <c r="U60" s="12"/>
    </row>
    <row r="61" spans="2:21" s="2" customFormat="1" x14ac:dyDescent="0.2">
      <c r="B61" s="2" t="s">
        <v>288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f>SUM(Q53:Q60)</f>
        <v>956.20000000000016</v>
      </c>
      <c r="R61" s="12"/>
      <c r="S61" s="12"/>
      <c r="T61" s="12"/>
      <c r="U61" s="12"/>
    </row>
    <row r="63" spans="2:21" s="2" customFormat="1" x14ac:dyDescent="0.2">
      <c r="B63" s="2" t="s">
        <v>285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-63.6</v>
      </c>
      <c r="R63" s="12"/>
      <c r="S63" s="12"/>
      <c r="T63" s="12"/>
      <c r="U63" s="12"/>
    </row>
    <row r="64" spans="2:21" s="2" customFormat="1" x14ac:dyDescent="0.2">
      <c r="B64" s="2" t="s">
        <v>286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f>-117.1+129.7</f>
        <v>12.599999999999994</v>
      </c>
      <c r="R64" s="12"/>
      <c r="S64" s="12"/>
      <c r="T64" s="12"/>
      <c r="U64" s="12"/>
    </row>
    <row r="65" spans="2:21" s="2" customFormat="1" x14ac:dyDescent="0.2">
      <c r="B65" s="2" t="s">
        <v>287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f>Q63+Q64</f>
        <v>-51.000000000000007</v>
      </c>
      <c r="R65" s="12"/>
      <c r="S65" s="12"/>
      <c r="T65" s="12"/>
      <c r="U65" s="12"/>
    </row>
    <row r="67" spans="2:21" s="2" customFormat="1" x14ac:dyDescent="0.2">
      <c r="B67" s="2" t="s">
        <v>292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33.700000000000003</v>
      </c>
      <c r="R67" s="12"/>
      <c r="S67" s="12"/>
      <c r="T67" s="12"/>
      <c r="U67" s="12"/>
    </row>
    <row r="68" spans="2:21" s="2" customFormat="1" x14ac:dyDescent="0.2">
      <c r="B68" s="2" t="s">
        <v>293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-117.5</v>
      </c>
      <c r="R68" s="12"/>
      <c r="S68" s="12"/>
      <c r="T68" s="12"/>
      <c r="U68" s="12"/>
    </row>
    <row r="69" spans="2:21" s="2" customFormat="1" x14ac:dyDescent="0.2">
      <c r="B69" s="2" t="s">
        <v>269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>
        <v>-12.9</v>
      </c>
      <c r="R69" s="12"/>
      <c r="S69" s="12"/>
      <c r="T69" s="12"/>
      <c r="U69" s="12"/>
    </row>
    <row r="70" spans="2:21" s="2" customFormat="1" x14ac:dyDescent="0.2">
      <c r="B70" s="2" t="s">
        <v>270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>
        <v>1.3</v>
      </c>
      <c r="R70" s="12"/>
      <c r="S70" s="12"/>
      <c r="T70" s="12"/>
      <c r="U70" s="12"/>
    </row>
    <row r="71" spans="2:21" s="2" customFormat="1" x14ac:dyDescent="0.2">
      <c r="B71" s="2" t="s">
        <v>291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SUM(Q67:Q70)</f>
        <v>-95.4</v>
      </c>
      <c r="R71" s="12"/>
      <c r="S71" s="12"/>
      <c r="T71" s="12"/>
      <c r="U71" s="12"/>
    </row>
    <row r="72" spans="2:21" s="2" customFormat="1" x14ac:dyDescent="0.2">
      <c r="B72" s="2" t="s">
        <v>290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-5.9</v>
      </c>
      <c r="R72" s="12"/>
      <c r="S72" s="12"/>
      <c r="T72" s="12"/>
      <c r="U72" s="12"/>
    </row>
    <row r="73" spans="2:21" s="2" customFormat="1" x14ac:dyDescent="0.2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>
        <f>+Q71+Q72+Q65+Q61</f>
        <v>803.90000000000009</v>
      </c>
      <c r="R73" s="12"/>
      <c r="S73" s="12"/>
      <c r="T73" s="12"/>
      <c r="U73" s="12"/>
    </row>
    <row r="74" spans="2:21" s="2" customFormat="1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161</v>
      </c>
    </row>
    <row r="4" spans="1:3" x14ac:dyDescent="0.2">
      <c r="B4" t="s">
        <v>9</v>
      </c>
      <c r="C4" t="s">
        <v>160</v>
      </c>
    </row>
    <row r="5" spans="1:3" x14ac:dyDescent="0.2">
      <c r="B5" t="s">
        <v>122</v>
      </c>
      <c r="C5" t="s">
        <v>183</v>
      </c>
    </row>
    <row r="6" spans="1:3" x14ac:dyDescent="0.2">
      <c r="B6" t="s">
        <v>195</v>
      </c>
      <c r="C6" t="s">
        <v>196</v>
      </c>
    </row>
    <row r="7" spans="1:3" x14ac:dyDescent="0.2">
      <c r="B7" t="s">
        <v>185</v>
      </c>
      <c r="C7" t="s">
        <v>186</v>
      </c>
    </row>
    <row r="8" spans="1:3" x14ac:dyDescent="0.2">
      <c r="B8" t="s">
        <v>187</v>
      </c>
      <c r="C8" t="s">
        <v>188</v>
      </c>
    </row>
    <row r="9" spans="1:3" x14ac:dyDescent="0.2">
      <c r="B9" t="s">
        <v>192</v>
      </c>
      <c r="C9" t="s">
        <v>193</v>
      </c>
    </row>
    <row r="10" spans="1:3" x14ac:dyDescent="0.2">
      <c r="B10" t="s">
        <v>194</v>
      </c>
      <c r="C10" t="s">
        <v>193</v>
      </c>
    </row>
    <row r="11" spans="1:3" x14ac:dyDescent="0.2">
      <c r="B11" t="s">
        <v>137</v>
      </c>
    </row>
    <row r="12" spans="1:3" x14ac:dyDescent="0.2">
      <c r="C12" s="18" t="s">
        <v>189</v>
      </c>
    </row>
    <row r="13" spans="1:3" x14ac:dyDescent="0.2">
      <c r="C13" t="s">
        <v>190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116</v>
      </c>
    </row>
    <row r="4" spans="1:3" x14ac:dyDescent="0.2">
      <c r="B4" t="s">
        <v>122</v>
      </c>
      <c r="C4" t="s">
        <v>191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122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94</v>
      </c>
      <c r="C5" t="s">
        <v>95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143</v>
      </c>
    </row>
    <row r="4" spans="1:9" x14ac:dyDescent="0.2">
      <c r="B4" t="s">
        <v>9</v>
      </c>
      <c r="C4" t="s">
        <v>144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203</v>
      </c>
    </row>
    <row r="7" spans="1:9" x14ac:dyDescent="0.2">
      <c r="B7" t="s">
        <v>135</v>
      </c>
      <c r="C7" t="s">
        <v>145</v>
      </c>
    </row>
    <row r="8" spans="1:9" x14ac:dyDescent="0.2">
      <c r="B8" t="s">
        <v>122</v>
      </c>
      <c r="C8" t="s">
        <v>204</v>
      </c>
    </row>
    <row r="9" spans="1:9" x14ac:dyDescent="0.2">
      <c r="B9" t="s">
        <v>137</v>
      </c>
    </row>
    <row r="10" spans="1:9" x14ac:dyDescent="0.2">
      <c r="C10" s="18" t="s">
        <v>155</v>
      </c>
    </row>
    <row r="11" spans="1:9" x14ac:dyDescent="0.2">
      <c r="C11" t="s">
        <v>152</v>
      </c>
      <c r="I11" s="11" t="s">
        <v>175</v>
      </c>
    </row>
    <row r="12" spans="1:9" x14ac:dyDescent="0.2">
      <c r="C12" t="s">
        <v>149</v>
      </c>
    </row>
    <row r="13" spans="1:9" x14ac:dyDescent="0.2">
      <c r="C13" t="s">
        <v>146</v>
      </c>
    </row>
    <row r="14" spans="1:9" x14ac:dyDescent="0.2">
      <c r="C14" t="s">
        <v>147</v>
      </c>
    </row>
    <row r="15" spans="1:9" x14ac:dyDescent="0.2">
      <c r="C15" t="s">
        <v>148</v>
      </c>
    </row>
    <row r="16" spans="1:9" x14ac:dyDescent="0.2">
      <c r="C16" t="s">
        <v>150</v>
      </c>
    </row>
    <row r="17" spans="3:3" x14ac:dyDescent="0.2">
      <c r="C17" t="s">
        <v>156</v>
      </c>
    </row>
    <row r="19" spans="3:3" x14ac:dyDescent="0.2">
      <c r="C19" s="18" t="s">
        <v>154</v>
      </c>
    </row>
    <row r="20" spans="3:3" x14ac:dyDescent="0.2">
      <c r="C20" t="s">
        <v>156</v>
      </c>
    </row>
    <row r="22" spans="3:3" x14ac:dyDescent="0.2">
      <c r="C22" s="18" t="s">
        <v>153</v>
      </c>
    </row>
    <row r="24" spans="3:3" x14ac:dyDescent="0.2">
      <c r="C24" s="18" t="s">
        <v>157</v>
      </c>
    </row>
    <row r="26" spans="3:3" x14ac:dyDescent="0.2">
      <c r="C26" s="18" t="s">
        <v>158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52</v>
      </c>
    </row>
    <row r="3" spans="1:3" x14ac:dyDescent="0.2">
      <c r="B3" t="s">
        <v>9</v>
      </c>
      <c r="C3" t="s">
        <v>133</v>
      </c>
    </row>
    <row r="4" spans="1:3" x14ac:dyDescent="0.2">
      <c r="B4" t="s">
        <v>10</v>
      </c>
      <c r="C4" t="s">
        <v>134</v>
      </c>
    </row>
    <row r="5" spans="1:3" x14ac:dyDescent="0.2">
      <c r="B5" t="s">
        <v>135</v>
      </c>
      <c r="C5" t="s">
        <v>136</v>
      </c>
    </row>
    <row r="6" spans="1:3" x14ac:dyDescent="0.2">
      <c r="B6" t="s">
        <v>137</v>
      </c>
    </row>
    <row r="7" spans="1:3" x14ac:dyDescent="0.2">
      <c r="C7" s="18" t="s">
        <v>138</v>
      </c>
    </row>
    <row r="8" spans="1:3" x14ac:dyDescent="0.2">
      <c r="C8" t="s">
        <v>169</v>
      </c>
    </row>
    <row r="9" spans="1:3" x14ac:dyDescent="0.2">
      <c r="C9" t="s">
        <v>171</v>
      </c>
    </row>
    <row r="10" spans="1:3" x14ac:dyDescent="0.2">
      <c r="C10" t="s">
        <v>170</v>
      </c>
    </row>
    <row r="11" spans="1:3" x14ac:dyDescent="0.2">
      <c r="C11" t="s">
        <v>139</v>
      </c>
    </row>
    <row r="12" spans="1:3" x14ac:dyDescent="0.2">
      <c r="C12" t="s">
        <v>140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46</v>
      </c>
    </row>
    <row r="3" spans="1:3" x14ac:dyDescent="0.2">
      <c r="B3" t="s">
        <v>9</v>
      </c>
      <c r="C3" t="s">
        <v>15</v>
      </c>
    </row>
    <row r="4" spans="1:3" x14ac:dyDescent="0.2">
      <c r="B4" t="s">
        <v>137</v>
      </c>
    </row>
    <row r="5" spans="1:3" x14ac:dyDescent="0.2">
      <c r="C5" s="18" t="s">
        <v>197</v>
      </c>
    </row>
    <row r="6" spans="1:3" x14ac:dyDescent="0.2">
      <c r="C6" t="s">
        <v>199</v>
      </c>
    </row>
    <row r="8" spans="1:3" x14ac:dyDescent="0.2">
      <c r="C8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2023-06-02T20:35:33Z</dcterms:modified>
</cp:coreProperties>
</file>