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07AB9A-3D7C-44B6-8719-08BACEAACC6F}" xr6:coauthVersionLast="47" xr6:coauthVersionMax="47" xr10:uidLastSave="{00000000-0000-0000-0000-000000000000}"/>
  <bookViews>
    <workbookView xWindow="-105" yWindow="15" windowWidth="26655" windowHeight="20565" activeTab="2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alogliptin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11" i="2" l="1"/>
  <c r="CV111" i="2"/>
  <c r="CW97" i="2"/>
  <c r="CW92" i="2"/>
  <c r="CV92" i="2"/>
  <c r="CU92" i="2"/>
  <c r="CW83" i="2"/>
  <c r="CV83" i="2"/>
  <c r="CU83" i="2"/>
  <c r="CW84" i="2"/>
  <c r="CV84" i="2"/>
  <c r="CU84" i="2"/>
  <c r="CW85" i="2"/>
  <c r="CV85" i="2"/>
  <c r="CU85" i="2"/>
  <c r="CW86" i="2"/>
  <c r="CV86" i="2"/>
  <c r="CU86" i="2"/>
  <c r="CW87" i="2"/>
  <c r="CV87" i="2"/>
  <c r="CU87" i="2"/>
  <c r="CW88" i="2"/>
  <c r="CV88" i="2"/>
  <c r="CU88" i="2"/>
  <c r="CW89" i="2"/>
  <c r="CV89" i="2"/>
  <c r="CU89" i="2"/>
  <c r="CW90" i="2"/>
  <c r="CV90" i="2"/>
  <c r="CU90" i="2"/>
  <c r="CW82" i="2"/>
  <c r="CV82" i="2"/>
  <c r="CU82" i="2"/>
  <c r="CW81" i="2"/>
  <c r="CV81" i="2"/>
  <c r="CU81" i="2"/>
  <c r="CW80" i="2"/>
  <c r="CV80" i="2"/>
  <c r="CU80" i="2"/>
  <c r="CW79" i="2"/>
  <c r="CV79" i="2"/>
  <c r="CU79" i="2"/>
  <c r="CW78" i="2"/>
  <c r="CV78" i="2"/>
  <c r="CU78" i="2"/>
  <c r="CW77" i="2"/>
  <c r="CV77" i="2"/>
  <c r="CU77" i="2"/>
  <c r="CW76" i="2"/>
  <c r="CV76" i="2"/>
  <c r="CU76" i="2"/>
  <c r="CW75" i="2"/>
  <c r="CV75" i="2"/>
  <c r="CU75" i="2"/>
  <c r="CW74" i="2"/>
  <c r="CV74" i="2"/>
  <c r="CU74" i="2"/>
  <c r="CW73" i="2"/>
  <c r="CV73" i="2"/>
  <c r="CU73" i="2"/>
  <c r="CW72" i="2"/>
  <c r="CV72" i="2"/>
  <c r="CU72" i="2"/>
  <c r="CV71" i="2"/>
  <c r="CU71" i="2"/>
  <c r="CW70" i="2"/>
  <c r="CV70" i="2"/>
  <c r="CU70" i="2"/>
  <c r="CW69" i="2"/>
  <c r="CV69" i="2"/>
  <c r="CU69" i="2"/>
  <c r="CW68" i="2"/>
  <c r="CV68" i="2"/>
  <c r="CU68" i="2"/>
  <c r="CW67" i="2"/>
  <c r="CV67" i="2"/>
  <c r="CU67" i="2"/>
  <c r="CW66" i="2"/>
  <c r="CV66" i="2"/>
  <c r="CU66" i="2"/>
  <c r="CW65" i="2"/>
  <c r="CV65" i="2"/>
  <c r="CU65" i="2"/>
  <c r="CW64" i="2"/>
  <c r="CV64" i="2"/>
  <c r="CU64" i="2"/>
  <c r="CW63" i="2"/>
  <c r="CV63" i="2"/>
  <c r="CU63" i="2"/>
  <c r="CW62" i="2"/>
  <c r="CV62" i="2"/>
  <c r="CU62" i="2"/>
  <c r="CW61" i="2"/>
  <c r="CV61" i="2"/>
  <c r="CU61" i="2"/>
  <c r="CW60" i="2"/>
  <c r="CV60" i="2"/>
  <c r="CU60" i="2"/>
  <c r="CW59" i="2"/>
  <c r="CV59" i="2"/>
  <c r="CU59" i="2"/>
  <c r="CW58" i="2"/>
  <c r="CV58" i="2"/>
  <c r="CU58" i="2"/>
  <c r="CW57" i="2"/>
  <c r="CV57" i="2"/>
  <c r="CU57" i="2"/>
  <c r="CW56" i="2"/>
  <c r="CV56" i="2"/>
  <c r="CU56" i="2"/>
  <c r="CW55" i="2"/>
  <c r="CV55" i="2"/>
  <c r="CU55" i="2"/>
  <c r="CW54" i="2"/>
  <c r="CV54" i="2"/>
  <c r="CU54" i="2"/>
  <c r="CW53" i="2"/>
  <c r="CV53" i="2"/>
  <c r="CU53" i="2"/>
  <c r="CW52" i="2"/>
  <c r="CV52" i="2"/>
  <c r="CU52" i="2"/>
  <c r="CW51" i="2"/>
  <c r="CV51" i="2"/>
  <c r="CU51" i="2"/>
  <c r="CW50" i="2"/>
  <c r="CV50" i="2"/>
  <c r="CU50" i="2"/>
  <c r="CW49" i="2"/>
  <c r="CV49" i="2"/>
  <c r="CU49" i="2"/>
  <c r="CW48" i="2"/>
  <c r="CV48" i="2"/>
  <c r="CU48" i="2"/>
  <c r="CW47" i="2"/>
  <c r="CV47" i="2"/>
  <c r="CU47" i="2"/>
  <c r="CW46" i="2"/>
  <c r="CV46" i="2"/>
  <c r="CU46" i="2"/>
  <c r="CW26" i="2"/>
  <c r="CV26" i="2"/>
  <c r="CU26" i="2"/>
  <c r="CW23" i="2"/>
  <c r="CV23" i="2"/>
  <c r="CU23" i="2"/>
  <c r="CW9" i="2"/>
  <c r="CV9" i="2"/>
  <c r="CU9" i="2"/>
  <c r="CW4" i="2"/>
  <c r="CV4" i="2"/>
  <c r="CU4" i="2"/>
  <c r="CC4" i="2"/>
  <c r="CB4" i="2"/>
  <c r="CA4" i="2"/>
  <c r="BZ4" i="2"/>
  <c r="CC9" i="2"/>
  <c r="CB9" i="2"/>
  <c r="CA9" i="2"/>
  <c r="BZ9" i="2"/>
  <c r="CC23" i="2"/>
  <c r="CB23" i="2"/>
  <c r="CA23" i="2"/>
  <c r="BZ23" i="2"/>
  <c r="CC26" i="2"/>
  <c r="CB26" i="2"/>
  <c r="CA26" i="2"/>
  <c r="BZ26" i="2"/>
  <c r="CC54" i="2"/>
  <c r="CB54" i="2"/>
  <c r="CA54" i="2"/>
  <c r="BZ54" i="2"/>
  <c r="CC53" i="2"/>
  <c r="CB53" i="2"/>
  <c r="CA53" i="2"/>
  <c r="BZ53" i="2"/>
  <c r="CC52" i="2"/>
  <c r="CB52" i="2"/>
  <c r="CA52" i="2"/>
  <c r="BZ52" i="2"/>
  <c r="CC51" i="2"/>
  <c r="CB51" i="2"/>
  <c r="CA51" i="2"/>
  <c r="BZ51" i="2"/>
  <c r="CC50" i="2"/>
  <c r="CB50" i="2"/>
  <c r="CA50" i="2"/>
  <c r="BZ50" i="2"/>
  <c r="CC49" i="2"/>
  <c r="CB49" i="2"/>
  <c r="CA49" i="2"/>
  <c r="BZ49" i="2"/>
  <c r="CC48" i="2"/>
  <c r="CB48" i="2"/>
  <c r="CA48" i="2"/>
  <c r="BZ48" i="2"/>
  <c r="CC47" i="2"/>
  <c r="CB47" i="2"/>
  <c r="CA47" i="2"/>
  <c r="BZ47" i="2"/>
  <c r="CC46" i="2"/>
  <c r="CB46" i="2"/>
  <c r="CA46" i="2"/>
  <c r="BZ46" i="2"/>
  <c r="CC65" i="2"/>
  <c r="CB65" i="2"/>
  <c r="CA65" i="2"/>
  <c r="BZ65" i="2"/>
  <c r="CC64" i="2"/>
  <c r="CB64" i="2"/>
  <c r="CA64" i="2"/>
  <c r="BZ64" i="2"/>
  <c r="CC63" i="2"/>
  <c r="CB63" i="2"/>
  <c r="CA63" i="2"/>
  <c r="BZ63" i="2"/>
  <c r="CC62" i="2"/>
  <c r="CB62" i="2"/>
  <c r="CA62" i="2"/>
  <c r="BZ62" i="2"/>
  <c r="CC61" i="2"/>
  <c r="CB61" i="2"/>
  <c r="CA61" i="2"/>
  <c r="BZ61" i="2"/>
  <c r="CC60" i="2"/>
  <c r="CB60" i="2"/>
  <c r="CA60" i="2"/>
  <c r="BZ60" i="2"/>
  <c r="CC59" i="2"/>
  <c r="CB59" i="2"/>
  <c r="CA59" i="2"/>
  <c r="BZ59" i="2"/>
  <c r="CC58" i="2"/>
  <c r="CB58" i="2"/>
  <c r="CA58" i="2"/>
  <c r="BZ58" i="2"/>
  <c r="CC57" i="2"/>
  <c r="CB57" i="2"/>
  <c r="CA57" i="2"/>
  <c r="BZ57" i="2"/>
  <c r="CC56" i="2"/>
  <c r="CB56" i="2"/>
  <c r="CA56" i="2"/>
  <c r="BZ56" i="2"/>
  <c r="CC55" i="2"/>
  <c r="CB55" i="2"/>
  <c r="CA55" i="2"/>
  <c r="BZ55" i="2"/>
  <c r="CC67" i="2"/>
  <c r="CB67" i="2"/>
  <c r="CA67" i="2"/>
  <c r="BZ67" i="2"/>
  <c r="CC66" i="2"/>
  <c r="CB66" i="2"/>
  <c r="CA66" i="2"/>
  <c r="BZ66" i="2"/>
  <c r="CC68" i="2"/>
  <c r="CB68" i="2"/>
  <c r="CA68" i="2"/>
  <c r="BZ68" i="2"/>
  <c r="CC73" i="2"/>
  <c r="CB73" i="2"/>
  <c r="CA73" i="2"/>
  <c r="BZ73" i="2"/>
  <c r="CC72" i="2"/>
  <c r="CB72" i="2"/>
  <c r="CA72" i="2"/>
  <c r="BZ72" i="2"/>
  <c r="CC71" i="2"/>
  <c r="CB71" i="2"/>
  <c r="CW71" i="2" s="1"/>
  <c r="CA71" i="2"/>
  <c r="BZ71" i="2"/>
  <c r="CC70" i="2"/>
  <c r="CB70" i="2"/>
  <c r="CA70" i="2"/>
  <c r="BZ70" i="2"/>
  <c r="CC69" i="2"/>
  <c r="CB69" i="2"/>
  <c r="CA69" i="2"/>
  <c r="BZ69" i="2"/>
  <c r="CC75" i="2"/>
  <c r="CB75" i="2"/>
  <c r="CA75" i="2"/>
  <c r="BZ75" i="2"/>
  <c r="CC74" i="2"/>
  <c r="CB74" i="2"/>
  <c r="CA74" i="2"/>
  <c r="BZ74" i="2"/>
  <c r="CC77" i="2"/>
  <c r="CB77" i="2"/>
  <c r="CA77" i="2"/>
  <c r="BZ77" i="2"/>
  <c r="CC76" i="2"/>
  <c r="CB76" i="2"/>
  <c r="CA76" i="2"/>
  <c r="BZ76" i="2"/>
  <c r="CC80" i="2"/>
  <c r="CB80" i="2"/>
  <c r="CA80" i="2"/>
  <c r="BZ80" i="2"/>
  <c r="CC79" i="2"/>
  <c r="CB79" i="2"/>
  <c r="CA79" i="2"/>
  <c r="BZ79" i="2"/>
  <c r="CC78" i="2"/>
  <c r="CB78" i="2"/>
  <c r="CA78" i="2"/>
  <c r="BZ78" i="2"/>
  <c r="CC81" i="2"/>
  <c r="CB81" i="2"/>
  <c r="CA81" i="2"/>
  <c r="BZ81" i="2"/>
  <c r="CC82" i="2"/>
  <c r="CB82" i="2"/>
  <c r="CA82" i="2"/>
  <c r="BZ82" i="2"/>
  <c r="CC83" i="2"/>
  <c r="CB83" i="2"/>
  <c r="CA83" i="2"/>
  <c r="BZ83" i="2"/>
  <c r="CC84" i="2"/>
  <c r="CB84" i="2"/>
  <c r="CA84" i="2"/>
  <c r="BZ84" i="2"/>
  <c r="CC85" i="2"/>
  <c r="CB85" i="2"/>
  <c r="CA85" i="2"/>
  <c r="BZ85" i="2"/>
  <c r="CC86" i="2"/>
  <c r="CB86" i="2"/>
  <c r="CA86" i="2"/>
  <c r="BZ86" i="2"/>
  <c r="CC87" i="2"/>
  <c r="CB87" i="2"/>
  <c r="CA87" i="2"/>
  <c r="BZ87" i="2"/>
  <c r="CC88" i="2"/>
  <c r="CB88" i="2"/>
  <c r="CA88" i="2"/>
  <c r="BZ88" i="2"/>
  <c r="CC89" i="2"/>
  <c r="CB89" i="2"/>
  <c r="CA89" i="2"/>
  <c r="BZ89" i="2"/>
  <c r="CC90" i="2"/>
  <c r="CB90" i="2"/>
  <c r="CA90" i="2"/>
  <c r="BZ90" i="2"/>
  <c r="BY97" i="2"/>
  <c r="BY111" i="2" s="1"/>
  <c r="BX97" i="2"/>
  <c r="BX111" i="2" s="1"/>
  <c r="BV97" i="2"/>
  <c r="BV111" i="2" s="1"/>
  <c r="BU97" i="2"/>
  <c r="BT97" i="2"/>
  <c r="BR97" i="2"/>
  <c r="BW82" i="2"/>
  <c r="BS82" i="2"/>
  <c r="BS83" i="2"/>
  <c r="BW83" i="2"/>
  <c r="BS84" i="2"/>
  <c r="BW84" i="2"/>
  <c r="BS85" i="2"/>
  <c r="BW85" i="2"/>
  <c r="BW86" i="2"/>
  <c r="BS86" i="2"/>
  <c r="BW87" i="2"/>
  <c r="BS87" i="2"/>
  <c r="BS88" i="2"/>
  <c r="BW88" i="2"/>
  <c r="CV142" i="2"/>
  <c r="CV141" i="2"/>
  <c r="CV139" i="2"/>
  <c r="CV140" i="2"/>
  <c r="CV129" i="2"/>
  <c r="CV137" i="2" s="1"/>
  <c r="CV132" i="2"/>
  <c r="CV136" i="2"/>
  <c r="CV133" i="2"/>
  <c r="CA97" i="2" l="1"/>
  <c r="CA111" i="2" s="1"/>
  <c r="CB97" i="2"/>
  <c r="CB111" i="2" s="1"/>
  <c r="BZ97" i="2"/>
  <c r="BZ111" i="2" s="1"/>
  <c r="CC97" i="2"/>
  <c r="CC111" i="2" s="1"/>
  <c r="CV147" i="2"/>
  <c r="CU104" i="2"/>
  <c r="CV104" i="2"/>
  <c r="CU102" i="2"/>
  <c r="CU99" i="2"/>
  <c r="CV102" i="2"/>
  <c r="CV99" i="2"/>
  <c r="CV103" i="2" s="1"/>
  <c r="CV105" i="2" s="1"/>
  <c r="CV107" i="2" s="1"/>
  <c r="CV108" i="2" s="1"/>
  <c r="BW66" i="2"/>
  <c r="BW97" i="2" s="1"/>
  <c r="BS66" i="2"/>
  <c r="BS97" i="2" s="1"/>
  <c r="BS99" i="2" s="1"/>
  <c r="BW81" i="2"/>
  <c r="BS81" i="2"/>
  <c r="BW89" i="2"/>
  <c r="BS89" i="2"/>
  <c r="BW90" i="2"/>
  <c r="BS90" i="2"/>
  <c r="BS106" i="2"/>
  <c r="BS104" i="2"/>
  <c r="BS101" i="2"/>
  <c r="BS100" i="2"/>
  <c r="BS102" i="2" s="1"/>
  <c r="BS98" i="2"/>
  <c r="BW106" i="2"/>
  <c r="BW104" i="2"/>
  <c r="BW101" i="2"/>
  <c r="BW100" i="2"/>
  <c r="BW98" i="2"/>
  <c r="K5" i="1"/>
  <c r="Y109" i="2"/>
  <c r="X109" i="2"/>
  <c r="W109" i="2"/>
  <c r="V109" i="2"/>
  <c r="U109" i="2"/>
  <c r="N114" i="2"/>
  <c r="X30" i="2"/>
  <c r="V30" i="2"/>
  <c r="V24" i="2"/>
  <c r="X11" i="2"/>
  <c r="V11" i="2"/>
  <c r="V9" i="2"/>
  <c r="W9" i="2" s="1"/>
  <c r="X8" i="2"/>
  <c r="V8" i="2"/>
  <c r="X7" i="2"/>
  <c r="V7" i="2"/>
  <c r="X6" i="2"/>
  <c r="V6" i="2"/>
  <c r="X5" i="2"/>
  <c r="V5" i="2"/>
  <c r="T44" i="2"/>
  <c r="U44" i="2" s="1"/>
  <c r="V44" i="2" s="1"/>
  <c r="W44" i="2" s="1"/>
  <c r="X44" i="2" s="1"/>
  <c r="Y44" i="2" s="1"/>
  <c r="T43" i="2"/>
  <c r="U43" i="2" s="1"/>
  <c r="V43" i="2" s="1"/>
  <c r="W43" i="2" s="1"/>
  <c r="X43" i="2" s="1"/>
  <c r="Y43" i="2" s="1"/>
  <c r="T42" i="2"/>
  <c r="U42" i="2"/>
  <c r="V42" i="2" s="1"/>
  <c r="W42" i="2" s="1"/>
  <c r="X42" i="2" s="1"/>
  <c r="Y42" i="2" s="1"/>
  <c r="T41" i="2"/>
  <c r="U41" i="2" s="1"/>
  <c r="V41" i="2" s="1"/>
  <c r="W41" i="2" s="1"/>
  <c r="X41" i="2" s="1"/>
  <c r="Y41" i="2" s="1"/>
  <c r="T109" i="2"/>
  <c r="CJ104" i="2"/>
  <c r="CI100" i="2"/>
  <c r="CI102" i="2" s="1"/>
  <c r="CI103" i="2" s="1"/>
  <c r="CI105" i="2" s="1"/>
  <c r="CI106" i="2" s="1"/>
  <c r="CI107" i="2" s="1"/>
  <c r="CH114" i="2"/>
  <c r="AV114" i="2"/>
  <c r="CI9" i="2"/>
  <c r="AW4" i="2"/>
  <c r="CI35" i="2"/>
  <c r="CJ35" i="2" s="1"/>
  <c r="CK35" i="2" s="1"/>
  <c r="CL35" i="2" s="1"/>
  <c r="CM35" i="2" s="1"/>
  <c r="CI31" i="2"/>
  <c r="CJ31" i="2"/>
  <c r="CK31" i="2" s="1"/>
  <c r="CL31" i="2" s="1"/>
  <c r="CM31" i="2" s="1"/>
  <c r="CI26" i="2"/>
  <c r="S109" i="2"/>
  <c r="R109" i="2"/>
  <c r="S101" i="2"/>
  <c r="T101" i="2"/>
  <c r="U101" i="2"/>
  <c r="V101" i="2" s="1"/>
  <c r="W101" i="2" s="1"/>
  <c r="X101" i="2" s="1"/>
  <c r="Y101" i="2" s="1"/>
  <c r="S100" i="2"/>
  <c r="T100" i="2" s="1"/>
  <c r="S98" i="2"/>
  <c r="T98" i="2" s="1"/>
  <c r="R41" i="2"/>
  <c r="R124" i="2"/>
  <c r="S9" i="2"/>
  <c r="S24" i="2"/>
  <c r="W24" i="2" s="1"/>
  <c r="T24" i="2"/>
  <c r="X24" i="2"/>
  <c r="S39" i="2"/>
  <c r="S38" i="2"/>
  <c r="S37" i="2"/>
  <c r="S36" i="2"/>
  <c r="S34" i="2"/>
  <c r="S33" i="2"/>
  <c r="S32" i="2"/>
  <c r="CI32" i="2" s="1"/>
  <c r="CJ32" i="2"/>
  <c r="CK32" i="2"/>
  <c r="CL32" i="2" s="1"/>
  <c r="CM32" i="2" s="1"/>
  <c r="S30" i="2"/>
  <c r="W30" i="2"/>
  <c r="S29" i="2"/>
  <c r="S28" i="2"/>
  <c r="S27" i="2"/>
  <c r="S25" i="2"/>
  <c r="CI25" i="2" s="1"/>
  <c r="S23" i="2"/>
  <c r="CI23" i="2" s="1"/>
  <c r="CJ23" i="2" s="1"/>
  <c r="CK23" i="2" s="1"/>
  <c r="CL23" i="2" s="1"/>
  <c r="CM23" i="2" s="1"/>
  <c r="S22" i="2"/>
  <c r="S21" i="2"/>
  <c r="S20" i="2"/>
  <c r="S19" i="2"/>
  <c r="S17" i="2"/>
  <c r="S16" i="2"/>
  <c r="S14" i="2"/>
  <c r="S13" i="2"/>
  <c r="U13" i="2"/>
  <c r="V13" i="2" s="1"/>
  <c r="W13" i="2" s="1"/>
  <c r="X13" i="2" s="1"/>
  <c r="S12" i="2"/>
  <c r="S11" i="2"/>
  <c r="S8" i="2"/>
  <c r="W8" i="2" s="1"/>
  <c r="S7" i="2"/>
  <c r="W7" i="2" s="1"/>
  <c r="S6" i="2"/>
  <c r="W6" i="2" s="1"/>
  <c r="S5" i="2"/>
  <c r="W5" i="2"/>
  <c r="CM109" i="2"/>
  <c r="CL109" i="2"/>
  <c r="CK109" i="2"/>
  <c r="CJ109" i="2"/>
  <c r="C4" i="2"/>
  <c r="G4" i="2"/>
  <c r="H4" i="2"/>
  <c r="J4" i="2"/>
  <c r="K5" i="2"/>
  <c r="M5" i="2" s="1"/>
  <c r="K6" i="2"/>
  <c r="K7" i="2"/>
  <c r="M7" i="2" s="1"/>
  <c r="K8" i="2"/>
  <c r="M8" i="2"/>
  <c r="CH8" i="2" s="1"/>
  <c r="L4" i="2"/>
  <c r="N4" i="2"/>
  <c r="O5" i="2"/>
  <c r="P5" i="2"/>
  <c r="O6" i="2"/>
  <c r="P6" i="2" s="1"/>
  <c r="Q6" i="2" s="1"/>
  <c r="U6" i="2" s="1"/>
  <c r="O7" i="2"/>
  <c r="P7" i="2" s="1"/>
  <c r="O8" i="2"/>
  <c r="P8" i="2" s="1"/>
  <c r="Q8" i="2" s="1"/>
  <c r="U8" i="2" s="1"/>
  <c r="CJ8" i="2" s="1"/>
  <c r="R4" i="2"/>
  <c r="AU4" i="2"/>
  <c r="G5" i="2"/>
  <c r="I5" i="2"/>
  <c r="G6" i="2"/>
  <c r="G7" i="2"/>
  <c r="G8" i="2"/>
  <c r="C10" i="2"/>
  <c r="G10" i="2"/>
  <c r="H10" i="2"/>
  <c r="J10" i="2"/>
  <c r="K11" i="2"/>
  <c r="K12" i="2"/>
  <c r="M12" i="2" s="1"/>
  <c r="K13" i="2"/>
  <c r="M13" i="2"/>
  <c r="K14" i="2"/>
  <c r="M14" i="2" s="1"/>
  <c r="L10" i="2"/>
  <c r="N10" i="2"/>
  <c r="O11" i="2"/>
  <c r="P11" i="2" s="1"/>
  <c r="Q11" i="2" s="1"/>
  <c r="U11" i="2" s="1"/>
  <c r="O12" i="2"/>
  <c r="P12" i="2"/>
  <c r="Q12" i="2" s="1"/>
  <c r="O13" i="2"/>
  <c r="P13" i="2"/>
  <c r="Q13" i="2"/>
  <c r="O14" i="2"/>
  <c r="P14" i="2"/>
  <c r="Q14" i="2"/>
  <c r="R10" i="2"/>
  <c r="U14" i="2"/>
  <c r="V14" i="2" s="1"/>
  <c r="AU10" i="2"/>
  <c r="G11" i="2"/>
  <c r="G12" i="2"/>
  <c r="G13" i="2"/>
  <c r="G14" i="2"/>
  <c r="C15" i="2"/>
  <c r="G15" i="2"/>
  <c r="H15" i="2" s="1"/>
  <c r="J15" i="2"/>
  <c r="K16" i="2"/>
  <c r="M16" i="2"/>
  <c r="K17" i="2"/>
  <c r="K15" i="2" s="1"/>
  <c r="M17" i="2"/>
  <c r="M15" i="2" s="1"/>
  <c r="L15" i="2"/>
  <c r="N15" i="2"/>
  <c r="O16" i="2"/>
  <c r="P16" i="2" s="1"/>
  <c r="O17" i="2"/>
  <c r="P17" i="2" s="1"/>
  <c r="Q17" i="2" s="1"/>
  <c r="R15" i="2"/>
  <c r="AU15" i="2"/>
  <c r="AW15" i="2"/>
  <c r="G16" i="2"/>
  <c r="G17" i="2"/>
  <c r="C18" i="2"/>
  <c r="G18" i="2"/>
  <c r="H18" i="2" s="1"/>
  <c r="J18" i="2"/>
  <c r="K19" i="2"/>
  <c r="K20" i="2"/>
  <c r="M20" i="2" s="1"/>
  <c r="K21" i="2"/>
  <c r="M21" i="2"/>
  <c r="K22" i="2"/>
  <c r="M22" i="2"/>
  <c r="L18" i="2"/>
  <c r="N18" i="2"/>
  <c r="O19" i="2"/>
  <c r="P19" i="2"/>
  <c r="Q19" i="2"/>
  <c r="U19" i="2" s="1"/>
  <c r="O20" i="2"/>
  <c r="P20" i="2" s="1"/>
  <c r="Q20" i="2" s="1"/>
  <c r="U20" i="2" s="1"/>
  <c r="O21" i="2"/>
  <c r="P21" i="2"/>
  <c r="Q21" i="2"/>
  <c r="U21" i="2" s="1"/>
  <c r="V21" i="2" s="1"/>
  <c r="O22" i="2"/>
  <c r="P22" i="2"/>
  <c r="Q22" i="2"/>
  <c r="U22" i="2"/>
  <c r="V22" i="2"/>
  <c r="W22" i="2" s="1"/>
  <c r="X22" i="2" s="1"/>
  <c r="Y22" i="2" s="1"/>
  <c r="CK22" i="2" s="1"/>
  <c r="CL22" i="2" s="1"/>
  <c r="CM22" i="2" s="1"/>
  <c r="R18" i="2"/>
  <c r="AU18" i="2"/>
  <c r="G19" i="2"/>
  <c r="G20" i="2"/>
  <c r="G21" i="2"/>
  <c r="G22" i="2"/>
  <c r="C24" i="2"/>
  <c r="F24" i="2"/>
  <c r="G24" i="2"/>
  <c r="H24" i="2"/>
  <c r="AW24" i="2" s="1"/>
  <c r="CH24" i="2" s="1"/>
  <c r="J24" i="2"/>
  <c r="K24" i="2" s="1"/>
  <c r="L24" i="2" s="1"/>
  <c r="M24" i="2" s="1"/>
  <c r="N24" i="2"/>
  <c r="O24" i="2" s="1"/>
  <c r="G25" i="2"/>
  <c r="F25" i="2" s="1"/>
  <c r="G26" i="2"/>
  <c r="F26" i="2" s="1"/>
  <c r="F27" i="2"/>
  <c r="H27" i="2"/>
  <c r="K27" i="2"/>
  <c r="M27" i="2"/>
  <c r="O27" i="2"/>
  <c r="P27" i="2" s="1"/>
  <c r="Q27" i="2" s="1"/>
  <c r="U27" i="2" s="1"/>
  <c r="V27" i="2" s="1"/>
  <c r="W27" i="2" s="1"/>
  <c r="X27" i="2" s="1"/>
  <c r="Y27" i="2" s="1"/>
  <c r="K28" i="2"/>
  <c r="M28" i="2" s="1"/>
  <c r="O28" i="2"/>
  <c r="P28" i="2" s="1"/>
  <c r="Q28" i="2"/>
  <c r="U28" i="2" s="1"/>
  <c r="K29" i="2"/>
  <c r="M29" i="2"/>
  <c r="O29" i="2"/>
  <c r="P29" i="2"/>
  <c r="Q29" i="2"/>
  <c r="U29" i="2" s="1"/>
  <c r="K30" i="2"/>
  <c r="M30" i="2"/>
  <c r="O30" i="2"/>
  <c r="P30" i="2" s="1"/>
  <c r="Q30" i="2" s="1"/>
  <c r="U30" i="2"/>
  <c r="Y30" i="2"/>
  <c r="K31" i="2"/>
  <c r="K33" i="2"/>
  <c r="M33" i="2" s="1"/>
  <c r="O33" i="2"/>
  <c r="P33" i="2"/>
  <c r="Q33" i="2" s="1"/>
  <c r="U33" i="2" s="1"/>
  <c r="K34" i="2"/>
  <c r="M34" i="2"/>
  <c r="O34" i="2"/>
  <c r="P34" i="2" s="1"/>
  <c r="Q34" i="2" s="1"/>
  <c r="U34" i="2" s="1"/>
  <c r="V34" i="2"/>
  <c r="W34" i="2"/>
  <c r="X34" i="2" s="1"/>
  <c r="Y34" i="2" s="1"/>
  <c r="K35" i="2"/>
  <c r="M35" i="2" s="1"/>
  <c r="O35" i="2"/>
  <c r="P35" i="2" s="1"/>
  <c r="Q35" i="2"/>
  <c r="K36" i="2"/>
  <c r="M36" i="2" s="1"/>
  <c r="O36" i="2"/>
  <c r="P36" i="2"/>
  <c r="Q36" i="2"/>
  <c r="U36" i="2"/>
  <c r="V36" i="2" s="1"/>
  <c r="W36" i="2" s="1"/>
  <c r="X36" i="2" s="1"/>
  <c r="Y36" i="2" s="1"/>
  <c r="P37" i="2"/>
  <c r="U37" i="2"/>
  <c r="K38" i="2"/>
  <c r="M38" i="2" s="1"/>
  <c r="O38" i="2"/>
  <c r="P38" i="2"/>
  <c r="Q38" i="2"/>
  <c r="U38" i="2" s="1"/>
  <c r="V38" i="2" s="1"/>
  <c r="W38" i="2" s="1"/>
  <c r="X38" i="2" s="1"/>
  <c r="Y38" i="2" s="1"/>
  <c r="K39" i="2"/>
  <c r="M39" i="2"/>
  <c r="O39" i="2"/>
  <c r="P39" i="2" s="1"/>
  <c r="Q39" i="2" s="1"/>
  <c r="U39" i="2" s="1"/>
  <c r="L40" i="2"/>
  <c r="O40" i="2"/>
  <c r="G97" i="2"/>
  <c r="H97" i="2" s="1"/>
  <c r="G111" i="2"/>
  <c r="N41" i="2"/>
  <c r="N42" i="2"/>
  <c r="R42" i="2"/>
  <c r="R125" i="2" s="1"/>
  <c r="N43" i="2"/>
  <c r="R43" i="2"/>
  <c r="N44" i="2"/>
  <c r="R44" i="2"/>
  <c r="R127" i="2"/>
  <c r="R45" i="2"/>
  <c r="S45" i="2"/>
  <c r="R92" i="2"/>
  <c r="CJ92" i="2"/>
  <c r="K97" i="2"/>
  <c r="L97" i="2" s="1"/>
  <c r="O97" i="2"/>
  <c r="P97" i="2" s="1"/>
  <c r="G98" i="2"/>
  <c r="H98" i="2"/>
  <c r="I98" i="2" s="1"/>
  <c r="K98" i="2"/>
  <c r="L98" i="2"/>
  <c r="M98" i="2" s="1"/>
  <c r="O98" i="2"/>
  <c r="P98" i="2" s="1"/>
  <c r="Q98" i="2" s="1"/>
  <c r="AW99" i="2"/>
  <c r="AW98" i="2"/>
  <c r="F99" i="2"/>
  <c r="F113" i="2" s="1"/>
  <c r="F103" i="2"/>
  <c r="J99" i="2"/>
  <c r="J113" i="2" s="1"/>
  <c r="N99" i="2"/>
  <c r="N113" i="2" s="1"/>
  <c r="AV99" i="2"/>
  <c r="AV103" i="2" s="1"/>
  <c r="AV107" i="2" s="1"/>
  <c r="AW112" i="2" s="1"/>
  <c r="CH99" i="2"/>
  <c r="CH113" i="2" s="1"/>
  <c r="CI99" i="2"/>
  <c r="CI113" i="2"/>
  <c r="G100" i="2"/>
  <c r="H100" i="2"/>
  <c r="K100" i="2"/>
  <c r="L100" i="2"/>
  <c r="O100" i="2"/>
  <c r="AW100" i="2"/>
  <c r="AW114" i="2"/>
  <c r="K101" i="2"/>
  <c r="L101" i="2"/>
  <c r="O101" i="2"/>
  <c r="P101" i="2" s="1"/>
  <c r="J102" i="2"/>
  <c r="N102" i="2"/>
  <c r="R102" i="2"/>
  <c r="H104" i="2"/>
  <c r="J104" i="2"/>
  <c r="K104" i="2"/>
  <c r="L104" i="2" s="1"/>
  <c r="M104" i="2" s="1"/>
  <c r="N104" i="2"/>
  <c r="O104" i="2" s="1"/>
  <c r="P104" i="2" s="1"/>
  <c r="Q104" i="2" s="1"/>
  <c r="R104" i="2"/>
  <c r="S104" i="2"/>
  <c r="T104" i="2" s="1"/>
  <c r="H106" i="2"/>
  <c r="J106" i="2"/>
  <c r="K106" i="2" s="1"/>
  <c r="N106" i="2"/>
  <c r="O106" i="2" s="1"/>
  <c r="P106" i="2" s="1"/>
  <c r="R106" i="2"/>
  <c r="S106" i="2"/>
  <c r="T106" i="2" s="1"/>
  <c r="Q109" i="2"/>
  <c r="CH109" i="2"/>
  <c r="CI109" i="2"/>
  <c r="N111" i="2"/>
  <c r="AV111" i="2"/>
  <c r="AW111" i="2"/>
  <c r="CH111" i="2"/>
  <c r="CI111" i="2"/>
  <c r="CH120" i="2"/>
  <c r="CI120" i="2"/>
  <c r="T15" i="2"/>
  <c r="T18" i="2"/>
  <c r="U17" i="2"/>
  <c r="V17" i="2" s="1"/>
  <c r="W17" i="2" s="1"/>
  <c r="X17" i="2" s="1"/>
  <c r="Y17" i="2" s="1"/>
  <c r="U23" i="2"/>
  <c r="V23" i="2"/>
  <c r="W23" i="2"/>
  <c r="X23" i="2"/>
  <c r="Y23" i="2" s="1"/>
  <c r="U12" i="2"/>
  <c r="V12" i="2"/>
  <c r="T10" i="2"/>
  <c r="T4" i="2"/>
  <c r="AV113" i="2"/>
  <c r="M97" i="2" l="1"/>
  <c r="M99" i="2" s="1"/>
  <c r="L99" i="2"/>
  <c r="L113" i="2" s="1"/>
  <c r="S102" i="2"/>
  <c r="BW111" i="2"/>
  <c r="CI30" i="2"/>
  <c r="CJ30" i="2" s="1"/>
  <c r="CK30" i="2" s="1"/>
  <c r="CL30" i="2" s="1"/>
  <c r="CM30" i="2" s="1"/>
  <c r="BW99" i="2"/>
  <c r="BW103" i="2" s="1"/>
  <c r="BW105" i="2" s="1"/>
  <c r="BW107" i="2" s="1"/>
  <c r="BW108" i="2" s="1"/>
  <c r="CJ22" i="2"/>
  <c r="S4" i="2"/>
  <c r="CI27" i="2"/>
  <c r="CJ27" i="2" s="1"/>
  <c r="CK27" i="2" s="1"/>
  <c r="CL27" i="2" s="1"/>
  <c r="CM27" i="2" s="1"/>
  <c r="CI21" i="2"/>
  <c r="CJ19" i="2"/>
  <c r="AW103" i="2"/>
  <c r="AW106" i="2" s="1"/>
  <c r="CI34" i="2"/>
  <c r="CJ34" i="2" s="1"/>
  <c r="CK34" i="2" s="1"/>
  <c r="CL34" i="2" s="1"/>
  <c r="CM34" i="2" s="1"/>
  <c r="K99" i="2"/>
  <c r="K113" i="2" s="1"/>
  <c r="BW102" i="2"/>
  <c r="CI8" i="2"/>
  <c r="N103" i="2"/>
  <c r="N105" i="2" s="1"/>
  <c r="N107" i="2" s="1"/>
  <c r="K10" i="2"/>
  <c r="O99" i="2"/>
  <c r="O113" i="2" s="1"/>
  <c r="O111" i="2"/>
  <c r="AW18" i="2"/>
  <c r="AW41" i="2" s="1"/>
  <c r="CH41" i="2" s="1"/>
  <c r="X4" i="2"/>
  <c r="O10" i="2"/>
  <c r="L102" i="2"/>
  <c r="M102" i="2" s="1"/>
  <c r="M103" i="2" s="1"/>
  <c r="M105" i="2" s="1"/>
  <c r="K102" i="2"/>
  <c r="K18" i="2"/>
  <c r="CJ12" i="2"/>
  <c r="Y11" i="2"/>
  <c r="U10" i="2"/>
  <c r="W21" i="2"/>
  <c r="X21" i="2" s="1"/>
  <c r="Y21" i="2" s="1"/>
  <c r="V28" i="2"/>
  <c r="W28" i="2" s="1"/>
  <c r="X28" i="2" s="1"/>
  <c r="Y28" i="2" s="1"/>
  <c r="CI28" i="2"/>
  <c r="CJ28" i="2" s="1"/>
  <c r="CK28" i="2" s="1"/>
  <c r="CL28" i="2" s="1"/>
  <c r="CM28" i="2" s="1"/>
  <c r="V10" i="2"/>
  <c r="W14" i="2"/>
  <c r="X14" i="2" s="1"/>
  <c r="Y14" i="2" s="1"/>
  <c r="I97" i="2"/>
  <c r="I99" i="2" s="1"/>
  <c r="I113" i="2" s="1"/>
  <c r="H99" i="2"/>
  <c r="H103" i="2" s="1"/>
  <c r="H105" i="2" s="1"/>
  <c r="H107" i="2" s="1"/>
  <c r="CI19" i="2"/>
  <c r="P10" i="2"/>
  <c r="J103" i="2"/>
  <c r="J105" i="2" s="1"/>
  <c r="J107" i="2" s="1"/>
  <c r="CH15" i="2"/>
  <c r="P99" i="2"/>
  <c r="P113" i="2" s="1"/>
  <c r="S42" i="2"/>
  <c r="CI42" i="2" s="1"/>
  <c r="CJ42" i="2" s="1"/>
  <c r="CK42" i="2" s="1"/>
  <c r="CL42" i="2" s="1"/>
  <c r="CM42" i="2" s="1"/>
  <c r="H41" i="2"/>
  <c r="O4" i="2"/>
  <c r="S124" i="2"/>
  <c r="CJ17" i="2"/>
  <c r="M19" i="2"/>
  <c r="M18" i="2" s="1"/>
  <c r="M11" i="2"/>
  <c r="M10" i="2" s="1"/>
  <c r="CI38" i="2"/>
  <c r="CJ38" i="2" s="1"/>
  <c r="CK38" i="2" s="1"/>
  <c r="CL38" i="2" s="1"/>
  <c r="CM38" i="2" s="1"/>
  <c r="P18" i="2"/>
  <c r="CJ14" i="2"/>
  <c r="CJ13" i="2"/>
  <c r="CH7" i="2"/>
  <c r="F41" i="2"/>
  <c r="R97" i="2"/>
  <c r="R99" i="2" s="1"/>
  <c r="V4" i="2"/>
  <c r="M6" i="2"/>
  <c r="CH6" i="2" s="1"/>
  <c r="S18" i="2"/>
  <c r="P111" i="2"/>
  <c r="Q97" i="2"/>
  <c r="CI20" i="2"/>
  <c r="O15" i="2"/>
  <c r="Y8" i="2"/>
  <c r="CK8" i="2" s="1"/>
  <c r="Q7" i="2"/>
  <c r="U7" i="2" s="1"/>
  <c r="Y7" i="2" s="1"/>
  <c r="CK7" i="2" s="1"/>
  <c r="CI7" i="2"/>
  <c r="CJ6" i="2"/>
  <c r="Y6" i="2"/>
  <c r="CK6" i="2" s="1"/>
  <c r="CI108" i="2"/>
  <c r="X9" i="2"/>
  <c r="Y9" i="2" s="1"/>
  <c r="Y13" i="2"/>
  <c r="CK13" i="2"/>
  <c r="CI39" i="2"/>
  <c r="CJ39" i="2" s="1"/>
  <c r="CK39" i="2" s="1"/>
  <c r="CL39" i="2" s="1"/>
  <c r="CM39" i="2" s="1"/>
  <c r="Q106" i="2"/>
  <c r="P4" i="2"/>
  <c r="CI33" i="2"/>
  <c r="CJ33" i="2" s="1"/>
  <c r="CK33" i="2" s="1"/>
  <c r="CL33" i="2" s="1"/>
  <c r="CM33" i="2" s="1"/>
  <c r="V33" i="2"/>
  <c r="W33" i="2" s="1"/>
  <c r="X33" i="2" s="1"/>
  <c r="Y33" i="2" s="1"/>
  <c r="CJ20" i="2"/>
  <c r="V20" i="2"/>
  <c r="T102" i="2"/>
  <c r="V29" i="2"/>
  <c r="W29" i="2" s="1"/>
  <c r="X29" i="2" s="1"/>
  <c r="Y29" i="2" s="1"/>
  <c r="CI29" i="2"/>
  <c r="CJ29" i="2" s="1"/>
  <c r="CK29" i="2" s="1"/>
  <c r="CL29" i="2" s="1"/>
  <c r="CM29" i="2" s="1"/>
  <c r="BS103" i="2"/>
  <c r="BS105" i="2" s="1"/>
  <c r="BS107" i="2" s="1"/>
  <c r="BS108" i="2" s="1"/>
  <c r="O114" i="2"/>
  <c r="P100" i="2"/>
  <c r="L106" i="2"/>
  <c r="W12" i="2"/>
  <c r="X12" i="2" s="1"/>
  <c r="CI114" i="2"/>
  <c r="CJ100" i="2"/>
  <c r="CH5" i="2"/>
  <c r="CI36" i="2"/>
  <c r="CJ36" i="2" s="1"/>
  <c r="CK36" i="2" s="1"/>
  <c r="CL36" i="2" s="1"/>
  <c r="CM36" i="2" s="1"/>
  <c r="J96" i="2"/>
  <c r="CH103" i="2"/>
  <c r="CH105" i="2" s="1"/>
  <c r="N96" i="2"/>
  <c r="P24" i="2"/>
  <c r="Q24" i="2" s="1"/>
  <c r="U24" i="2" s="1"/>
  <c r="P15" i="2"/>
  <c r="K4" i="2"/>
  <c r="Q16" i="2"/>
  <c r="U16" i="2" s="1"/>
  <c r="O18" i="2"/>
  <c r="R126" i="2"/>
  <c r="S43" i="2" s="1"/>
  <c r="S126" i="2" s="1"/>
  <c r="W4" i="2"/>
  <c r="U18" i="2"/>
  <c r="S41" i="2"/>
  <c r="CI41" i="2" s="1"/>
  <c r="CJ41" i="2" s="1"/>
  <c r="CK41" i="2" s="1"/>
  <c r="CL41" i="2" s="1"/>
  <c r="CM41" i="2" s="1"/>
  <c r="CI6" i="2"/>
  <c r="CK17" i="2"/>
  <c r="Q5" i="2"/>
  <c r="CJ11" i="2"/>
  <c r="W11" i="2"/>
  <c r="CJ21" i="2"/>
  <c r="V19" i="2"/>
  <c r="M113" i="2"/>
  <c r="N115" i="2"/>
  <c r="S15" i="2"/>
  <c r="S10" i="2"/>
  <c r="L111" i="2"/>
  <c r="O102" i="2"/>
  <c r="L96" i="2"/>
  <c r="S44" i="2"/>
  <c r="G41" i="2"/>
  <c r="G99" i="2"/>
  <c r="CI37" i="2"/>
  <c r="CJ37" i="2" s="1"/>
  <c r="CK37" i="2" s="1"/>
  <c r="CL37" i="2" s="1"/>
  <c r="CM37" i="2" s="1"/>
  <c r="CU103" i="2"/>
  <c r="CU105" i="2" s="1"/>
  <c r="CU107" i="2" s="1"/>
  <c r="K8" i="1"/>
  <c r="R114" i="2" l="1"/>
  <c r="R111" i="2"/>
  <c r="CJ18" i="2"/>
  <c r="CJ7" i="2"/>
  <c r="L103" i="2"/>
  <c r="L105" i="2" s="1"/>
  <c r="L107" i="2" s="1"/>
  <c r="S125" i="2"/>
  <c r="O103" i="2"/>
  <c r="O105" i="2" s="1"/>
  <c r="O107" i="2" s="1"/>
  <c r="CH10" i="2"/>
  <c r="K103" i="2"/>
  <c r="K105" i="2" s="1"/>
  <c r="K107" i="2" s="1"/>
  <c r="CH18" i="2"/>
  <c r="CK21" i="2"/>
  <c r="CL21" i="2" s="1"/>
  <c r="CM21" i="2" s="1"/>
  <c r="CJ10" i="2"/>
  <c r="Q10" i="2"/>
  <c r="CI10" i="2" s="1"/>
  <c r="CI43" i="2"/>
  <c r="CJ43" i="2" s="1"/>
  <c r="CK43" i="2" s="1"/>
  <c r="CL43" i="2" s="1"/>
  <c r="CM43" i="2" s="1"/>
  <c r="H113" i="2"/>
  <c r="M4" i="2"/>
  <c r="M111" i="2"/>
  <c r="CH4" i="2"/>
  <c r="CK14" i="2"/>
  <c r="Q15" i="2"/>
  <c r="CI15" i="2" s="1"/>
  <c r="S92" i="2"/>
  <c r="S97" i="2" s="1"/>
  <c r="Q99" i="2"/>
  <c r="Q113" i="2" s="1"/>
  <c r="Q111" i="2"/>
  <c r="K96" i="2"/>
  <c r="X10" i="2"/>
  <c r="Y12" i="2"/>
  <c r="M106" i="2"/>
  <c r="M115" i="2" s="1"/>
  <c r="L115" i="2"/>
  <c r="CI24" i="2"/>
  <c r="CJ24" i="2" s="1"/>
  <c r="CK24" i="2" s="1"/>
  <c r="CL24" i="2" s="1"/>
  <c r="CM24" i="2" s="1"/>
  <c r="Y24" i="2"/>
  <c r="G103" i="2"/>
  <c r="G107" i="2" s="1"/>
  <c r="G113" i="2"/>
  <c r="O96" i="2"/>
  <c r="V16" i="2"/>
  <c r="U15" i="2"/>
  <c r="W10" i="2"/>
  <c r="CK11" i="2"/>
  <c r="U5" i="2"/>
  <c r="Q4" i="2"/>
  <c r="CI4" i="2" s="1"/>
  <c r="CI5" i="2"/>
  <c r="R113" i="2"/>
  <c r="R103" i="2"/>
  <c r="R105" i="2" s="1"/>
  <c r="Q18" i="2"/>
  <c r="CI18" i="2" s="1"/>
  <c r="CJ16" i="2"/>
  <c r="CJ15" i="2" s="1"/>
  <c r="W19" i="2"/>
  <c r="V18" i="2"/>
  <c r="CH106" i="2"/>
  <c r="CH107" i="2"/>
  <c r="CK9" i="2"/>
  <c r="W20" i="2"/>
  <c r="X20" i="2" s="1"/>
  <c r="Y20" i="2" s="1"/>
  <c r="CK100" i="2"/>
  <c r="S127" i="2"/>
  <c r="CI44" i="2"/>
  <c r="CJ44" i="2" s="1"/>
  <c r="CK44" i="2" s="1"/>
  <c r="CL44" i="2" s="1"/>
  <c r="CM44" i="2" s="1"/>
  <c r="P114" i="2"/>
  <c r="P102" i="2"/>
  <c r="O115" i="2" l="1"/>
  <c r="K115" i="2"/>
  <c r="M107" i="2"/>
  <c r="R115" i="2"/>
  <c r="R107" i="2"/>
  <c r="R108" i="2" s="1"/>
  <c r="V15" i="2"/>
  <c r="W16" i="2"/>
  <c r="W18" i="2"/>
  <c r="X19" i="2"/>
  <c r="CJ5" i="2"/>
  <c r="Y5" i="2"/>
  <c r="U4" i="2"/>
  <c r="CH112" i="2"/>
  <c r="CH108" i="2"/>
  <c r="CI112" i="2"/>
  <c r="CK12" i="2"/>
  <c r="Y10" i="2"/>
  <c r="CK10" i="2"/>
  <c r="CL10" i="2" s="1"/>
  <c r="CM10" i="2" s="1"/>
  <c r="Q102" i="2"/>
  <c r="Q103" i="2" s="1"/>
  <c r="Q105" i="2" s="1"/>
  <c r="P103" i="2"/>
  <c r="P105" i="2" s="1"/>
  <c r="CL100" i="2"/>
  <c r="CK20" i="2"/>
  <c r="CL20" i="2" s="1"/>
  <c r="CM20" i="2" s="1"/>
  <c r="S99" i="2"/>
  <c r="T97" i="2"/>
  <c r="S114" i="2"/>
  <c r="S111" i="2"/>
  <c r="Q107" i="2" l="1"/>
  <c r="Q108" i="2" s="1"/>
  <c r="Q115" i="2"/>
  <c r="CJ4" i="2"/>
  <c r="S103" i="2"/>
  <c r="S105" i="2" s="1"/>
  <c r="S113" i="2"/>
  <c r="P107" i="2"/>
  <c r="P108" i="2" s="1"/>
  <c r="P115" i="2"/>
  <c r="W15" i="2"/>
  <c r="X16" i="2"/>
  <c r="CM100" i="2"/>
  <c r="Y4" i="2"/>
  <c r="CK5" i="2"/>
  <c r="CK4" i="2" s="1"/>
  <c r="X18" i="2"/>
  <c r="Y19" i="2"/>
  <c r="Y18" i="2" s="1"/>
  <c r="CK19" i="2"/>
  <c r="T111" i="2"/>
  <c r="T45" i="2"/>
  <c r="T99" i="2"/>
  <c r="T114" i="2"/>
  <c r="T103" i="2" l="1"/>
  <c r="T105" i="2" s="1"/>
  <c r="T113" i="2"/>
  <c r="CL4" i="2"/>
  <c r="Y16" i="2"/>
  <c r="X15" i="2"/>
  <c r="U45" i="2"/>
  <c r="CI45" i="2"/>
  <c r="CJ45" i="2" s="1"/>
  <c r="CK45" i="2" s="1"/>
  <c r="CL45" i="2" s="1"/>
  <c r="CM45" i="2" s="1"/>
  <c r="CJ97" i="2"/>
  <c r="CK18" i="2"/>
  <c r="CL18" i="2" s="1"/>
  <c r="CM18" i="2" s="1"/>
  <c r="CL19" i="2"/>
  <c r="CM19" i="2" s="1"/>
  <c r="S107" i="2"/>
  <c r="S108" i="2" s="1"/>
  <c r="S115" i="2"/>
  <c r="CJ99" i="2" l="1"/>
  <c r="CJ103" i="2" s="1"/>
  <c r="CJ105" i="2" s="1"/>
  <c r="CJ106" i="2" s="1"/>
  <c r="CJ107" i="2" s="1"/>
  <c r="CJ111" i="2"/>
  <c r="CJ114" i="2"/>
  <c r="V45" i="2"/>
  <c r="U97" i="2"/>
  <c r="Y15" i="2"/>
  <c r="CK16" i="2"/>
  <c r="CK15" i="2" s="1"/>
  <c r="CM4" i="2"/>
  <c r="T107" i="2"/>
  <c r="T108" i="2" s="1"/>
  <c r="T115" i="2"/>
  <c r="U115" i="2" s="1"/>
  <c r="V115" i="2" s="1"/>
  <c r="W115" i="2" s="1"/>
  <c r="X115" i="2" s="1"/>
  <c r="Y115" i="2" s="1"/>
  <c r="CJ98" i="2" l="1"/>
  <c r="CJ112" i="2"/>
  <c r="CJ116" i="2"/>
  <c r="CJ108" i="2"/>
  <c r="CL15" i="2"/>
  <c r="CK97" i="2"/>
  <c r="U100" i="2"/>
  <c r="U102" i="2" s="1"/>
  <c r="U111" i="2"/>
  <c r="U98" i="2"/>
  <c r="U99" i="2" s="1"/>
  <c r="U103" i="2" s="1"/>
  <c r="U105" i="2" s="1"/>
  <c r="W45" i="2"/>
  <c r="V97" i="2"/>
  <c r="U106" i="2" l="1"/>
  <c r="U107" i="2" s="1"/>
  <c r="U108" i="2" s="1"/>
  <c r="X45" i="2"/>
  <c r="W97" i="2"/>
  <c r="V111" i="2"/>
  <c r="V98" i="2"/>
  <c r="V99" i="2"/>
  <c r="V100" i="2"/>
  <c r="V102" i="2" s="1"/>
  <c r="CK99" i="2"/>
  <c r="CK103" i="2" s="1"/>
  <c r="CK111" i="2"/>
  <c r="CK114" i="2"/>
  <c r="CM15" i="2"/>
  <c r="CM97" i="2" s="1"/>
  <c r="CL97" i="2"/>
  <c r="CK104" i="2"/>
  <c r="CK105" i="2" s="1"/>
  <c r="CK106" i="2" l="1"/>
  <c r="CK107" i="2" s="1"/>
  <c r="CL111" i="2"/>
  <c r="CL99" i="2"/>
  <c r="CL103" i="2" s="1"/>
  <c r="CL98" i="2"/>
  <c r="CL114" i="2"/>
  <c r="CM99" i="2"/>
  <c r="CM103" i="2" s="1"/>
  <c r="CM111" i="2"/>
  <c r="CM98" i="2"/>
  <c r="CM114" i="2"/>
  <c r="CK98" i="2"/>
  <c r="V103" i="2"/>
  <c r="V105" i="2" s="1"/>
  <c r="W98" i="2"/>
  <c r="W99" i="2" s="1"/>
  <c r="W111" i="2"/>
  <c r="W100" i="2"/>
  <c r="W102" i="2" s="1"/>
  <c r="Y45" i="2"/>
  <c r="Y97" i="2" s="1"/>
  <c r="X97" i="2"/>
  <c r="CK112" i="2" l="1"/>
  <c r="CK108" i="2"/>
  <c r="CK116" i="2"/>
  <c r="X111" i="2"/>
  <c r="X100" i="2"/>
  <c r="X102" i="2" s="1"/>
  <c r="X98" i="2"/>
  <c r="X99" i="2" s="1"/>
  <c r="X103" i="2" s="1"/>
  <c r="X105" i="2" s="1"/>
  <c r="Y98" i="2"/>
  <c r="Y99" i="2" s="1"/>
  <c r="Y111" i="2"/>
  <c r="Y100" i="2"/>
  <c r="Y102" i="2" s="1"/>
  <c r="W103" i="2"/>
  <c r="W105" i="2" s="1"/>
  <c r="V106" i="2"/>
  <c r="V107" i="2" s="1"/>
  <c r="V108" i="2" s="1"/>
  <c r="X106" i="2" l="1"/>
  <c r="X107" i="2"/>
  <c r="X108" i="2" s="1"/>
  <c r="Y103" i="2"/>
  <c r="Y105" i="2" s="1"/>
  <c r="W106" i="2"/>
  <c r="W107" i="2" s="1"/>
  <c r="W108" i="2" s="1"/>
  <c r="CL104" i="2"/>
  <c r="CL105" i="2" s="1"/>
  <c r="CL106" i="2" l="1"/>
  <c r="CL107" i="2" s="1"/>
  <c r="Y106" i="2"/>
  <c r="Y107" i="2" s="1"/>
  <c r="Y108" i="2" s="1"/>
  <c r="CL112" i="2" l="1"/>
  <c r="CL108" i="2"/>
  <c r="CL116" i="2"/>
  <c r="CM104" i="2" l="1"/>
  <c r="CM105" i="2" s="1"/>
  <c r="CM106" i="2" s="1"/>
  <c r="CM107" i="2" s="1"/>
  <c r="CM108" i="2" l="1"/>
  <c r="CM112" i="2"/>
  <c r="CM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L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L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K93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N97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97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97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J97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L9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N9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9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J10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<sst xmlns="http://schemas.openxmlformats.org/spreadsheetml/2006/main" count="664" uniqueCount="537">
  <si>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</si>
  <si>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</si>
  <si>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</si>
  <si>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</si>
  <si>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</si>
  <si>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</si>
  <si>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</si>
  <si>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</si>
  <si>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</si>
  <si>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</si>
  <si>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</si>
  <si>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</si>
  <si>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</si>
  <si>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</si>
  <si>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</si>
  <si>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</si>
  <si>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</si>
  <si>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</si>
  <si>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</si>
  <si>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</si>
  <si>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</si>
  <si>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</si>
  <si>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</si>
  <si>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</si>
  <si>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</si>
  <si>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</si>
  <si>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</si>
  <si>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Insomnia</t>
  </si>
  <si>
    <t>Class</t>
  </si>
  <si>
    <t>MT-1/MT-2 agonist</t>
  </si>
  <si>
    <t>TAK-013</t>
  </si>
  <si>
    <t>Endometriosis</t>
  </si>
  <si>
    <t>LHRH antagonist</t>
  </si>
  <si>
    <t>CHF</t>
  </si>
  <si>
    <t>Ca++ uptake enhancer</t>
  </si>
  <si>
    <t>GERD</t>
  </si>
  <si>
    <t>5-HT4 agonist</t>
  </si>
  <si>
    <t>TAK-428</t>
  </si>
  <si>
    <t>Diabetic neuropathy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</si>
  <si>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</si>
  <si>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</si>
  <si>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</si>
  <si>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</si>
  <si>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</si>
  <si>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</si>
  <si>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</si>
  <si>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</si>
  <si>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</si>
  <si>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</si>
  <si>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</si>
  <si>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</si>
  <si>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</si>
  <si>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</si>
  <si>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</si>
  <si>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</si>
  <si>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</si>
  <si>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</si>
  <si>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</si>
  <si>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</si>
  <si>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</si>
  <si>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</si>
  <si>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</si>
  <si>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</si>
  <si>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</si>
  <si>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III</t>
  </si>
  <si>
    <t>ARB</t>
  </si>
  <si>
    <t>Sepsis</t>
  </si>
  <si>
    <t>TLR4</t>
  </si>
  <si>
    <t>EPO</t>
  </si>
  <si>
    <t>SYR-322</t>
  </si>
  <si>
    <t>DPP4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</si>
  <si>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</si>
  <si>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</si>
  <si>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</si>
  <si>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</si>
  <si>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</si>
  <si>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</si>
  <si>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</si>
  <si>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</si>
  <si>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</si>
  <si>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</si>
  <si>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</si>
  <si>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</si>
  <si>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</si>
  <si>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</si>
  <si>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</si>
  <si>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</si>
  <si>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Takepron</t>
  </si>
  <si>
    <t>Leuplin</t>
  </si>
  <si>
    <t>R&amp;D</t>
  </si>
  <si>
    <t>Benet Japan</t>
  </si>
  <si>
    <t>TAK-242 (resatorvid)</t>
  </si>
  <si>
    <t>III JP</t>
  </si>
  <si>
    <t>II US/EU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</si>
  <si>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</si>
  <si>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</si>
  <si>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</si>
  <si>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</si>
  <si>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</si>
  <si>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</si>
  <si>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</si>
  <si>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</si>
  <si>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</si>
  <si>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</si>
  <si>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</si>
  <si>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</si>
  <si>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</si>
  <si>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</si>
  <si>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</si>
  <si>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</si>
  <si>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</si>
  <si>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</si>
  <si>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</si>
  <si>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</si>
  <si>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</si>
  <si>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</si>
  <si>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</si>
  <si>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</si>
  <si>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</si>
  <si>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</si>
  <si>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</si>
  <si>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</si>
  <si>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</si>
  <si>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</si>
  <si>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</si>
  <si>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</si>
  <si>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</si>
  <si>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</si>
  <si>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</si>
  <si>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</si>
  <si>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</si>
  <si>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</si>
  <si>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</si>
  <si>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</si>
  <si>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</si>
  <si>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</si>
  <si>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</si>
  <si>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</si>
  <si>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</si>
  <si>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</si>
  <si>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</si>
  <si>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</si>
  <si>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</si>
  <si>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Uloric (febuxostat)</t>
  </si>
  <si>
    <t>HRPC</t>
  </si>
  <si>
    <t>Glovenin-I</t>
  </si>
  <si>
    <t>Mepact (mifamurtide)</t>
  </si>
  <si>
    <t>Osteosarcoma</t>
  </si>
  <si>
    <t>EU 09</t>
  </si>
  <si>
    <t>Vectibix (panitumumab)</t>
  </si>
  <si>
    <t>SNT-MC17 (idebenone)</t>
  </si>
  <si>
    <t>Friedreich's Ataxia</t>
  </si>
  <si>
    <t>Santhera</t>
  </si>
  <si>
    <t>AMG706 (motesanib)</t>
  </si>
  <si>
    <t>UC/Crohn's</t>
  </si>
  <si>
    <t>a4b7 integrin</t>
  </si>
  <si>
    <t>ATL-692 (cetilistat)</t>
  </si>
  <si>
    <t>Obesity</t>
  </si>
  <si>
    <t>Norgine</t>
  </si>
  <si>
    <t>lipase inhibitor</t>
  </si>
  <si>
    <t>Thromboembolism</t>
  </si>
  <si>
    <t>Factor Xa</t>
  </si>
  <si>
    <t>Hypertriglyceridemia</t>
  </si>
  <si>
    <t>Pronova</t>
  </si>
  <si>
    <t>EPA/DHA</t>
  </si>
  <si>
    <t>II</t>
  </si>
  <si>
    <t>Glioblastoma</t>
  </si>
  <si>
    <t>FLT3</t>
  </si>
  <si>
    <t>NHL</t>
  </si>
  <si>
    <t>Aurora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</si>
  <si>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</si>
  <si>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</si>
  <si>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</si>
  <si>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</si>
  <si>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</si>
  <si>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</si>
  <si>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</si>
  <si>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</si>
  <si>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Angiopoietin</t>
  </si>
  <si>
    <t>TAK-100</t>
  </si>
  <si>
    <t>TAK-329</t>
  </si>
  <si>
    <t>Glucokinase</t>
  </si>
  <si>
    <t>TAK-591</t>
  </si>
  <si>
    <t>TAK-285</t>
  </si>
  <si>
    <t>HER2</t>
  </si>
  <si>
    <t>Operating Expenses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</si>
  <si>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</si>
  <si>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</si>
  <si>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</si>
  <si>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</si>
  <si>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</si>
  <si>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</si>
  <si>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</si>
  <si>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</si>
  <si>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</si>
  <si>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</si>
  <si>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</si>
  <si>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</si>
  <si>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</si>
  <si>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</si>
  <si>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</si>
  <si>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</si>
  <si>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</si>
  <si>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</si>
  <si>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</si>
  <si>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</si>
  <si>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</si>
  <si>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</si>
  <si>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</si>
  <si>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</si>
  <si>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</si>
  <si>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</si>
  <si>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</si>
  <si>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</si>
  <si>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</si>
  <si>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</si>
  <si>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</si>
  <si>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</si>
  <si>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</si>
  <si>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</si>
  <si>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</si>
  <si>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</si>
  <si>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</si>
  <si>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</si>
  <si>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</si>
  <si>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</si>
  <si>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</si>
  <si>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</si>
  <si>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</si>
  <si>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</si>
  <si>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</si>
  <si>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</si>
  <si>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</si>
  <si>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</si>
  <si>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</si>
  <si>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</si>
  <si>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</si>
  <si>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</si>
  <si>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</si>
  <si>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</si>
  <si>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</si>
  <si>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</si>
  <si>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</si>
  <si>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</si>
  <si>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193,300</t>
  </si>
  <si>
    <t>275,800</t>
  </si>
  <si>
    <t>453,000</t>
  </si>
  <si>
    <t>300,000</t>
  </si>
  <si>
    <t>Enbrel Japan</t>
  </si>
  <si>
    <t>Q111</t>
  </si>
  <si>
    <t>Q211</t>
  </si>
  <si>
    <t>Q311</t>
  </si>
  <si>
    <t>Q411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</si>
  <si>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</si>
  <si>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</si>
  <si>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</si>
  <si>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</si>
  <si>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</si>
  <si>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</si>
  <si>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</si>
  <si>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</si>
  <si>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</si>
  <si>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</si>
  <si>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</si>
  <si>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</si>
  <si>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</si>
  <si>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</si>
  <si>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</si>
  <si>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</si>
  <si>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</si>
  <si>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</si>
  <si>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</si>
  <si>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</si>
  <si>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</si>
  <si>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</si>
  <si>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</si>
  <si>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</si>
  <si>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</si>
  <si>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</si>
  <si>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</si>
  <si>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Proteasome</t>
  </si>
  <si>
    <t>GPR40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</si>
  <si>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</si>
  <si>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</si>
  <si>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</si>
  <si>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</si>
  <si>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</si>
  <si>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</si>
  <si>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</si>
  <si>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</si>
  <si>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</si>
  <si>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</si>
  <si>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</si>
  <si>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</si>
  <si>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</si>
  <si>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</si>
  <si>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</si>
  <si>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</si>
  <si>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</si>
  <si>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</si>
  <si>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</si>
  <si>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</si>
  <si>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</si>
  <si>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</si>
  <si>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</si>
  <si>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</si>
  <si>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</si>
  <si>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</si>
  <si>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</si>
  <si>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</si>
  <si>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</si>
  <si>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</si>
  <si>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</si>
  <si>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</si>
  <si>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</si>
  <si>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</si>
  <si>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</si>
  <si>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</si>
  <si>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</si>
  <si>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</si>
  <si>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</si>
  <si>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</si>
  <si>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</si>
  <si>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</si>
  <si>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</si>
  <si>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</si>
  <si>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</si>
  <si>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</si>
  <si>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</si>
  <si>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</si>
  <si>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</si>
  <si>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</si>
  <si>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</si>
  <si>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</si>
  <si>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</si>
  <si>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</si>
  <si>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</si>
  <si>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</si>
  <si>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</si>
  <si>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</si>
  <si>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</si>
  <si>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</si>
  <si>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</si>
  <si>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</si>
  <si>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</si>
  <si>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</si>
  <si>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</si>
  <si>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</si>
  <si>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</si>
  <si>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</si>
  <si>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</si>
  <si>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</si>
  <si>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</si>
  <si>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</si>
  <si>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</si>
  <si>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</si>
  <si>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</si>
  <si>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</si>
  <si>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</si>
  <si>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</si>
  <si>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</si>
  <si>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</si>
  <si>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</si>
  <si>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</si>
  <si>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</si>
  <si>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</si>
  <si>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</si>
  <si>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</si>
  <si>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</si>
  <si>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</si>
  <si>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</si>
  <si>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</si>
  <si>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</si>
  <si>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</si>
  <si>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</si>
  <si>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</si>
  <si>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</si>
  <si>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</si>
  <si>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</si>
  <si>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</si>
  <si>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</si>
  <si>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</si>
  <si>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</si>
  <si>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</si>
  <si>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</si>
  <si>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</si>
  <si>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</si>
  <si>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</si>
  <si>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</si>
  <si>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</si>
  <si>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</si>
  <si>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</si>
  <si>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</si>
  <si>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</si>
  <si>
    <t>Nesina, Vipidia SYR-322</t>
  </si>
  <si>
    <t>Nesina (alogliptin)</t>
  </si>
  <si>
    <t>Rozerem (ramelteon, fka TAK-375)</t>
  </si>
  <si>
    <t>cTTP</t>
  </si>
  <si>
    <t>ADAMTS13</t>
  </si>
  <si>
    <t>Affymxa</t>
  </si>
  <si>
    <t>Omontys (fka Hematide, peginesatide)</t>
  </si>
  <si>
    <t>Trintellix/Lu AA21004 (vortioxetine)</t>
  </si>
  <si>
    <t>SSRI</t>
  </si>
  <si>
    <t>CEO: Christophe Weber</t>
  </si>
  <si>
    <t>CFO: Costa Saroukos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</si>
  <si>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</si>
  <si>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</si>
  <si>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</si>
  <si>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</si>
  <si>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</si>
  <si>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</si>
  <si>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</si>
  <si>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</si>
  <si>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</si>
  <si>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</si>
  <si>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</si>
  <si>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</si>
  <si>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</si>
  <si>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</si>
  <si>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</si>
  <si>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</si>
  <si>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</si>
  <si>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</si>
  <si>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</si>
  <si>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</si>
  <si>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</si>
  <si>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AR</t>
  </si>
  <si>
    <t>Inventories</t>
  </si>
  <si>
    <t>OCA</t>
  </si>
  <si>
    <t>Assets</t>
  </si>
  <si>
    <t>Goodwill</t>
  </si>
  <si>
    <t>PP&amp;E</t>
  </si>
  <si>
    <t>ONCA</t>
  </si>
  <si>
    <t>OCL</t>
  </si>
  <si>
    <t>Provisions</t>
  </si>
  <si>
    <t>AP</t>
  </si>
  <si>
    <t>ONCL</t>
  </si>
  <si>
    <t>Pension</t>
  </si>
  <si>
    <t>SE</t>
  </si>
  <si>
    <t>L+SE</t>
  </si>
  <si>
    <t>fazirsiran (TAK-999)</t>
  </si>
  <si>
    <t>ARWR</t>
  </si>
  <si>
    <t>Alpha-1 Antitypsin</t>
  </si>
  <si>
    <t>RNAi</t>
  </si>
  <si>
    <t>TAK-279</t>
  </si>
  <si>
    <t>Psoriasis</t>
  </si>
  <si>
    <t>SDGR</t>
  </si>
  <si>
    <t>Tyk2</t>
  </si>
  <si>
    <t>TAK-861</t>
  </si>
  <si>
    <t>orexin-2 agonist</t>
  </si>
  <si>
    <t>TAK-925 (danavorexton)</t>
  </si>
  <si>
    <t>CD30 ADC</t>
  </si>
  <si>
    <t>mCRC</t>
  </si>
  <si>
    <t>VEGF mab</t>
  </si>
  <si>
    <t>Iclusig (ponatinib)</t>
  </si>
  <si>
    <t>CML/ALL</t>
  </si>
  <si>
    <t>Exkivity (mobocertinib)</t>
  </si>
  <si>
    <t>Takhzyro (lanadelumab)</t>
  </si>
  <si>
    <t>HAE</t>
  </si>
  <si>
    <t>Livtencity (maribavir)</t>
  </si>
  <si>
    <t>CMV</t>
  </si>
  <si>
    <t>Firazyr (icatibant)</t>
  </si>
  <si>
    <t>TAK-755 (apadamtase alfa/cinaxadamtase alfa)</t>
  </si>
  <si>
    <t>Qdenga</t>
  </si>
  <si>
    <t>Dengue</t>
  </si>
  <si>
    <t>Zafatek (fka SYR-472) (trelagliptin)</t>
  </si>
  <si>
    <t>Approved in Japan</t>
  </si>
  <si>
    <t>100% (Furiex acquisition)</t>
  </si>
  <si>
    <t>AMAG; deal terminated</t>
  </si>
  <si>
    <t>Japan rights only</t>
  </si>
  <si>
    <t>discontinued in 2008</t>
  </si>
  <si>
    <t>MCC-135 (caldaret)</t>
  </si>
  <si>
    <t>TAK-370 (mosapride)</t>
  </si>
  <si>
    <t>approved in some Asian countries?</t>
  </si>
  <si>
    <t>oral NGF agonist</t>
  </si>
  <si>
    <t>TAK-442 (letaxaban)</t>
  </si>
  <si>
    <t>TAK-654 (sipoglitazar)</t>
  </si>
  <si>
    <t>Lotriga (TAK-085)</t>
  </si>
  <si>
    <t>TAK-700 (orteronel)</t>
  </si>
  <si>
    <t>MLN0518 (tandutinib)</t>
  </si>
  <si>
    <t>Edarbi (TAK-491 (azilsartan)) TAK-536?</t>
  </si>
  <si>
    <t>Lu AA24530 (tedatioxetine)</t>
  </si>
  <si>
    <t>Ninlaro (fka MLN 9708) (ixazomib)</t>
  </si>
  <si>
    <t>MLN8237 (alisertib)</t>
  </si>
  <si>
    <t>calmodulin</t>
  </si>
  <si>
    <t>AMG386 (trebananib)</t>
  </si>
  <si>
    <t>AMG479 (ganitumab)</t>
  </si>
  <si>
    <t>IGF-1R</t>
  </si>
  <si>
    <t>Takecab (vonoprazan), fka TAK-438</t>
  </si>
  <si>
    <t>TAK-683 (metastin)</t>
  </si>
  <si>
    <t>KISS1R agonist</t>
  </si>
  <si>
    <t>TAK-448 (metastin)</t>
  </si>
  <si>
    <t>KISS1R</t>
  </si>
  <si>
    <t>acetylcholinesterase</t>
  </si>
  <si>
    <t>TAK-141 (pabinafusp)</t>
  </si>
  <si>
    <t>Hunter Syndrome</t>
  </si>
  <si>
    <t>ERT</t>
  </si>
  <si>
    <t>Narcolepsy</t>
  </si>
  <si>
    <t>TAK-071</t>
  </si>
  <si>
    <t>Parkinson's</t>
  </si>
  <si>
    <t>M1 pam</t>
  </si>
  <si>
    <t>TAK-041/NBI-846</t>
  </si>
  <si>
    <t>NBIX</t>
  </si>
  <si>
    <t>GPR139</t>
  </si>
  <si>
    <t>TAK-653/NBI-845</t>
  </si>
  <si>
    <t>AMPA</t>
  </si>
  <si>
    <t>TAK-341/MEDI1341</t>
  </si>
  <si>
    <t>MSA</t>
  </si>
  <si>
    <t>AZN</t>
  </si>
  <si>
    <t>alpha-synuclein mab</t>
  </si>
  <si>
    <t>TAK-594/DNL593</t>
  </si>
  <si>
    <t>DNLI</t>
  </si>
  <si>
    <t>FTD</t>
  </si>
  <si>
    <t>progranulin</t>
  </si>
  <si>
    <t>postanesthesia recovery</t>
  </si>
  <si>
    <t>TAK-920/DNL919</t>
  </si>
  <si>
    <t>TREM2 mab</t>
  </si>
  <si>
    <t>TAK-935 (soticlestat)</t>
  </si>
  <si>
    <t>Dravet/LGS</t>
  </si>
  <si>
    <t>CH24H</t>
  </si>
  <si>
    <t>TAK-113 (fruquintinib)</t>
  </si>
  <si>
    <t>TAK-981 (subasumstat)</t>
  </si>
  <si>
    <t>Oncology</t>
  </si>
  <si>
    <t>SUMO</t>
  </si>
  <si>
    <t>TAK-573 (modakafusp)</t>
  </si>
  <si>
    <t>CD38 fusion</t>
  </si>
  <si>
    <t>TAK-007</t>
  </si>
  <si>
    <t>CD19 CAR-NK</t>
  </si>
  <si>
    <t>B cell lymphoma</t>
  </si>
  <si>
    <t>TAK-102</t>
  </si>
  <si>
    <t>GPC3 CART</t>
  </si>
  <si>
    <t>TAK-103</t>
  </si>
  <si>
    <t>Mesothelin CART</t>
  </si>
  <si>
    <t>TAK-676</t>
  </si>
  <si>
    <t>STING agonist</t>
  </si>
  <si>
    <t>Protonix/Pantoloc/Controloc (pantoprazole)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</si>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</sst>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2" borderId="0" xfId="0" applyFont="1" applyFill="1" applyBorder="1"/>
    <xf numFmtId="9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3" fontId="4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3" fontId="1" fillId="2" borderId="0" xfId="0" applyNumberFormat="1" applyFont="1" applyFill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9" fontId="4" fillId="2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123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58469</xdr:colOff>
      <xdr:row>0</xdr:row>
      <xdr:rowOff>77519</xdr:rowOff>
    </xdr:from>
    <xdr:to>
      <xdr:col>100</xdr:col>
      <xdr:colOff>58469</xdr:colOff>
      <xdr:row>153</xdr:row>
      <xdr:rowOff>13137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>
          <a:off x="57011400" y="77519"/>
          <a:ext cx="0" cy="25554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39413</xdr:colOff>
      <xdr:row>0</xdr:row>
      <xdr:rowOff>0</xdr:rowOff>
    </xdr:from>
    <xdr:to>
      <xdr:col>77</xdr:col>
      <xdr:colOff>39413</xdr:colOff>
      <xdr:row>112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2409241" y="0"/>
          <a:ext cx="0" cy="185836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444499</xdr:colOff>
      <xdr:row>4</xdr:row>
      <xdr:rowOff>7938</xdr:rowOff>
    </xdr:from>
    <xdr:to>
      <xdr:col>19</xdr:col>
      <xdr:colOff>429254</xdr:colOff>
      <xdr:row>30</xdr:row>
      <xdr:rowOff>144461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85D2-A4CF-7F96-4C17-93EF68A5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437" y="642938"/>
          <a:ext cx="4874255" cy="42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3" zoomScale="160" zoomScaleNormal="160" workbookViewId="0">
      <selection activeCell="B41" sqref="B41:E41"/>
    </sheetView>
  </sheetViews>
  <sheetFormatPr defaultRowHeight="12.75" x14ac:dyDescent="0.2"/>
  <cols>
    <col min="1" max="1" width="5" bestFit="1" customWidth="1"/>
    <col min="2" max="2" width="33.42578125" bestFit="1" customWidth="1"/>
    <col min="3" max="3" width="16.42578125" bestFit="1" customWidth="1"/>
    <col min="4" max="4" width="22.42578125" bestFit="1" customWidth="1"/>
    <col min="5" max="5" width="15.140625" bestFit="1" customWidth="1"/>
    <col min="6" max="6" width="16.42578125" bestFit="1" customWidth="1"/>
  </cols>
  <sheetData>
    <row r="1" spans="1:8" x14ac:dyDescent="0.2">
      <c r="A1" s="17" t="s">
        <v>10</v>
      </c>
    </row>
    <row r="3" spans="1:8" x14ac:dyDescent="0.2">
      <c r="B3" s="5" t="s">
        <v>91</v>
      </c>
      <c r="C3" s="6" t="s">
        <v>66</v>
      </c>
      <c r="D3" s="7">
        <v>1</v>
      </c>
      <c r="E3" s="7" t="s">
        <v>67</v>
      </c>
    </row>
    <row r="4" spans="1:8" x14ac:dyDescent="0.2">
      <c r="B4" s="25" t="s">
        <v>150</v>
      </c>
      <c r="C4" s="26" t="s">
        <v>151</v>
      </c>
      <c r="D4" s="41" t="s">
        <v>152</v>
      </c>
      <c r="E4" s="7"/>
      <c r="F4" s="26" t="s">
        <v>64</v>
      </c>
    </row>
    <row r="5" spans="1:8" x14ac:dyDescent="0.2">
      <c r="B5" s="25" t="s">
        <v>153</v>
      </c>
      <c r="C5" s="6" t="s">
        <v>98</v>
      </c>
      <c r="D5" s="7" t="s">
        <v>97</v>
      </c>
      <c r="E5" s="7" t="s">
        <v>99</v>
      </c>
      <c r="F5" s="26" t="s">
        <v>64</v>
      </c>
    </row>
    <row r="6" spans="1:8" x14ac:dyDescent="0.2">
      <c r="B6" s="23" t="s">
        <v>222</v>
      </c>
    </row>
    <row r="7" spans="1:8" x14ac:dyDescent="0.2">
      <c r="B7" s="56" t="s">
        <v>30</v>
      </c>
      <c r="C7" s="6" t="s">
        <v>31</v>
      </c>
      <c r="D7" s="7"/>
      <c r="E7" s="7" t="s">
        <v>32</v>
      </c>
    </row>
    <row r="8" spans="1:8" x14ac:dyDescent="0.2">
      <c r="B8" s="60" t="s">
        <v>400</v>
      </c>
      <c r="C8" s="62" t="s">
        <v>8</v>
      </c>
      <c r="D8" s="54" t="s">
        <v>399</v>
      </c>
      <c r="E8" s="61" t="s">
        <v>68</v>
      </c>
    </row>
    <row r="9" spans="1:8" x14ac:dyDescent="0.2">
      <c r="B9" s="56" t="s">
        <v>465</v>
      </c>
      <c r="C9" s="26" t="s">
        <v>24</v>
      </c>
      <c r="D9" s="58" t="s">
        <v>467</v>
      </c>
      <c r="E9" s="41" t="s">
        <v>70</v>
      </c>
      <c r="F9" s="57" t="s">
        <v>466</v>
      </c>
    </row>
    <row r="10" spans="1:8" x14ac:dyDescent="0.2">
      <c r="B10" s="25" t="s">
        <v>146</v>
      </c>
      <c r="C10" s="26" t="s">
        <v>147</v>
      </c>
      <c r="D10" s="7">
        <v>1</v>
      </c>
      <c r="E10" s="7"/>
      <c r="F10" s="26" t="s">
        <v>148</v>
      </c>
    </row>
    <row r="11" spans="1:8" x14ac:dyDescent="0.2">
      <c r="B11" s="25" t="s">
        <v>223</v>
      </c>
      <c r="C11" s="26" t="s">
        <v>24</v>
      </c>
      <c r="D11" s="7">
        <v>1</v>
      </c>
      <c r="E11" s="7"/>
      <c r="F11" s="6"/>
      <c r="G11" s="6"/>
      <c r="H11" s="8"/>
    </row>
    <row r="12" spans="1:8" x14ac:dyDescent="0.2">
      <c r="B12" s="56" t="s">
        <v>480</v>
      </c>
      <c r="C12" s="6" t="s">
        <v>41</v>
      </c>
      <c r="D12" s="7">
        <v>1</v>
      </c>
      <c r="E12" s="7" t="s">
        <v>65</v>
      </c>
      <c r="F12" s="26" t="s">
        <v>197</v>
      </c>
      <c r="G12" s="6" t="s">
        <v>201</v>
      </c>
    </row>
    <row r="13" spans="1:8" x14ac:dyDescent="0.2">
      <c r="B13" s="25" t="s">
        <v>291</v>
      </c>
      <c r="C13" s="26" t="s">
        <v>8</v>
      </c>
      <c r="D13" s="58" t="s">
        <v>468</v>
      </c>
      <c r="E13" s="41"/>
      <c r="F13" s="57" t="s">
        <v>469</v>
      </c>
    </row>
    <row r="14" spans="1:8" x14ac:dyDescent="0.2">
      <c r="B14" s="56" t="s">
        <v>477</v>
      </c>
      <c r="C14" s="26" t="s">
        <v>162</v>
      </c>
      <c r="D14" s="41" t="s">
        <v>163</v>
      </c>
      <c r="E14" s="41" t="s">
        <v>164</v>
      </c>
      <c r="F14" s="26"/>
    </row>
    <row r="15" spans="1:8" x14ac:dyDescent="0.2">
      <c r="B15" s="25" t="s">
        <v>194</v>
      </c>
      <c r="C15" s="26" t="s">
        <v>195</v>
      </c>
      <c r="D15" s="41" t="s">
        <v>196</v>
      </c>
      <c r="E15" s="41"/>
      <c r="F15" s="26"/>
    </row>
    <row r="16" spans="1:8" x14ac:dyDescent="0.2">
      <c r="B16" s="56"/>
      <c r="C16" s="26"/>
      <c r="D16" s="41"/>
      <c r="E16" s="41"/>
      <c r="F16" s="26"/>
    </row>
    <row r="17" spans="2:6" x14ac:dyDescent="0.2">
      <c r="B17" s="5" t="s">
        <v>71</v>
      </c>
      <c r="C17" s="6" t="s">
        <v>72</v>
      </c>
      <c r="D17" s="7"/>
      <c r="E17" s="7"/>
      <c r="F17" s="57" t="s">
        <v>470</v>
      </c>
    </row>
    <row r="18" spans="2:6" x14ac:dyDescent="0.2">
      <c r="B18" s="25" t="s">
        <v>156</v>
      </c>
      <c r="C18" s="26" t="s">
        <v>157</v>
      </c>
      <c r="D18" s="41" t="s">
        <v>158</v>
      </c>
      <c r="E18" s="41" t="s">
        <v>159</v>
      </c>
      <c r="F18" s="26" t="s">
        <v>92</v>
      </c>
    </row>
    <row r="19" spans="2:6" x14ac:dyDescent="0.2">
      <c r="B19" s="56" t="s">
        <v>471</v>
      </c>
      <c r="C19" s="6" t="s">
        <v>33</v>
      </c>
      <c r="D19" s="7"/>
      <c r="E19" s="7" t="s">
        <v>34</v>
      </c>
    </row>
    <row r="20" spans="2:6" x14ac:dyDescent="0.2">
      <c r="B20" s="56" t="s">
        <v>472</v>
      </c>
      <c r="C20" s="6" t="s">
        <v>35</v>
      </c>
      <c r="D20" s="7"/>
      <c r="E20" s="7" t="s">
        <v>36</v>
      </c>
      <c r="F20" s="57" t="s">
        <v>473</v>
      </c>
    </row>
    <row r="21" spans="2:6" x14ac:dyDescent="0.2">
      <c r="B21" s="56" t="s">
        <v>108</v>
      </c>
      <c r="C21" s="6"/>
      <c r="D21" s="7"/>
      <c r="E21" s="7" t="s">
        <v>43</v>
      </c>
    </row>
    <row r="22" spans="2:6" x14ac:dyDescent="0.2">
      <c r="B22" s="5" t="s">
        <v>37</v>
      </c>
      <c r="C22" s="6" t="s">
        <v>38</v>
      </c>
      <c r="D22" s="7">
        <v>1</v>
      </c>
      <c r="E22" s="58" t="s">
        <v>474</v>
      </c>
      <c r="F22" s="6" t="s">
        <v>93</v>
      </c>
    </row>
    <row r="23" spans="2:6" x14ac:dyDescent="0.2">
      <c r="B23" s="56" t="s">
        <v>475</v>
      </c>
      <c r="C23" s="26" t="s">
        <v>160</v>
      </c>
      <c r="D23" s="7">
        <v>1</v>
      </c>
      <c r="E23" s="41" t="s">
        <v>161</v>
      </c>
      <c r="F23" s="26" t="s">
        <v>93</v>
      </c>
    </row>
    <row r="24" spans="2:6" x14ac:dyDescent="0.2">
      <c r="B24" s="56" t="s">
        <v>476</v>
      </c>
      <c r="C24" s="57" t="s">
        <v>24</v>
      </c>
      <c r="D24" s="7"/>
      <c r="E24" s="58" t="s">
        <v>44</v>
      </c>
    </row>
    <row r="25" spans="2:6" x14ac:dyDescent="0.2">
      <c r="B25" s="56" t="s">
        <v>478</v>
      </c>
      <c r="C25" s="26" t="s">
        <v>144</v>
      </c>
      <c r="D25" s="7">
        <v>1</v>
      </c>
      <c r="E25" s="41" t="s">
        <v>173</v>
      </c>
      <c r="F25" s="26" t="s">
        <v>165</v>
      </c>
    </row>
    <row r="26" spans="2:6" x14ac:dyDescent="0.2">
      <c r="B26" s="56" t="s">
        <v>479</v>
      </c>
      <c r="C26" s="26" t="s">
        <v>166</v>
      </c>
      <c r="D26" s="7">
        <v>1</v>
      </c>
      <c r="E26" s="41" t="s">
        <v>167</v>
      </c>
      <c r="F26" s="26" t="s">
        <v>165</v>
      </c>
    </row>
    <row r="27" spans="2:6" x14ac:dyDescent="0.2">
      <c r="B27" s="56" t="s">
        <v>481</v>
      </c>
      <c r="C27" s="26" t="s">
        <v>85</v>
      </c>
      <c r="D27" s="41" t="s">
        <v>86</v>
      </c>
      <c r="E27" s="41"/>
      <c r="F27" s="26" t="s">
        <v>165</v>
      </c>
    </row>
    <row r="28" spans="2:6" x14ac:dyDescent="0.2">
      <c r="B28" s="56" t="s">
        <v>483</v>
      </c>
      <c r="C28" s="26" t="s">
        <v>168</v>
      </c>
      <c r="D28" s="7">
        <v>1</v>
      </c>
      <c r="E28" s="41" t="s">
        <v>169</v>
      </c>
      <c r="F28" s="26" t="s">
        <v>165</v>
      </c>
    </row>
    <row r="29" spans="2:6" x14ac:dyDescent="0.2">
      <c r="B29" s="25" t="s">
        <v>170</v>
      </c>
      <c r="C29" s="26" t="s">
        <v>171</v>
      </c>
      <c r="D29" s="41" t="s">
        <v>172</v>
      </c>
      <c r="E29" s="58" t="s">
        <v>484</v>
      </c>
      <c r="F29" s="26" t="s">
        <v>165</v>
      </c>
    </row>
    <row r="30" spans="2:6" x14ac:dyDescent="0.2">
      <c r="B30" s="25" t="s">
        <v>175</v>
      </c>
      <c r="C30" s="26" t="s">
        <v>98</v>
      </c>
      <c r="D30" s="41" t="s">
        <v>97</v>
      </c>
      <c r="E30" s="41" t="s">
        <v>177</v>
      </c>
      <c r="F30" s="26" t="s">
        <v>176</v>
      </c>
    </row>
    <row r="31" spans="2:6" x14ac:dyDescent="0.2">
      <c r="B31" s="56" t="s">
        <v>485</v>
      </c>
      <c r="C31" s="26" t="s">
        <v>98</v>
      </c>
      <c r="D31" s="41" t="s">
        <v>97</v>
      </c>
      <c r="E31" s="41" t="s">
        <v>178</v>
      </c>
      <c r="F31" s="26" t="s">
        <v>176</v>
      </c>
    </row>
    <row r="32" spans="2:6" x14ac:dyDescent="0.2">
      <c r="B32" s="56" t="s">
        <v>486</v>
      </c>
      <c r="C32" s="26" t="s">
        <v>98</v>
      </c>
      <c r="D32" s="41" t="s">
        <v>97</v>
      </c>
      <c r="E32" s="58" t="s">
        <v>487</v>
      </c>
      <c r="F32" s="26" t="s">
        <v>176</v>
      </c>
    </row>
    <row r="33" spans="2:8" x14ac:dyDescent="0.2">
      <c r="B33" s="25" t="s">
        <v>179</v>
      </c>
      <c r="C33" s="26" t="s">
        <v>24</v>
      </c>
      <c r="D33" s="41">
        <v>1</v>
      </c>
      <c r="E33" s="41" t="s">
        <v>70</v>
      </c>
      <c r="F33" s="26" t="s">
        <v>176</v>
      </c>
    </row>
    <row r="34" spans="2:8" x14ac:dyDescent="0.2">
      <c r="B34" s="25" t="s">
        <v>182</v>
      </c>
      <c r="C34" s="26" t="s">
        <v>41</v>
      </c>
      <c r="D34" s="7">
        <v>1</v>
      </c>
      <c r="E34" s="41" t="s">
        <v>65</v>
      </c>
      <c r="F34" s="26" t="s">
        <v>176</v>
      </c>
    </row>
    <row r="35" spans="2:8" x14ac:dyDescent="0.2">
      <c r="B35" s="25" t="s">
        <v>180</v>
      </c>
      <c r="C35" s="26" t="s">
        <v>181</v>
      </c>
      <c r="D35" s="41">
        <v>1</v>
      </c>
      <c r="E35" s="41"/>
      <c r="F35" s="26" t="s">
        <v>176</v>
      </c>
    </row>
    <row r="36" spans="2:8" x14ac:dyDescent="0.2">
      <c r="B36" s="25" t="s">
        <v>174</v>
      </c>
      <c r="C36" s="26" t="s">
        <v>24</v>
      </c>
      <c r="D36" s="41">
        <v>1</v>
      </c>
      <c r="E36" s="41" t="s">
        <v>281</v>
      </c>
      <c r="F36" s="26" t="s">
        <v>165</v>
      </c>
    </row>
    <row r="37" spans="2:8" x14ac:dyDescent="0.2">
      <c r="B37" s="5" t="s">
        <v>94</v>
      </c>
      <c r="C37" s="6" t="s">
        <v>95</v>
      </c>
      <c r="D37" s="7">
        <v>1</v>
      </c>
      <c r="E37" s="7"/>
      <c r="F37" s="6" t="s">
        <v>93</v>
      </c>
      <c r="G37" s="6"/>
      <c r="H37" s="8" t="s">
        <v>96</v>
      </c>
    </row>
    <row r="38" spans="2:8" x14ac:dyDescent="0.2">
      <c r="B38" s="56" t="s">
        <v>489</v>
      </c>
      <c r="C38" s="26" t="s">
        <v>144</v>
      </c>
      <c r="D38" s="7">
        <v>1</v>
      </c>
      <c r="E38" s="58" t="s">
        <v>490</v>
      </c>
      <c r="F38" s="26" t="s">
        <v>176</v>
      </c>
    </row>
    <row r="39" spans="2:8" x14ac:dyDescent="0.2">
      <c r="B39" s="56" t="s">
        <v>491</v>
      </c>
      <c r="C39" s="26" t="s">
        <v>144</v>
      </c>
      <c r="D39" s="7">
        <v>1</v>
      </c>
      <c r="E39" s="58" t="s">
        <v>492</v>
      </c>
      <c r="F39" s="26" t="s">
        <v>176</v>
      </c>
    </row>
    <row r="40" spans="2:8" x14ac:dyDescent="0.2">
      <c r="B40" s="25" t="s">
        <v>183</v>
      </c>
      <c r="C40" s="26" t="s">
        <v>98</v>
      </c>
      <c r="D40" s="7">
        <v>1</v>
      </c>
      <c r="E40" s="41" t="s">
        <v>184</v>
      </c>
      <c r="F40" s="26" t="s">
        <v>176</v>
      </c>
    </row>
    <row r="41" spans="2:8" x14ac:dyDescent="0.2">
      <c r="B41" s="5" t="s">
        <v>39</v>
      </c>
      <c r="C41" s="6" t="s">
        <v>40</v>
      </c>
      <c r="D41" s="7"/>
      <c r="E41" s="58" t="s">
        <v>493</v>
      </c>
    </row>
  </sheetData>
  <hyperlinks>
    <hyperlink ref="A1" location="Main!A1" display="Main" xr:uid="{4B12D7F8-7966-4150-BC59-25B5DF4CFFD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s="27" t="s">
        <v>11</v>
      </c>
      <c r="C2" s="27" t="s">
        <v>142</v>
      </c>
    </row>
    <row r="3" spans="1:3" x14ac:dyDescent="0.2">
      <c r="B3" s="27" t="s">
        <v>12</v>
      </c>
      <c r="C3" s="27" t="s">
        <v>131</v>
      </c>
    </row>
    <row r="4" spans="1:3" x14ac:dyDescent="0.2">
      <c r="B4" s="27" t="s">
        <v>134</v>
      </c>
      <c r="C4" s="27" t="s">
        <v>135</v>
      </c>
    </row>
    <row r="5" spans="1:3" x14ac:dyDescent="0.2">
      <c r="B5" s="27" t="s">
        <v>13</v>
      </c>
      <c r="C5" s="27" t="s">
        <v>136</v>
      </c>
    </row>
    <row r="6" spans="1:3" x14ac:dyDescent="0.2">
      <c r="B6" s="27" t="s">
        <v>132</v>
      </c>
      <c r="C6" s="27" t="s">
        <v>133</v>
      </c>
    </row>
    <row r="7" spans="1:3" x14ac:dyDescent="0.2">
      <c r="B7" s="27" t="s">
        <v>54</v>
      </c>
      <c r="C7" s="27" t="s">
        <v>139</v>
      </c>
    </row>
    <row r="8" spans="1:3" x14ac:dyDescent="0.2">
      <c r="B8" s="27" t="s">
        <v>140</v>
      </c>
      <c r="C8" s="27" t="s">
        <v>141</v>
      </c>
    </row>
    <row r="9" spans="1:3" x14ac:dyDescent="0.2">
      <c r="B9" s="27" t="s">
        <v>122</v>
      </c>
      <c r="C9" s="27"/>
    </row>
    <row r="11" spans="1:3" x14ac:dyDescent="0.2">
      <c r="C11" s="28" t="s">
        <v>137</v>
      </c>
    </row>
    <row r="12" spans="1:3" x14ac:dyDescent="0.2">
      <c r="C12" s="27" t="s">
        <v>138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18</v>
      </c>
    </row>
    <row r="3" spans="1:3" x14ac:dyDescent="0.2">
      <c r="B3" t="s">
        <v>12</v>
      </c>
    </row>
    <row r="4" spans="1:3" x14ac:dyDescent="0.2">
      <c r="B4" t="s">
        <v>54</v>
      </c>
      <c r="C4" t="s">
        <v>231</v>
      </c>
    </row>
    <row r="5" spans="1:3" x14ac:dyDescent="0.2">
      <c r="A5" t="s">
        <v>230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75" x14ac:dyDescent="0.2"/>
  <sheetData>
    <row r="3" spans="2:2" x14ac:dyDescent="0.2">
      <c r="B3" s="28" t="s">
        <v>253</v>
      </c>
    </row>
    <row r="4" spans="2:2" x14ac:dyDescent="0.2">
      <c r="B4" t="s">
        <v>254</v>
      </c>
    </row>
    <row r="5" spans="2:2" x14ac:dyDescent="0.2">
      <c r="B5" s="27" t="s">
        <v>255</v>
      </c>
    </row>
    <row r="6" spans="2:2" x14ac:dyDescent="0.2">
      <c r="B6" s="27" t="s">
        <v>256</v>
      </c>
    </row>
    <row r="7" spans="2:2" x14ac:dyDescent="0.2">
      <c r="B7" s="27" t="s">
        <v>257</v>
      </c>
    </row>
    <row r="8" spans="2:2" x14ac:dyDescent="0.2">
      <c r="B8" s="27" t="s">
        <v>258</v>
      </c>
    </row>
    <row r="9" spans="2:2" x14ac:dyDescent="0.2">
      <c r="B9" s="27" t="s">
        <v>260</v>
      </c>
    </row>
    <row r="10" spans="2:2" x14ac:dyDescent="0.2">
      <c r="B10" s="27" t="s">
        <v>259</v>
      </c>
    </row>
    <row r="12" spans="2:2" x14ac:dyDescent="0.2">
      <c r="B12" s="28" t="s">
        <v>264</v>
      </c>
    </row>
    <row r="13" spans="2:2" x14ac:dyDescent="0.2">
      <c r="B13" s="27" t="s">
        <v>265</v>
      </c>
    </row>
    <row r="14" spans="2:2" x14ac:dyDescent="0.2">
      <c r="B14" s="27" t="s">
        <v>266</v>
      </c>
    </row>
    <row r="15" spans="2:2" x14ac:dyDescent="0.2">
      <c r="B15" s="27" t="s">
        <v>267</v>
      </c>
    </row>
    <row r="16" spans="2:2" x14ac:dyDescent="0.2">
      <c r="B16" s="27" t="s">
        <v>268</v>
      </c>
    </row>
    <row r="17" spans="2:2" x14ac:dyDescent="0.2">
      <c r="B17" s="27" t="s">
        <v>269</v>
      </c>
    </row>
    <row r="18" spans="2:2" x14ac:dyDescent="0.2">
      <c r="B18" s="27" t="s">
        <v>270</v>
      </c>
    </row>
    <row r="19" spans="2:2" x14ac:dyDescent="0.2">
      <c r="B19" s="27" t="s">
        <v>271</v>
      </c>
    </row>
    <row r="20" spans="2:2" x14ac:dyDescent="0.2">
      <c r="B20" s="27" t="s">
        <v>272</v>
      </c>
    </row>
    <row r="21" spans="2:2" x14ac:dyDescent="0.2">
      <c r="B21" s="27" t="s">
        <v>273</v>
      </c>
    </row>
    <row r="23" spans="2:2" x14ac:dyDescent="0.2">
      <c r="B23" s="28" t="s">
        <v>261</v>
      </c>
    </row>
    <row r="24" spans="2:2" x14ac:dyDescent="0.2">
      <c r="B24" s="27" t="s">
        <v>262</v>
      </c>
    </row>
    <row r="25" spans="2:2" x14ac:dyDescent="0.2">
      <c r="B25" s="27" t="s">
        <v>263</v>
      </c>
    </row>
    <row r="28" spans="2:2" x14ac:dyDescent="0.2">
      <c r="B28" s="28" t="s">
        <v>274</v>
      </c>
    </row>
    <row r="29" spans="2:2" x14ac:dyDescent="0.2">
      <c r="B29" s="27" t="s">
        <v>275</v>
      </c>
    </row>
    <row r="30" spans="2:2" x14ac:dyDescent="0.2">
      <c r="B30" s="27" t="s">
        <v>276</v>
      </c>
    </row>
    <row r="31" spans="2:2" x14ac:dyDescent="0.2">
      <c r="B31" s="27" t="s">
        <v>277</v>
      </c>
    </row>
    <row r="32" spans="2:2" x14ac:dyDescent="0.2">
      <c r="B32" s="27" t="s">
        <v>278</v>
      </c>
    </row>
    <row r="33" spans="2:2" x14ac:dyDescent="0.2">
      <c r="B33" s="27" t="s">
        <v>279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2"/>
  <sheetViews>
    <sheetView zoomScale="145" zoomScaleNormal="145" workbookViewId="0">
      <selection activeCell="F10" sqref="F10"/>
    </sheetView>
  </sheetViews>
  <sheetFormatPr defaultRowHeight="12.75" x14ac:dyDescent="0.2"/>
  <cols>
    <col min="1" max="1" width="3.140625" style="1" customWidth="1"/>
    <col min="2" max="2" width="32.85546875" style="1" customWidth="1"/>
    <col min="3" max="3" width="20.85546875" style="1" customWidth="1"/>
    <col min="4" max="5" width="17.42578125" style="1" customWidth="1"/>
    <col min="6" max="6" width="8.5703125" style="1" bestFit="1" customWidth="1"/>
    <col min="7" max="7" width="17.140625" style="1" customWidth="1"/>
    <col min="8" max="8" width="3.85546875" style="1" customWidth="1"/>
    <col min="9" max="9" width="4.7109375" style="1" customWidth="1"/>
    <col min="10" max="10" width="9.28515625" style="1" customWidth="1"/>
    <col min="11" max="11" width="10.7109375" style="1" customWidth="1"/>
    <col min="12" max="12" width="7.42578125" style="1" customWidth="1"/>
    <col min="13" max="16384" width="9.140625" style="1"/>
  </cols>
  <sheetData>
    <row r="2" spans="2:12" x14ac:dyDescent="0.2">
      <c r="B2" s="2" t="s">
        <v>0</v>
      </c>
      <c r="C2" s="3" t="s">
        <v>1</v>
      </c>
      <c r="D2" s="3" t="s">
        <v>2</v>
      </c>
      <c r="E2" s="3" t="s">
        <v>28</v>
      </c>
      <c r="F2" s="3" t="s">
        <v>25</v>
      </c>
      <c r="G2" s="3" t="s">
        <v>7</v>
      </c>
      <c r="H2" s="4"/>
      <c r="J2" s="1" t="s">
        <v>293</v>
      </c>
      <c r="K2" s="47">
        <v>16.18</v>
      </c>
    </row>
    <row r="3" spans="2:12" x14ac:dyDescent="0.2">
      <c r="B3" s="20" t="s">
        <v>6</v>
      </c>
      <c r="C3" s="6" t="s">
        <v>4</v>
      </c>
      <c r="D3" s="7">
        <v>1</v>
      </c>
      <c r="E3" s="7" t="s">
        <v>43</v>
      </c>
      <c r="F3" s="6"/>
      <c r="G3" s="12">
        <v>40118</v>
      </c>
      <c r="H3" s="8"/>
      <c r="J3" s="1" t="s">
        <v>292</v>
      </c>
      <c r="K3" s="14">
        <v>4470</v>
      </c>
    </row>
    <row r="4" spans="2:12" x14ac:dyDescent="0.2">
      <c r="B4" s="5" t="s">
        <v>73</v>
      </c>
      <c r="C4" s="6" t="s">
        <v>41</v>
      </c>
      <c r="D4" s="7">
        <v>1</v>
      </c>
      <c r="E4" s="7" t="s">
        <v>65</v>
      </c>
      <c r="F4" s="6">
        <v>1999</v>
      </c>
      <c r="G4" s="6"/>
      <c r="H4" s="8"/>
      <c r="J4" s="1" t="s">
        <v>48</v>
      </c>
      <c r="K4" s="14">
        <v>1551.8086000000001</v>
      </c>
      <c r="L4" s="53" t="s">
        <v>339</v>
      </c>
    </row>
    <row r="5" spans="2:12" x14ac:dyDescent="0.2">
      <c r="B5" s="25" t="s">
        <v>129</v>
      </c>
      <c r="C5" s="26" t="s">
        <v>130</v>
      </c>
      <c r="D5" s="41" t="s">
        <v>196</v>
      </c>
      <c r="E5" s="7"/>
      <c r="F5" s="6"/>
      <c r="G5" s="6"/>
      <c r="H5" s="8"/>
      <c r="J5" s="1" t="s">
        <v>49</v>
      </c>
      <c r="K5" s="14">
        <f>K3*K4</f>
        <v>6936584.4420000007</v>
      </c>
    </row>
    <row r="6" spans="2:12" x14ac:dyDescent="0.2">
      <c r="B6" s="25" t="s">
        <v>143</v>
      </c>
      <c r="C6" s="26" t="s">
        <v>109</v>
      </c>
      <c r="D6" s="7" t="s">
        <v>193</v>
      </c>
      <c r="E6" s="7"/>
      <c r="F6" s="6"/>
      <c r="G6" s="6"/>
      <c r="H6" s="8"/>
      <c r="J6" s="1" t="s">
        <v>50</v>
      </c>
      <c r="K6" s="14">
        <v>932561</v>
      </c>
      <c r="L6" s="53" t="s">
        <v>339</v>
      </c>
    </row>
    <row r="7" spans="2:12" x14ac:dyDescent="0.2">
      <c r="B7" s="20" t="s">
        <v>23</v>
      </c>
      <c r="C7" s="6" t="s">
        <v>24</v>
      </c>
      <c r="D7" s="7" t="s">
        <v>26</v>
      </c>
      <c r="E7" s="7" t="s">
        <v>44</v>
      </c>
      <c r="F7" s="6">
        <v>1999</v>
      </c>
      <c r="G7" s="26" t="s">
        <v>200</v>
      </c>
      <c r="H7" s="8"/>
      <c r="J7" s="1" t="s">
        <v>51</v>
      </c>
      <c r="K7" s="14">
        <v>5102147</v>
      </c>
      <c r="L7" s="53" t="s">
        <v>339</v>
      </c>
    </row>
    <row r="8" spans="2:12" x14ac:dyDescent="0.2">
      <c r="B8" s="20" t="s">
        <v>189</v>
      </c>
      <c r="C8" s="6" t="s">
        <v>190</v>
      </c>
      <c r="D8" s="41" t="s">
        <v>286</v>
      </c>
      <c r="E8" s="7" t="s">
        <v>42</v>
      </c>
      <c r="F8" s="6"/>
      <c r="G8" s="6"/>
      <c r="H8" s="8"/>
      <c r="J8" s="1" t="s">
        <v>52</v>
      </c>
      <c r="K8" s="14">
        <f>K5-K6+K7</f>
        <v>11106170.442000002</v>
      </c>
    </row>
    <row r="9" spans="2:12" x14ac:dyDescent="0.2">
      <c r="B9" s="56" t="s">
        <v>344</v>
      </c>
      <c r="C9" s="26"/>
      <c r="D9" s="7"/>
      <c r="E9" s="7"/>
      <c r="F9" s="6"/>
      <c r="G9" s="6"/>
      <c r="H9" s="8"/>
    </row>
    <row r="10" spans="2:12" x14ac:dyDescent="0.2">
      <c r="B10" s="56" t="s">
        <v>535</v>
      </c>
      <c r="C10" s="57" t="s">
        <v>35</v>
      </c>
      <c r="D10" s="7"/>
      <c r="E10" s="58" t="s">
        <v>43</v>
      </c>
      <c r="F10" s="6"/>
      <c r="G10" s="6"/>
      <c r="H10" s="8"/>
    </row>
    <row r="11" spans="2:12" x14ac:dyDescent="0.2">
      <c r="B11" s="56" t="s">
        <v>488</v>
      </c>
      <c r="C11" s="57" t="s">
        <v>35</v>
      </c>
      <c r="D11" s="7">
        <v>1</v>
      </c>
      <c r="E11" s="7" t="s">
        <v>343</v>
      </c>
      <c r="F11" s="6"/>
      <c r="G11" s="6"/>
      <c r="H11" s="8"/>
    </row>
    <row r="12" spans="2:12" x14ac:dyDescent="0.2">
      <c r="B12" s="20" t="s">
        <v>392</v>
      </c>
      <c r="C12" s="26" t="s">
        <v>154</v>
      </c>
      <c r="D12" s="41">
        <v>1</v>
      </c>
      <c r="E12" s="41" t="s">
        <v>155</v>
      </c>
      <c r="F12" s="26"/>
      <c r="G12" s="6"/>
      <c r="H12" s="8"/>
    </row>
    <row r="13" spans="2:12" x14ac:dyDescent="0.2">
      <c r="B13" s="25" t="s">
        <v>289</v>
      </c>
      <c r="C13" s="26" t="s">
        <v>282</v>
      </c>
      <c r="D13" s="41" t="s">
        <v>283</v>
      </c>
      <c r="E13" s="58" t="s">
        <v>451</v>
      </c>
      <c r="F13" s="26"/>
      <c r="G13" s="6"/>
      <c r="H13" s="8"/>
    </row>
    <row r="14" spans="2:12" x14ac:dyDescent="0.2">
      <c r="B14" s="5" t="s">
        <v>21</v>
      </c>
      <c r="C14" s="6" t="s">
        <v>22</v>
      </c>
      <c r="D14" s="41" t="s">
        <v>287</v>
      </c>
      <c r="E14" s="7" t="s">
        <v>45</v>
      </c>
      <c r="F14" s="6"/>
      <c r="G14" s="6"/>
      <c r="H14" s="8"/>
      <c r="J14" s="55" t="s">
        <v>403</v>
      </c>
    </row>
    <row r="15" spans="2:12" x14ac:dyDescent="0.2">
      <c r="B15" s="20" t="s">
        <v>236</v>
      </c>
      <c r="C15" s="57" t="s">
        <v>4</v>
      </c>
      <c r="D15" s="58">
        <v>1</v>
      </c>
      <c r="E15" s="58" t="s">
        <v>43</v>
      </c>
      <c r="F15" s="59">
        <v>39814</v>
      </c>
      <c r="G15" s="6"/>
      <c r="H15" s="8"/>
      <c r="J15" s="55" t="s">
        <v>404</v>
      </c>
    </row>
    <row r="16" spans="2:12" x14ac:dyDescent="0.2">
      <c r="B16" s="56" t="s">
        <v>149</v>
      </c>
      <c r="C16" s="57" t="s">
        <v>452</v>
      </c>
      <c r="D16" s="41" t="s">
        <v>97</v>
      </c>
      <c r="E16" s="58" t="s">
        <v>453</v>
      </c>
      <c r="F16" s="42"/>
      <c r="G16" s="6"/>
      <c r="H16" s="8"/>
      <c r="K16" s="15"/>
    </row>
    <row r="17" spans="2:11" x14ac:dyDescent="0.2">
      <c r="B17" s="56" t="s">
        <v>396</v>
      </c>
      <c r="C17" s="6" t="s">
        <v>27</v>
      </c>
      <c r="D17" s="7">
        <v>1</v>
      </c>
      <c r="E17" s="58" t="s">
        <v>29</v>
      </c>
      <c r="F17" s="26"/>
      <c r="G17" s="6"/>
      <c r="H17" s="8"/>
      <c r="K17" s="15"/>
    </row>
    <row r="18" spans="2:11" x14ac:dyDescent="0.2">
      <c r="B18" s="56" t="s">
        <v>456</v>
      </c>
      <c r="C18" s="57" t="s">
        <v>171</v>
      </c>
      <c r="D18" s="7"/>
      <c r="E18" s="7"/>
      <c r="F18" s="26"/>
      <c r="G18" s="6"/>
      <c r="H18" s="8"/>
    </row>
    <row r="19" spans="2:11" x14ac:dyDescent="0.2">
      <c r="B19" s="56" t="s">
        <v>459</v>
      </c>
      <c r="C19" s="57" t="s">
        <v>460</v>
      </c>
      <c r="D19" s="7"/>
      <c r="E19" s="7"/>
      <c r="F19" s="26"/>
      <c r="G19" s="6"/>
      <c r="H19" s="8"/>
    </row>
    <row r="20" spans="2:11" x14ac:dyDescent="0.2">
      <c r="B20" s="56" t="s">
        <v>457</v>
      </c>
      <c r="C20" s="57" t="s">
        <v>458</v>
      </c>
      <c r="D20" s="7"/>
      <c r="E20" s="7"/>
      <c r="F20" s="26"/>
      <c r="G20" s="6"/>
      <c r="H20" s="8"/>
    </row>
    <row r="21" spans="2:11" x14ac:dyDescent="0.2">
      <c r="B21" s="56" t="s">
        <v>461</v>
      </c>
      <c r="C21" s="57" t="s">
        <v>458</v>
      </c>
      <c r="D21" s="7"/>
      <c r="E21" s="7"/>
      <c r="F21" s="26"/>
      <c r="G21" s="6"/>
      <c r="H21" s="8"/>
    </row>
    <row r="22" spans="2:11" x14ac:dyDescent="0.2">
      <c r="B22" s="56" t="s">
        <v>454</v>
      </c>
      <c r="C22" s="57" t="s">
        <v>455</v>
      </c>
      <c r="D22" s="7"/>
      <c r="E22" s="7"/>
      <c r="F22" s="26"/>
      <c r="G22" s="6"/>
      <c r="H22" s="8"/>
    </row>
    <row r="23" spans="2:11" x14ac:dyDescent="0.2">
      <c r="B23" s="56" t="s">
        <v>463</v>
      </c>
      <c r="C23" s="57" t="s">
        <v>464</v>
      </c>
      <c r="D23" s="7"/>
      <c r="E23" s="7"/>
      <c r="F23" s="26"/>
      <c r="G23" s="6"/>
      <c r="H23" s="8"/>
    </row>
    <row r="24" spans="2:11" x14ac:dyDescent="0.2">
      <c r="B24" s="56" t="s">
        <v>482</v>
      </c>
      <c r="C24" s="26" t="s">
        <v>130</v>
      </c>
      <c r="D24" s="41">
        <v>1</v>
      </c>
      <c r="E24" s="41" t="s">
        <v>280</v>
      </c>
      <c r="F24" s="26"/>
      <c r="G24" s="6"/>
      <c r="H24" s="8"/>
    </row>
    <row r="25" spans="2:11" x14ac:dyDescent="0.2">
      <c r="B25" s="56" t="s">
        <v>401</v>
      </c>
      <c r="C25" s="26" t="s">
        <v>85</v>
      </c>
      <c r="D25" s="41" t="s">
        <v>86</v>
      </c>
      <c r="E25" s="58" t="s">
        <v>402</v>
      </c>
      <c r="F25" s="26"/>
      <c r="G25" s="6"/>
      <c r="H25" s="8"/>
    </row>
    <row r="26" spans="2:11" x14ac:dyDescent="0.2">
      <c r="B26" s="20" t="s">
        <v>395</v>
      </c>
      <c r="C26" s="57" t="s">
        <v>24</v>
      </c>
      <c r="D26" s="58" t="s">
        <v>288</v>
      </c>
      <c r="E26" s="58" t="s">
        <v>70</v>
      </c>
      <c r="F26" s="18"/>
      <c r="G26" s="6"/>
      <c r="H26" s="8"/>
    </row>
    <row r="27" spans="2:11" x14ac:dyDescent="0.2">
      <c r="B27" s="2"/>
      <c r="C27" s="3"/>
      <c r="D27" s="3"/>
      <c r="E27" s="3"/>
      <c r="F27" s="3" t="s">
        <v>5</v>
      </c>
      <c r="G27" s="3"/>
      <c r="H27" s="4"/>
      <c r="K27" s="14"/>
    </row>
    <row r="28" spans="2:11" x14ac:dyDescent="0.2">
      <c r="B28" s="56" t="s">
        <v>462</v>
      </c>
      <c r="C28" s="57" t="s">
        <v>397</v>
      </c>
      <c r="D28" s="41"/>
      <c r="E28" s="58" t="s">
        <v>398</v>
      </c>
      <c r="F28" s="57" t="s">
        <v>284</v>
      </c>
      <c r="G28" s="6"/>
      <c r="H28" s="8"/>
      <c r="J28" s="1" t="s">
        <v>20</v>
      </c>
      <c r="K28" s="14"/>
    </row>
    <row r="29" spans="2:11" x14ac:dyDescent="0.2">
      <c r="B29" s="56" t="s">
        <v>444</v>
      </c>
      <c r="C29" s="57" t="s">
        <v>445</v>
      </c>
      <c r="D29" s="58" t="s">
        <v>446</v>
      </c>
      <c r="E29" s="58" t="s">
        <v>447</v>
      </c>
      <c r="F29" s="57" t="s">
        <v>64</v>
      </c>
      <c r="G29" s="6"/>
      <c r="H29" s="8"/>
    </row>
    <row r="30" spans="2:11" x14ac:dyDescent="0.2">
      <c r="B30" s="56" t="s">
        <v>448</v>
      </c>
      <c r="C30" s="57" t="s">
        <v>497</v>
      </c>
      <c r="D30" s="58"/>
      <c r="E30" s="58" t="s">
        <v>449</v>
      </c>
      <c r="F30" s="57"/>
      <c r="G30" s="6"/>
      <c r="H30" s="8"/>
    </row>
    <row r="31" spans="2:11" x14ac:dyDescent="0.2">
      <c r="B31" s="56" t="s">
        <v>517</v>
      </c>
      <c r="C31" s="57" t="s">
        <v>518</v>
      </c>
      <c r="D31" s="58"/>
      <c r="E31" s="58" t="s">
        <v>519</v>
      </c>
      <c r="F31" s="57"/>
      <c r="G31" s="6"/>
      <c r="H31" s="8"/>
    </row>
    <row r="32" spans="2:11" x14ac:dyDescent="0.2">
      <c r="B32" s="56" t="s">
        <v>498</v>
      </c>
      <c r="C32" s="57" t="s">
        <v>499</v>
      </c>
      <c r="D32" s="58"/>
      <c r="E32" s="58" t="s">
        <v>500</v>
      </c>
      <c r="F32" s="57"/>
      <c r="G32" s="6"/>
      <c r="H32" s="8"/>
    </row>
    <row r="33" spans="2:8" x14ac:dyDescent="0.2">
      <c r="B33" s="56" t="s">
        <v>515</v>
      </c>
      <c r="C33" s="57" t="s">
        <v>195</v>
      </c>
      <c r="D33" s="58" t="s">
        <v>511</v>
      </c>
      <c r="E33" s="58" t="s">
        <v>516</v>
      </c>
      <c r="F33" s="57" t="s">
        <v>176</v>
      </c>
      <c r="G33" s="6"/>
      <c r="H33" s="8"/>
    </row>
    <row r="34" spans="2:8" x14ac:dyDescent="0.2">
      <c r="B34" s="56" t="s">
        <v>520</v>
      </c>
      <c r="C34" s="57" t="s">
        <v>452</v>
      </c>
      <c r="D34" s="58"/>
      <c r="E34" s="58" t="s">
        <v>452</v>
      </c>
      <c r="F34" s="57"/>
      <c r="G34" s="6"/>
      <c r="H34" s="8"/>
    </row>
    <row r="35" spans="2:8" x14ac:dyDescent="0.2">
      <c r="B35" s="56" t="s">
        <v>504</v>
      </c>
      <c r="C35" s="57" t="s">
        <v>85</v>
      </c>
      <c r="D35" s="58" t="s">
        <v>502</v>
      </c>
      <c r="E35" s="58" t="s">
        <v>505</v>
      </c>
      <c r="F35" s="57" t="s">
        <v>165</v>
      </c>
      <c r="G35" s="6"/>
      <c r="H35" s="8"/>
    </row>
    <row r="36" spans="2:8" x14ac:dyDescent="0.2">
      <c r="B36" s="56" t="s">
        <v>501</v>
      </c>
      <c r="C36" s="57" t="s">
        <v>85</v>
      </c>
      <c r="D36" s="58" t="s">
        <v>502</v>
      </c>
      <c r="E36" s="58" t="s">
        <v>503</v>
      </c>
      <c r="F36" s="57" t="s">
        <v>165</v>
      </c>
      <c r="G36" s="6"/>
      <c r="H36" s="8"/>
    </row>
    <row r="37" spans="2:8" x14ac:dyDescent="0.2">
      <c r="B37" s="56" t="s">
        <v>450</v>
      </c>
      <c r="C37" s="57" t="s">
        <v>514</v>
      </c>
      <c r="D37" s="58">
        <v>1</v>
      </c>
      <c r="E37" s="58" t="s">
        <v>449</v>
      </c>
      <c r="F37" s="57" t="s">
        <v>176</v>
      </c>
      <c r="G37" s="6"/>
      <c r="H37" s="8"/>
    </row>
    <row r="38" spans="2:8" x14ac:dyDescent="0.2">
      <c r="B38" s="56" t="s">
        <v>506</v>
      </c>
      <c r="C38" s="57" t="s">
        <v>507</v>
      </c>
      <c r="D38" s="58" t="s">
        <v>508</v>
      </c>
      <c r="E38" s="58" t="s">
        <v>509</v>
      </c>
      <c r="F38" s="57" t="s">
        <v>165</v>
      </c>
      <c r="G38" s="6"/>
      <c r="H38" s="8"/>
    </row>
    <row r="39" spans="2:8" x14ac:dyDescent="0.2">
      <c r="B39" s="56" t="s">
        <v>510</v>
      </c>
      <c r="C39" s="57" t="s">
        <v>512</v>
      </c>
      <c r="D39" s="58" t="s">
        <v>511</v>
      </c>
      <c r="E39" s="58" t="s">
        <v>513</v>
      </c>
      <c r="F39" s="57" t="s">
        <v>165</v>
      </c>
      <c r="G39" s="6"/>
      <c r="H39" s="8"/>
    </row>
    <row r="40" spans="2:8" x14ac:dyDescent="0.2">
      <c r="B40" s="56" t="s">
        <v>521</v>
      </c>
      <c r="C40" s="57" t="s">
        <v>522</v>
      </c>
      <c r="D40" s="58">
        <v>1</v>
      </c>
      <c r="E40" s="58" t="s">
        <v>523</v>
      </c>
      <c r="F40" s="57"/>
      <c r="G40" s="6"/>
      <c r="H40" s="8"/>
    </row>
    <row r="41" spans="2:8" x14ac:dyDescent="0.2">
      <c r="B41" s="56" t="s">
        <v>524</v>
      </c>
      <c r="C41" s="57" t="s">
        <v>130</v>
      </c>
      <c r="D41" s="58"/>
      <c r="E41" s="58" t="s">
        <v>525</v>
      </c>
      <c r="F41" s="57"/>
      <c r="G41" s="6"/>
      <c r="H41" s="8"/>
    </row>
    <row r="42" spans="2:8" x14ac:dyDescent="0.2">
      <c r="B42" s="56" t="s">
        <v>526</v>
      </c>
      <c r="C42" s="57" t="s">
        <v>528</v>
      </c>
      <c r="D42" s="58"/>
      <c r="E42" s="58" t="s">
        <v>527</v>
      </c>
      <c r="F42" s="57"/>
      <c r="G42" s="6"/>
      <c r="H42" s="8"/>
    </row>
    <row r="43" spans="2:8" x14ac:dyDescent="0.2">
      <c r="B43" s="56" t="s">
        <v>531</v>
      </c>
      <c r="C43" s="57" t="s">
        <v>522</v>
      </c>
      <c r="D43" s="58"/>
      <c r="E43" s="58" t="s">
        <v>532</v>
      </c>
      <c r="F43" s="57"/>
      <c r="G43" s="6"/>
      <c r="H43" s="8"/>
    </row>
    <row r="44" spans="2:8" x14ac:dyDescent="0.2">
      <c r="B44" s="56" t="s">
        <v>529</v>
      </c>
      <c r="C44" s="57" t="s">
        <v>522</v>
      </c>
      <c r="D44" s="58"/>
      <c r="E44" s="58" t="s">
        <v>530</v>
      </c>
      <c r="F44" s="57"/>
      <c r="G44" s="6"/>
      <c r="H44" s="8"/>
    </row>
    <row r="45" spans="2:8" x14ac:dyDescent="0.2">
      <c r="B45" s="56" t="s">
        <v>533</v>
      </c>
      <c r="C45" s="57" t="s">
        <v>522</v>
      </c>
      <c r="D45" s="58"/>
      <c r="E45" s="58" t="s">
        <v>534</v>
      </c>
      <c r="F45" s="57"/>
      <c r="G45" s="6"/>
      <c r="H45" s="8"/>
    </row>
    <row r="46" spans="2:8" x14ac:dyDescent="0.2">
      <c r="B46" s="56" t="s">
        <v>440</v>
      </c>
      <c r="C46" s="57" t="s">
        <v>442</v>
      </c>
      <c r="D46" s="58" t="s">
        <v>441</v>
      </c>
      <c r="E46" s="58" t="s">
        <v>443</v>
      </c>
      <c r="F46" s="57" t="s">
        <v>64</v>
      </c>
      <c r="G46" s="6"/>
      <c r="H46" s="8"/>
    </row>
    <row r="47" spans="2:8" x14ac:dyDescent="0.2">
      <c r="B47" s="66" t="s">
        <v>494</v>
      </c>
      <c r="C47" s="67" t="s">
        <v>495</v>
      </c>
      <c r="D47" s="10">
        <v>1</v>
      </c>
      <c r="E47" s="68" t="s">
        <v>496</v>
      </c>
      <c r="F47" s="29"/>
      <c r="G47" s="9"/>
      <c r="H47" s="11"/>
    </row>
    <row r="49" spans="6:6" x14ac:dyDescent="0.2">
      <c r="F49" s="19" t="s">
        <v>83</v>
      </c>
    </row>
    <row r="50" spans="6:6" x14ac:dyDescent="0.2">
      <c r="F50" s="19" t="s">
        <v>84</v>
      </c>
    </row>
    <row r="51" spans="6:6" x14ac:dyDescent="0.2">
      <c r="F51" s="19" t="s">
        <v>285</v>
      </c>
    </row>
    <row r="52" spans="6:6" x14ac:dyDescent="0.2">
      <c r="F52" s="19" t="s">
        <v>290</v>
      </c>
    </row>
  </sheetData>
  <phoneticPr fontId="3" type="noConversion"/>
  <hyperlinks>
    <hyperlink ref="B26" location="'SYR-322'!A1" display="SYR-322 (alogliptin)" xr:uid="{00000000-0004-0000-0100-000000000000}"/>
    <hyperlink ref="B3" location="Prevacid!A1" display="Prevacid/Takepron" xr:uid="{00000000-0004-0000-0100-000001000000}"/>
    <hyperlink ref="B8" location="Lupron!A1" display="Lupron" xr:uid="{00000000-0004-0000-0100-000002000000}"/>
    <hyperlink ref="B15" location="Dexilant!A1" display="Dexilant" xr:uid="{00000000-0004-0000-0100-000003000000}"/>
    <hyperlink ref="B7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147"/>
  <sheetViews>
    <sheetView tabSelected="1" zoomScale="145" zoomScaleNormal="145" workbookViewId="0">
      <pane xSplit="2" ySplit="3" topLeftCell="CK85" activePane="bottomRight" state="frozen"/>
      <selection pane="topRight" activeCell="C1" sqref="C1"/>
      <selection pane="bottomLeft" activeCell="A5" sqref="A5"/>
      <selection pane="bottomRight" activeCell="CW112" sqref="CW112"/>
    </sheetView>
  </sheetViews>
  <sheetFormatPr defaultRowHeight="12.75" x14ac:dyDescent="0.2"/>
  <cols>
    <col min="1" max="1" width="5" style="1" bestFit="1" customWidth="1"/>
    <col min="2" max="2" width="18.5703125" style="1" customWidth="1"/>
    <col min="3" max="41" width="9.140625" style="30"/>
    <col min="42" max="49" width="8.85546875" style="30" hidden="1" customWidth="1"/>
    <col min="50" max="68" width="8.85546875" style="30" customWidth="1"/>
    <col min="69" max="76" width="9.5703125" style="30" customWidth="1"/>
    <col min="77" max="81" width="9.42578125" style="30" customWidth="1"/>
    <col min="82" max="85" width="8.85546875" style="30" customWidth="1"/>
    <col min="86" max="91" width="9.7109375" style="30" customWidth="1"/>
    <col min="92" max="92" width="8.85546875" style="30" customWidth="1"/>
    <col min="93" max="94" width="9.7109375" style="30" customWidth="1"/>
    <col min="95" max="97" width="9.7109375" style="1" customWidth="1"/>
    <col min="98" max="102" width="10.5703125" style="1" customWidth="1"/>
    <col min="103" max="16384" width="9.140625" style="1"/>
  </cols>
  <sheetData>
    <row r="1" spans="1:114" x14ac:dyDescent="0.2">
      <c r="A1" s="13" t="s">
        <v>10</v>
      </c>
    </row>
    <row r="2" spans="1:114" x14ac:dyDescent="0.2">
      <c r="F2" s="30" t="s">
        <v>235</v>
      </c>
      <c r="G2" s="30" t="s">
        <v>234</v>
      </c>
      <c r="H2" s="30" t="s">
        <v>233</v>
      </c>
      <c r="I2" s="30" t="s">
        <v>232</v>
      </c>
      <c r="J2" s="30" t="s">
        <v>215</v>
      </c>
      <c r="K2" s="30" t="s">
        <v>216</v>
      </c>
      <c r="L2" s="30" t="s">
        <v>217</v>
      </c>
      <c r="M2" s="30" t="s">
        <v>218</v>
      </c>
      <c r="N2" s="30" t="s">
        <v>214</v>
      </c>
      <c r="O2" s="30" t="s">
        <v>213</v>
      </c>
      <c r="P2" s="30" t="s">
        <v>212</v>
      </c>
      <c r="Q2" s="30" t="s">
        <v>211</v>
      </c>
      <c r="R2" s="30" t="s">
        <v>188</v>
      </c>
      <c r="S2" s="30" t="s">
        <v>187</v>
      </c>
      <c r="T2" s="30" t="s">
        <v>198</v>
      </c>
      <c r="U2" s="30" t="s">
        <v>199</v>
      </c>
      <c r="V2" s="30" t="s">
        <v>249</v>
      </c>
      <c r="W2" s="30" t="s">
        <v>250</v>
      </c>
      <c r="X2" s="30" t="s">
        <v>251</v>
      </c>
      <c r="Y2" s="30" t="s">
        <v>252</v>
      </c>
      <c r="Z2" s="30" t="s">
        <v>295</v>
      </c>
      <c r="AA2" s="30" t="s">
        <v>296</v>
      </c>
      <c r="AB2" s="30" t="s">
        <v>297</v>
      </c>
      <c r="AC2" s="30" t="s">
        <v>298</v>
      </c>
      <c r="AD2" s="30" t="s">
        <v>299</v>
      </c>
      <c r="AE2" s="30" t="s">
        <v>300</v>
      </c>
      <c r="AF2" s="30" t="s">
        <v>301</v>
      </c>
      <c r="AG2" s="30" t="s">
        <v>302</v>
      </c>
      <c r="AH2" s="30" t="s">
        <v>303</v>
      </c>
      <c r="AI2" s="30" t="s">
        <v>304</v>
      </c>
      <c r="AJ2" s="30" t="s">
        <v>305</v>
      </c>
      <c r="AK2" s="30" t="s">
        <v>306</v>
      </c>
      <c r="AL2" s="30" t="s">
        <v>307</v>
      </c>
      <c r="AM2" s="30" t="s">
        <v>308</v>
      </c>
      <c r="AN2" s="30" t="s">
        <v>309</v>
      </c>
      <c r="AO2" s="30" t="s">
        <v>310</v>
      </c>
      <c r="AX2" s="30" t="s">
        <v>311</v>
      </c>
      <c r="AY2" s="30" t="s">
        <v>312</v>
      </c>
      <c r="AZ2" s="30" t="s">
        <v>313</v>
      </c>
      <c r="BA2" s="30" t="s">
        <v>314</v>
      </c>
      <c r="BB2" s="30" t="s">
        <v>315</v>
      </c>
      <c r="BC2" s="30" t="s">
        <v>316</v>
      </c>
      <c r="BD2" s="30" t="s">
        <v>317</v>
      </c>
      <c r="BE2" s="30" t="s">
        <v>318</v>
      </c>
      <c r="BF2" s="30" t="s">
        <v>319</v>
      </c>
      <c r="BG2" s="30" t="s">
        <v>320</v>
      </c>
      <c r="BH2" s="30" t="s">
        <v>321</v>
      </c>
      <c r="BI2" s="30" t="s">
        <v>322</v>
      </c>
      <c r="BJ2" s="30" t="s">
        <v>323</v>
      </c>
      <c r="BK2" s="30" t="s">
        <v>324</v>
      </c>
      <c r="BL2" s="30" t="s">
        <v>325</v>
      </c>
      <c r="BM2" s="30" t="s">
        <v>326</v>
      </c>
      <c r="BN2" s="30" t="s">
        <v>327</v>
      </c>
      <c r="BO2" s="30" t="s">
        <v>328</v>
      </c>
      <c r="BP2" s="30" t="s">
        <v>329</v>
      </c>
      <c r="BQ2" s="30" t="s">
        <v>330</v>
      </c>
      <c r="BR2" s="30" t="s">
        <v>331</v>
      </c>
      <c r="BS2" s="30" t="s">
        <v>332</v>
      </c>
      <c r="BT2" s="30" t="s">
        <v>333</v>
      </c>
      <c r="BU2" s="30" t="s">
        <v>334</v>
      </c>
      <c r="BV2" s="30" t="s">
        <v>335</v>
      </c>
      <c r="BW2" s="30" t="s">
        <v>294</v>
      </c>
      <c r="BX2" s="30" t="s">
        <v>336</v>
      </c>
      <c r="BY2" s="30" t="s">
        <v>337</v>
      </c>
      <c r="BZ2" s="30" t="s">
        <v>339</v>
      </c>
      <c r="CA2" s="30" t="s">
        <v>340</v>
      </c>
      <c r="CB2" s="30" t="s">
        <v>341</v>
      </c>
      <c r="CC2" s="30" t="s">
        <v>342</v>
      </c>
      <c r="CH2" s="30" t="s">
        <v>242</v>
      </c>
      <c r="CI2" s="30" t="s">
        <v>241</v>
      </c>
      <c r="CJ2" s="24" t="s">
        <v>224</v>
      </c>
      <c r="CK2" s="24" t="s">
        <v>225</v>
      </c>
      <c r="CL2" s="24" t="s">
        <v>226</v>
      </c>
      <c r="CM2" s="24" t="s">
        <v>227</v>
      </c>
      <c r="CN2" s="24" t="s">
        <v>228</v>
      </c>
      <c r="CO2" s="24" t="s">
        <v>229</v>
      </c>
      <c r="CP2" s="53" t="s">
        <v>405</v>
      </c>
      <c r="CQ2" s="24" t="s">
        <v>406</v>
      </c>
      <c r="CR2" s="24" t="s">
        <v>407</v>
      </c>
      <c r="CS2" s="24" t="s">
        <v>408</v>
      </c>
      <c r="CT2" s="24" t="s">
        <v>409</v>
      </c>
      <c r="CU2" s="24" t="s">
        <v>410</v>
      </c>
      <c r="CV2" s="24" t="s">
        <v>411</v>
      </c>
      <c r="CW2" s="24" t="s">
        <v>412</v>
      </c>
      <c r="CX2" s="24" t="s">
        <v>413</v>
      </c>
      <c r="CY2" s="24" t="s">
        <v>414</v>
      </c>
      <c r="CZ2" s="24" t="s">
        <v>415</v>
      </c>
      <c r="DA2" s="24" t="s">
        <v>416</v>
      </c>
      <c r="DB2" s="24" t="s">
        <v>417</v>
      </c>
      <c r="DC2" s="24" t="s">
        <v>418</v>
      </c>
      <c r="DD2" s="24" t="s">
        <v>419</v>
      </c>
      <c r="DE2" s="24" t="s">
        <v>420</v>
      </c>
      <c r="DF2" s="24" t="s">
        <v>421</v>
      </c>
      <c r="DG2" s="24" t="s">
        <v>422</v>
      </c>
      <c r="DH2" s="24" t="s">
        <v>423</v>
      </c>
      <c r="DI2" s="24" t="s">
        <v>424</v>
      </c>
      <c r="DJ2" s="24" t="s">
        <v>425</v>
      </c>
    </row>
    <row r="3" spans="1:114" x14ac:dyDescent="0.2">
      <c r="C3" s="31">
        <v>38961</v>
      </c>
      <c r="D3" s="44">
        <v>39052</v>
      </c>
      <c r="E3" s="44">
        <v>39142</v>
      </c>
      <c r="F3" s="31">
        <v>39263</v>
      </c>
      <c r="G3" s="31">
        <v>39326</v>
      </c>
      <c r="H3" s="31">
        <v>39417</v>
      </c>
      <c r="I3" s="31">
        <v>39508</v>
      </c>
      <c r="J3" s="31">
        <v>39629</v>
      </c>
      <c r="K3" s="31">
        <v>39692</v>
      </c>
      <c r="L3" s="31">
        <v>39783</v>
      </c>
      <c r="M3" s="31">
        <v>39873</v>
      </c>
      <c r="N3" s="31">
        <v>39994</v>
      </c>
      <c r="O3" s="31">
        <v>40086</v>
      </c>
      <c r="P3" s="31">
        <v>40148</v>
      </c>
      <c r="Q3" s="31">
        <v>40238</v>
      </c>
      <c r="R3" s="31">
        <v>40330</v>
      </c>
      <c r="S3" s="31">
        <v>40451</v>
      </c>
      <c r="T3" s="31">
        <v>40513</v>
      </c>
      <c r="U3" s="31">
        <v>40633</v>
      </c>
      <c r="V3" s="31">
        <v>40705</v>
      </c>
      <c r="W3" s="31">
        <v>40797</v>
      </c>
      <c r="X3" s="31">
        <v>40888</v>
      </c>
      <c r="Y3" s="31">
        <v>40980</v>
      </c>
      <c r="Z3" s="31">
        <v>41090</v>
      </c>
      <c r="AA3" s="31">
        <v>41182</v>
      </c>
      <c r="AB3" s="31">
        <v>41274</v>
      </c>
      <c r="AC3" s="31">
        <v>41364</v>
      </c>
      <c r="AD3" s="31">
        <v>41455</v>
      </c>
      <c r="AE3" s="31">
        <v>41547</v>
      </c>
      <c r="AF3" s="31">
        <v>41639</v>
      </c>
      <c r="AG3" s="31">
        <v>41729</v>
      </c>
      <c r="AH3" s="31">
        <v>41820</v>
      </c>
      <c r="AI3" s="31">
        <v>41912</v>
      </c>
      <c r="AJ3" s="31">
        <v>42004</v>
      </c>
      <c r="AK3" s="31">
        <v>42094</v>
      </c>
      <c r="AL3" s="31">
        <v>42185</v>
      </c>
      <c r="AM3" s="31">
        <v>42277</v>
      </c>
      <c r="AN3" s="31">
        <v>42369</v>
      </c>
      <c r="AO3" s="31">
        <v>42460</v>
      </c>
      <c r="AP3" s="31">
        <v>36951</v>
      </c>
      <c r="AQ3" s="31">
        <v>37316</v>
      </c>
      <c r="AR3" s="31">
        <v>37681</v>
      </c>
      <c r="AS3" s="31">
        <v>38047</v>
      </c>
      <c r="AT3" s="31">
        <v>38412</v>
      </c>
      <c r="AU3" s="31">
        <v>38777</v>
      </c>
      <c r="AV3" s="31">
        <v>39142</v>
      </c>
      <c r="AW3" s="31">
        <v>39508</v>
      </c>
      <c r="AX3" s="31">
        <v>42551</v>
      </c>
      <c r="AY3" s="31">
        <v>42643</v>
      </c>
      <c r="AZ3" s="31">
        <v>42735</v>
      </c>
      <c r="BA3" s="31">
        <v>42825</v>
      </c>
      <c r="BB3" s="31">
        <v>42916</v>
      </c>
      <c r="BC3" s="31">
        <v>43008</v>
      </c>
      <c r="BD3" s="31">
        <v>43100</v>
      </c>
      <c r="BE3" s="31">
        <v>43190</v>
      </c>
      <c r="BF3" s="31">
        <v>43281</v>
      </c>
      <c r="BG3" s="31">
        <v>43373</v>
      </c>
      <c r="BH3" s="31">
        <v>43465</v>
      </c>
      <c r="BI3" s="31">
        <v>43555</v>
      </c>
      <c r="BJ3" s="31">
        <v>43646</v>
      </c>
      <c r="BK3" s="31">
        <v>43738</v>
      </c>
      <c r="BL3" s="31">
        <v>43830</v>
      </c>
      <c r="BM3" s="31">
        <v>43921</v>
      </c>
      <c r="BN3" s="31">
        <v>44012</v>
      </c>
      <c r="BO3" s="31">
        <v>44104</v>
      </c>
      <c r="BP3" s="31">
        <v>44196</v>
      </c>
      <c r="BQ3" s="31">
        <v>44286</v>
      </c>
      <c r="BR3" s="31">
        <v>44377</v>
      </c>
      <c r="BS3" s="31">
        <v>44469</v>
      </c>
      <c r="BT3" s="31">
        <v>44561</v>
      </c>
      <c r="BU3" s="31">
        <v>44651</v>
      </c>
      <c r="BV3" s="31">
        <v>44742</v>
      </c>
      <c r="BW3" s="31">
        <v>44834</v>
      </c>
      <c r="BX3" s="31">
        <v>44926</v>
      </c>
      <c r="BY3" s="31">
        <v>45016</v>
      </c>
      <c r="BZ3" s="31">
        <v>45107</v>
      </c>
      <c r="CA3" s="31">
        <v>45199</v>
      </c>
      <c r="CB3" s="31">
        <v>45291</v>
      </c>
      <c r="CC3" s="31">
        <v>45382</v>
      </c>
      <c r="CD3" s="31"/>
      <c r="CE3" s="31"/>
      <c r="CF3" s="31"/>
      <c r="CG3" s="31"/>
      <c r="CH3" s="31">
        <v>39873</v>
      </c>
      <c r="CI3" s="31">
        <v>40238</v>
      </c>
      <c r="CJ3" s="31">
        <v>40603</v>
      </c>
      <c r="CK3" s="31">
        <v>40969</v>
      </c>
      <c r="CL3" s="31">
        <v>41334</v>
      </c>
      <c r="CM3" s="31">
        <v>41699</v>
      </c>
      <c r="CN3" s="31">
        <v>42065</v>
      </c>
      <c r="CO3" s="31">
        <v>42432</v>
      </c>
      <c r="CP3" s="31">
        <v>42795</v>
      </c>
      <c r="CQ3" s="31">
        <v>43161</v>
      </c>
      <c r="CR3" s="31">
        <v>43527</v>
      </c>
      <c r="CS3" s="31">
        <v>43921</v>
      </c>
      <c r="CT3" s="31">
        <v>44286</v>
      </c>
      <c r="CU3" s="31">
        <v>44651</v>
      </c>
      <c r="CV3" s="31">
        <v>45016</v>
      </c>
      <c r="CW3" s="31">
        <v>45382</v>
      </c>
      <c r="CX3" s="31">
        <v>45747</v>
      </c>
      <c r="CY3" s="31">
        <v>46112</v>
      </c>
      <c r="CZ3" s="31">
        <v>46477</v>
      </c>
      <c r="DA3" s="31">
        <v>46843</v>
      </c>
      <c r="DB3" s="31">
        <v>47208</v>
      </c>
      <c r="DC3" s="31">
        <v>47573</v>
      </c>
      <c r="DD3" s="31">
        <v>47938</v>
      </c>
      <c r="DE3" s="31">
        <v>48304</v>
      </c>
      <c r="DF3" s="31">
        <v>48669</v>
      </c>
      <c r="DG3" s="31">
        <v>49034</v>
      </c>
      <c r="DH3" s="31">
        <v>49399</v>
      </c>
      <c r="DI3" s="31">
        <v>49765</v>
      </c>
      <c r="DJ3" s="64">
        <v>50130</v>
      </c>
    </row>
    <row r="4" spans="1:114" s="55" customFormat="1" x14ac:dyDescent="0.2">
      <c r="B4" s="55" t="s">
        <v>88</v>
      </c>
      <c r="C4" s="69">
        <f>64500-2000</f>
        <v>62500</v>
      </c>
      <c r="D4" s="53"/>
      <c r="E4" s="53"/>
      <c r="F4" s="69">
        <v>33800</v>
      </c>
      <c r="G4" s="69">
        <f>64500-F4</f>
        <v>30700</v>
      </c>
      <c r="H4" s="69">
        <f>95000-G4-F4</f>
        <v>30500</v>
      </c>
      <c r="I4" s="69"/>
      <c r="J4" s="69">
        <f t="shared" ref="J4:U4" si="0">SUM(J5:J8)</f>
        <v>32700</v>
      </c>
      <c r="K4" s="69">
        <f t="shared" si="0"/>
        <v>32300</v>
      </c>
      <c r="L4" s="69">
        <f t="shared" si="0"/>
        <v>32900</v>
      </c>
      <c r="M4" s="69">
        <f t="shared" si="0"/>
        <v>28200</v>
      </c>
      <c r="N4" s="69">
        <f t="shared" si="0"/>
        <v>30200</v>
      </c>
      <c r="O4" s="69">
        <f t="shared" si="0"/>
        <v>29100</v>
      </c>
      <c r="P4" s="69">
        <f t="shared" si="0"/>
        <v>33500</v>
      </c>
      <c r="Q4" s="69">
        <f t="shared" si="0"/>
        <v>29400</v>
      </c>
      <c r="R4" s="69">
        <f t="shared" si="0"/>
        <v>27900</v>
      </c>
      <c r="S4" s="69">
        <f t="shared" si="0"/>
        <v>28100</v>
      </c>
      <c r="T4" s="69">
        <f t="shared" si="0"/>
        <v>32200</v>
      </c>
      <c r="U4" s="69">
        <f t="shared" si="0"/>
        <v>29400</v>
      </c>
      <c r="V4" s="69">
        <f>SUM(V5:V8)</f>
        <v>27900</v>
      </c>
      <c r="W4" s="69">
        <f>SUM(W5:W8)</f>
        <v>28100</v>
      </c>
      <c r="X4" s="69">
        <f>SUM(X5:X8)</f>
        <v>32200</v>
      </c>
      <c r="Y4" s="69">
        <f>SUM(Y5:Y8)</f>
        <v>29400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53"/>
      <c r="AP4" s="69">
        <v>155</v>
      </c>
      <c r="AQ4" s="69">
        <v>180</v>
      </c>
      <c r="AR4" s="69">
        <v>194</v>
      </c>
      <c r="AS4" s="69">
        <v>181</v>
      </c>
      <c r="AT4" s="69"/>
      <c r="AU4" s="69">
        <f>AV4-5200</f>
        <v>122300</v>
      </c>
      <c r="AV4" s="69">
        <v>127500</v>
      </c>
      <c r="AW4" s="69">
        <f>AV4</f>
        <v>127500</v>
      </c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>
        <v>26200</v>
      </c>
      <c r="BS4" s="69">
        <v>27600</v>
      </c>
      <c r="BT4" s="69">
        <v>28400</v>
      </c>
      <c r="BU4" s="69">
        <v>24200</v>
      </c>
      <c r="BV4" s="69">
        <v>28000</v>
      </c>
      <c r="BW4" s="69">
        <v>25700</v>
      </c>
      <c r="BX4" s="69">
        <v>31500</v>
      </c>
      <c r="BY4" s="69">
        <v>26100</v>
      </c>
      <c r="BZ4" s="34">
        <f t="shared" ref="BZ4" si="1">BV4</f>
        <v>28000</v>
      </c>
      <c r="CA4" s="34">
        <f t="shared" ref="CA4" si="2">BW4</f>
        <v>25700</v>
      </c>
      <c r="CB4" s="34">
        <f t="shared" ref="CB4" si="3">BX4</f>
        <v>31500</v>
      </c>
      <c r="CC4" s="34">
        <f t="shared" ref="CC4" si="4">BY4</f>
        <v>26100</v>
      </c>
      <c r="CD4" s="69"/>
      <c r="CE4" s="69"/>
      <c r="CF4" s="69"/>
      <c r="CG4" s="69"/>
      <c r="CH4" s="69">
        <f>SUM(J4:M4)</f>
        <v>126100</v>
      </c>
      <c r="CI4" s="69">
        <f t="shared" ref="CI4:CI10" si="5">SUM(N4:Q4)</f>
        <v>122200</v>
      </c>
      <c r="CJ4" s="69">
        <f>SUM(R4:U4)</f>
        <v>117600</v>
      </c>
      <c r="CK4" s="69">
        <f>SUM(CK5:CK8)</f>
        <v>117600</v>
      </c>
      <c r="CL4" s="69">
        <f>CK4*0.9</f>
        <v>105840</v>
      </c>
      <c r="CM4" s="69">
        <f>CL4*0.9</f>
        <v>95256</v>
      </c>
      <c r="CN4" s="53"/>
      <c r="CO4" s="53"/>
      <c r="CP4" s="53"/>
      <c r="CU4" s="65">
        <f>SUM(BR4:BU4)</f>
        <v>106400</v>
      </c>
      <c r="CV4" s="65">
        <f>SUM(BV4:BY4)</f>
        <v>111300</v>
      </c>
      <c r="CW4" s="65">
        <f>SUM(BZ4:CC4)</f>
        <v>111300</v>
      </c>
    </row>
    <row r="5" spans="1:114" x14ac:dyDescent="0.2">
      <c r="B5" s="1" t="s">
        <v>110</v>
      </c>
      <c r="C5" s="34"/>
      <c r="F5" s="34">
        <v>17500</v>
      </c>
      <c r="G5" s="34">
        <f>33300-F5</f>
        <v>15800</v>
      </c>
      <c r="H5" s="34">
        <v>18900</v>
      </c>
      <c r="I5" s="34">
        <f>66400-H5-G5-F5</f>
        <v>14200</v>
      </c>
      <c r="J5" s="34">
        <v>16500</v>
      </c>
      <c r="K5" s="34">
        <f>32900-J5</f>
        <v>16400</v>
      </c>
      <c r="L5" s="39">
        <v>18400</v>
      </c>
      <c r="M5" s="34">
        <f>66300-L5-K5-J5</f>
        <v>15000</v>
      </c>
      <c r="N5" s="34">
        <v>16400</v>
      </c>
      <c r="O5" s="34">
        <f>33800-N5</f>
        <v>17400</v>
      </c>
      <c r="P5" s="34">
        <f>53000-O5-N5</f>
        <v>19200</v>
      </c>
      <c r="Q5" s="34">
        <f>67100-P5-O5-N5</f>
        <v>14100</v>
      </c>
      <c r="R5" s="34">
        <v>16200</v>
      </c>
      <c r="S5" s="34">
        <f>32600-R5</f>
        <v>16400</v>
      </c>
      <c r="T5" s="34">
        <v>18200</v>
      </c>
      <c r="U5" s="34">
        <f t="shared" ref="U5:Y8" si="6">Q5</f>
        <v>14100</v>
      </c>
      <c r="V5" s="34">
        <f t="shared" si="6"/>
        <v>16200</v>
      </c>
      <c r="W5" s="34">
        <f t="shared" si="6"/>
        <v>16400</v>
      </c>
      <c r="X5" s="34">
        <f t="shared" si="6"/>
        <v>18200</v>
      </c>
      <c r="Y5" s="34">
        <f t="shared" si="6"/>
        <v>14100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P5" s="34"/>
      <c r="AQ5" s="34"/>
      <c r="AR5" s="34"/>
      <c r="AS5" s="34"/>
      <c r="AT5" s="34"/>
      <c r="AU5" s="34"/>
      <c r="AV5" s="34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>
        <f>SUM(J5:M5)</f>
        <v>66300</v>
      </c>
      <c r="CI5" s="39">
        <f t="shared" si="5"/>
        <v>67100</v>
      </c>
      <c r="CJ5" s="39">
        <f>SUM(R5:U5)</f>
        <v>64900</v>
      </c>
      <c r="CK5" s="34">
        <f>SUM(V5:Y5)</f>
        <v>64900</v>
      </c>
      <c r="CL5" s="34"/>
      <c r="CM5" s="34"/>
    </row>
    <row r="6" spans="1:114" x14ac:dyDescent="0.2">
      <c r="B6" s="1" t="s">
        <v>112</v>
      </c>
      <c r="C6" s="34"/>
      <c r="F6" s="34">
        <v>19100</v>
      </c>
      <c r="G6" s="34">
        <f>37300-F6</f>
        <v>18200</v>
      </c>
      <c r="H6" s="34">
        <v>19700</v>
      </c>
      <c r="I6" s="34"/>
      <c r="J6" s="34">
        <v>4400</v>
      </c>
      <c r="K6" s="34">
        <f>9700-J6</f>
        <v>5300</v>
      </c>
      <c r="L6" s="34">
        <v>3700</v>
      </c>
      <c r="M6" s="34">
        <f>17200-L6-K6-J6</f>
        <v>3800</v>
      </c>
      <c r="N6" s="34">
        <v>4000</v>
      </c>
      <c r="O6" s="34">
        <f>6700-N6</f>
        <v>2700</v>
      </c>
      <c r="P6" s="34">
        <f>10300-O6-N6</f>
        <v>3600</v>
      </c>
      <c r="Q6" s="34">
        <f>15800-P6-O6-N6</f>
        <v>5500</v>
      </c>
      <c r="R6" s="34">
        <v>2600</v>
      </c>
      <c r="S6" s="34">
        <f>5700-R6</f>
        <v>3100</v>
      </c>
      <c r="T6" s="34">
        <v>5000</v>
      </c>
      <c r="U6" s="34">
        <f t="shared" si="6"/>
        <v>5500</v>
      </c>
      <c r="V6" s="34">
        <f t="shared" si="6"/>
        <v>2600</v>
      </c>
      <c r="W6" s="34">
        <f t="shared" si="6"/>
        <v>3100</v>
      </c>
      <c r="X6" s="34">
        <f t="shared" si="6"/>
        <v>5000</v>
      </c>
      <c r="Y6" s="34">
        <f t="shared" si="6"/>
        <v>5500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P6" s="34"/>
      <c r="AQ6" s="34"/>
      <c r="AR6" s="34"/>
      <c r="AS6" s="34"/>
      <c r="AT6" s="34"/>
      <c r="AU6" s="34"/>
      <c r="AV6" s="34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>
        <f>SUM(J6:M6)</f>
        <v>17200</v>
      </c>
      <c r="CI6" s="39">
        <f t="shared" si="5"/>
        <v>15800</v>
      </c>
      <c r="CJ6" s="39">
        <f>SUM(R6:U6)</f>
        <v>16200</v>
      </c>
      <c r="CK6" s="34">
        <f>SUM(V6:Y6)</f>
        <v>16200</v>
      </c>
      <c r="CL6" s="34"/>
      <c r="CM6" s="34"/>
    </row>
    <row r="7" spans="1:114" x14ac:dyDescent="0.2">
      <c r="B7" s="1" t="s">
        <v>113</v>
      </c>
      <c r="C7" s="34"/>
      <c r="F7" s="34">
        <v>9900</v>
      </c>
      <c r="G7" s="34">
        <f>20200-F7</f>
        <v>10300</v>
      </c>
      <c r="H7" s="34">
        <v>10200</v>
      </c>
      <c r="I7" s="34"/>
      <c r="J7" s="34">
        <v>11100</v>
      </c>
      <c r="K7" s="34">
        <f>21100-J7</f>
        <v>10000</v>
      </c>
      <c r="L7" s="34">
        <v>10000</v>
      </c>
      <c r="M7" s="34">
        <f>39800-L7-K7-J7</f>
        <v>8700</v>
      </c>
      <c r="N7" s="34">
        <v>9000</v>
      </c>
      <c r="O7" s="34">
        <f>17200-N7</f>
        <v>8200</v>
      </c>
      <c r="P7" s="34">
        <f>27100-O7-N7</f>
        <v>9900</v>
      </c>
      <c r="Q7" s="34">
        <f>36200-P7-O7-N7</f>
        <v>9100</v>
      </c>
      <c r="R7" s="34">
        <v>8000</v>
      </c>
      <c r="S7" s="34">
        <f>15500-R7</f>
        <v>7500</v>
      </c>
      <c r="T7" s="34">
        <v>7700</v>
      </c>
      <c r="U7" s="34">
        <f t="shared" si="6"/>
        <v>9100</v>
      </c>
      <c r="V7" s="34">
        <f t="shared" si="6"/>
        <v>8000</v>
      </c>
      <c r="W7" s="34">
        <f t="shared" si="6"/>
        <v>7500</v>
      </c>
      <c r="X7" s="34">
        <f t="shared" si="6"/>
        <v>7700</v>
      </c>
      <c r="Y7" s="34">
        <f t="shared" si="6"/>
        <v>9100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P7" s="34"/>
      <c r="AQ7" s="34"/>
      <c r="AR7" s="34"/>
      <c r="AS7" s="34"/>
      <c r="AT7" s="34"/>
      <c r="AU7" s="34"/>
      <c r="AV7" s="34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>
        <f>SUM(J7:M7)</f>
        <v>39800</v>
      </c>
      <c r="CI7" s="39">
        <f t="shared" si="5"/>
        <v>36200</v>
      </c>
      <c r="CJ7" s="39">
        <f>SUM(R7:U7)</f>
        <v>32300</v>
      </c>
      <c r="CK7" s="34">
        <f>SUM(V7:Y7)</f>
        <v>32300</v>
      </c>
      <c r="CL7" s="34"/>
      <c r="CM7" s="34"/>
    </row>
    <row r="8" spans="1:114" x14ac:dyDescent="0.2">
      <c r="B8" s="1" t="s">
        <v>114</v>
      </c>
      <c r="C8" s="34"/>
      <c r="F8" s="34">
        <v>1000</v>
      </c>
      <c r="G8" s="34">
        <f>2000-F8</f>
        <v>1000</v>
      </c>
      <c r="H8" s="34">
        <v>900</v>
      </c>
      <c r="I8" s="34"/>
      <c r="J8" s="34">
        <v>700</v>
      </c>
      <c r="K8" s="34">
        <f>1300-J8</f>
        <v>600</v>
      </c>
      <c r="L8" s="34">
        <v>800</v>
      </c>
      <c r="M8" s="34">
        <f>2800-L8-K8-J8</f>
        <v>700</v>
      </c>
      <c r="N8" s="34">
        <v>800</v>
      </c>
      <c r="O8" s="34">
        <f>1600-N8</f>
        <v>800</v>
      </c>
      <c r="P8" s="34">
        <f>2400-O8-N8</f>
        <v>800</v>
      </c>
      <c r="Q8" s="34">
        <f>3100-P8-O8-N8</f>
        <v>700</v>
      </c>
      <c r="R8" s="34">
        <v>1100</v>
      </c>
      <c r="S8" s="34">
        <f>2200-R8</f>
        <v>1100</v>
      </c>
      <c r="T8" s="34">
        <v>1300</v>
      </c>
      <c r="U8" s="34">
        <f t="shared" si="6"/>
        <v>700</v>
      </c>
      <c r="V8" s="34">
        <f t="shared" si="6"/>
        <v>1100</v>
      </c>
      <c r="W8" s="34">
        <f t="shared" si="6"/>
        <v>1100</v>
      </c>
      <c r="X8" s="34">
        <f t="shared" si="6"/>
        <v>1300</v>
      </c>
      <c r="Y8" s="34">
        <f t="shared" si="6"/>
        <v>700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P8" s="34"/>
      <c r="AQ8" s="34"/>
      <c r="AR8" s="34"/>
      <c r="AS8" s="34"/>
      <c r="AT8" s="34"/>
      <c r="AU8" s="34"/>
      <c r="AV8" s="34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>
        <f>SUM(J8:M8)</f>
        <v>2800</v>
      </c>
      <c r="CI8" s="39">
        <f t="shared" si="5"/>
        <v>3100</v>
      </c>
      <c r="CJ8" s="39">
        <f>SUM(R8:U8)</f>
        <v>4200</v>
      </c>
      <c r="CK8" s="34">
        <f>SUM(V8:Y8)</f>
        <v>4200</v>
      </c>
      <c r="CL8" s="34"/>
      <c r="CM8" s="34"/>
    </row>
    <row r="9" spans="1:114" s="19" customFormat="1" x14ac:dyDescent="0.2">
      <c r="B9" s="23" t="s">
        <v>236</v>
      </c>
      <c r="C9" s="35"/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9">
        <f>7700-R9</f>
        <v>7700</v>
      </c>
      <c r="T9" s="50">
        <v>7800</v>
      </c>
      <c r="U9" s="39">
        <v>8000</v>
      </c>
      <c r="V9" s="39">
        <f>U9</f>
        <v>8000</v>
      </c>
      <c r="W9" s="39">
        <f>V9</f>
        <v>8000</v>
      </c>
      <c r="X9" s="39">
        <f>W9</f>
        <v>8000</v>
      </c>
      <c r="Y9" s="39">
        <f>X9</f>
        <v>8000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6"/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>
        <v>10800</v>
      </c>
      <c r="BS9" s="39">
        <v>14900</v>
      </c>
      <c r="BT9" s="39">
        <v>14400</v>
      </c>
      <c r="BU9" s="39">
        <v>10600</v>
      </c>
      <c r="BV9" s="39">
        <v>22300</v>
      </c>
      <c r="BW9" s="39">
        <v>15700</v>
      </c>
      <c r="BX9" s="39">
        <v>17100</v>
      </c>
      <c r="BY9" s="39">
        <v>14300</v>
      </c>
      <c r="BZ9" s="34">
        <f t="shared" ref="BZ9" si="7">BV9</f>
        <v>22300</v>
      </c>
      <c r="CA9" s="34">
        <f t="shared" ref="CA9" si="8">BW9</f>
        <v>15700</v>
      </c>
      <c r="CB9" s="34">
        <f t="shared" ref="CB9" si="9">BX9</f>
        <v>17100</v>
      </c>
      <c r="CC9" s="34">
        <f t="shared" ref="CC9" si="10">BY9</f>
        <v>14300</v>
      </c>
      <c r="CD9" s="39"/>
      <c r="CE9" s="39"/>
      <c r="CF9" s="39"/>
      <c r="CG9" s="39"/>
      <c r="CH9" s="39">
        <v>0</v>
      </c>
      <c r="CI9" s="39">
        <f t="shared" si="5"/>
        <v>0</v>
      </c>
      <c r="CJ9" s="39">
        <v>40000</v>
      </c>
      <c r="CK9" s="39">
        <f>SUM(V9:Y9)</f>
        <v>32000</v>
      </c>
      <c r="CL9" s="39">
        <v>60000</v>
      </c>
      <c r="CM9" s="39">
        <v>70000</v>
      </c>
      <c r="CN9" s="36"/>
      <c r="CO9" s="36"/>
      <c r="CP9" s="36"/>
      <c r="CU9" s="65">
        <f>SUM(BR9:BU9)</f>
        <v>50700</v>
      </c>
      <c r="CV9" s="65">
        <f>SUM(BV9:BY9)</f>
        <v>69400</v>
      </c>
      <c r="CW9" s="65">
        <f>SUM(BZ9:CC9)</f>
        <v>69400</v>
      </c>
    </row>
    <row r="10" spans="1:114" s="55" customFormat="1" x14ac:dyDescent="0.2">
      <c r="B10" s="55" t="s">
        <v>87</v>
      </c>
      <c r="C10" s="69">
        <f>77600-1000</f>
        <v>76600</v>
      </c>
      <c r="D10" s="53"/>
      <c r="E10" s="53"/>
      <c r="F10" s="69">
        <v>40800</v>
      </c>
      <c r="G10" s="69">
        <f>77600-F10</f>
        <v>36800</v>
      </c>
      <c r="H10" s="69">
        <f>113800-G10-F10</f>
        <v>36200</v>
      </c>
      <c r="I10" s="69"/>
      <c r="J10" s="69">
        <f t="shared" ref="J10:P10" si="11">SUM(J11:J14)</f>
        <v>72500</v>
      </c>
      <c r="K10" s="69">
        <f t="shared" si="11"/>
        <v>76600</v>
      </c>
      <c r="L10" s="69">
        <f t="shared" si="11"/>
        <v>75200</v>
      </c>
      <c r="M10" s="69">
        <f t="shared" si="11"/>
        <v>47000</v>
      </c>
      <c r="N10" s="69">
        <f t="shared" si="11"/>
        <v>70500</v>
      </c>
      <c r="O10" s="69">
        <f t="shared" si="11"/>
        <v>61500</v>
      </c>
      <c r="P10" s="69">
        <f t="shared" si="11"/>
        <v>48300</v>
      </c>
      <c r="Q10" s="69">
        <f>218100-P10-O10-N10</f>
        <v>37800</v>
      </c>
      <c r="R10" s="69">
        <f t="shared" ref="R10:Y10" si="12">SUM(R11:R14)</f>
        <v>38800</v>
      </c>
      <c r="S10" s="69">
        <f t="shared" si="12"/>
        <v>36400</v>
      </c>
      <c r="T10" s="70">
        <f t="shared" si="12"/>
        <v>30800</v>
      </c>
      <c r="U10" s="69">
        <f t="shared" si="12"/>
        <v>22190</v>
      </c>
      <c r="V10" s="69">
        <f t="shared" si="12"/>
        <v>23027.5</v>
      </c>
      <c r="W10" s="69">
        <f t="shared" si="12"/>
        <v>21428.125</v>
      </c>
      <c r="X10" s="69">
        <f t="shared" si="12"/>
        <v>23553.59375</v>
      </c>
      <c r="Y10" s="69">
        <f t="shared" si="12"/>
        <v>17452.6953125</v>
      </c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53"/>
      <c r="AP10" s="69">
        <v>338</v>
      </c>
      <c r="AQ10" s="69">
        <v>421</v>
      </c>
      <c r="AR10" s="69">
        <v>471</v>
      </c>
      <c r="AS10" s="69">
        <v>459</v>
      </c>
      <c r="AT10" s="69"/>
      <c r="AU10" s="69">
        <f>AV10+9100</f>
        <v>159800</v>
      </c>
      <c r="AV10" s="69">
        <v>150700</v>
      </c>
      <c r="AW10" s="69">
        <v>125000</v>
      </c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>
        <f>SUM(J10:M10)</f>
        <v>271300</v>
      </c>
      <c r="CI10" s="69">
        <f t="shared" si="5"/>
        <v>218100</v>
      </c>
      <c r="CJ10" s="69">
        <f>SUM(CJ11:CJ14)</f>
        <v>128190</v>
      </c>
      <c r="CK10" s="69">
        <f>SUM(CK11:CK14)</f>
        <v>85461.9140625</v>
      </c>
      <c r="CL10" s="69">
        <f>CK10*0.5</f>
        <v>42730.95703125</v>
      </c>
      <c r="CM10" s="69">
        <f>CL10*0.5</f>
        <v>21365.478515625</v>
      </c>
      <c r="CN10" s="53"/>
      <c r="CO10" s="53"/>
      <c r="CP10" s="53"/>
      <c r="CU10" s="65"/>
      <c r="CV10" s="65"/>
      <c r="CW10" s="65"/>
    </row>
    <row r="11" spans="1:114" x14ac:dyDescent="0.2">
      <c r="B11" s="1" t="s">
        <v>110</v>
      </c>
      <c r="C11" s="34"/>
      <c r="F11" s="34">
        <v>16100</v>
      </c>
      <c r="G11" s="34">
        <f>31500-F11</f>
        <v>15400</v>
      </c>
      <c r="H11" s="34">
        <v>19000</v>
      </c>
      <c r="I11" s="34"/>
      <c r="J11" s="34">
        <v>17500</v>
      </c>
      <c r="K11" s="34">
        <f>34200-J11</f>
        <v>16700</v>
      </c>
      <c r="L11" s="34">
        <v>20200</v>
      </c>
      <c r="M11" s="34">
        <f>70700-L11-K11-J11</f>
        <v>16300</v>
      </c>
      <c r="N11" s="34">
        <v>18800</v>
      </c>
      <c r="O11" s="34">
        <f>37500-N11</f>
        <v>18700</v>
      </c>
      <c r="P11" s="34">
        <f>58900-O11-N11</f>
        <v>21400</v>
      </c>
      <c r="Q11" s="34">
        <f>74300-P11-O11-N11</f>
        <v>15400</v>
      </c>
      <c r="R11" s="34">
        <v>17200</v>
      </c>
      <c r="S11" s="34">
        <f>34100-R11</f>
        <v>16900</v>
      </c>
      <c r="T11" s="51">
        <v>20000</v>
      </c>
      <c r="U11" s="34">
        <f>Q11*0.95</f>
        <v>14630</v>
      </c>
      <c r="V11" s="34">
        <f>R11</f>
        <v>17200</v>
      </c>
      <c r="W11" s="34">
        <f>S11</f>
        <v>16900</v>
      </c>
      <c r="X11" s="34">
        <f>T11</f>
        <v>20000</v>
      </c>
      <c r="Y11" s="34">
        <f>U11</f>
        <v>14630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>
        <f>SUM(R11:U11)</f>
        <v>68730</v>
      </c>
      <c r="CK11" s="34">
        <f>SUM(V11:Y11)</f>
        <v>68730</v>
      </c>
      <c r="CL11" s="34"/>
      <c r="CM11" s="34"/>
      <c r="CU11" s="65"/>
      <c r="CV11" s="65"/>
      <c r="CW11" s="65"/>
    </row>
    <row r="12" spans="1:114" x14ac:dyDescent="0.2">
      <c r="B12" s="1" t="s">
        <v>112</v>
      </c>
      <c r="C12" s="34"/>
      <c r="F12" s="34">
        <v>71000</v>
      </c>
      <c r="G12" s="34">
        <f>137800-F12</f>
        <v>66800</v>
      </c>
      <c r="H12" s="34">
        <v>62300</v>
      </c>
      <c r="I12" s="34"/>
      <c r="J12" s="34">
        <v>46200</v>
      </c>
      <c r="K12" s="34">
        <f>98600-J12</f>
        <v>52400</v>
      </c>
      <c r="L12" s="34">
        <v>49300</v>
      </c>
      <c r="M12" s="34">
        <f>173100-L12-K12-J12</f>
        <v>25200</v>
      </c>
      <c r="N12" s="34">
        <v>45000</v>
      </c>
      <c r="O12" s="34">
        <f>81900-N12</f>
        <v>36900</v>
      </c>
      <c r="P12" s="34">
        <f>102600-O12-N12</f>
        <v>20700</v>
      </c>
      <c r="Q12" s="34">
        <f>119000-P12-O12-N12</f>
        <v>16400</v>
      </c>
      <c r="R12" s="34">
        <v>16500</v>
      </c>
      <c r="S12" s="34">
        <f>31500-R12</f>
        <v>15000</v>
      </c>
      <c r="T12" s="51">
        <v>5700</v>
      </c>
      <c r="U12" s="34">
        <f>T12*0.7</f>
        <v>3989.9999999999995</v>
      </c>
      <c r="V12" s="34">
        <f t="shared" ref="V12:Y13" si="13">U12*0.75</f>
        <v>2992.4999999999995</v>
      </c>
      <c r="W12" s="34">
        <f t="shared" si="13"/>
        <v>2244.3749999999995</v>
      </c>
      <c r="X12" s="34">
        <f t="shared" si="13"/>
        <v>1683.2812499999995</v>
      </c>
      <c r="Y12" s="34">
        <f t="shared" si="13"/>
        <v>1262.4609374999995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>
        <f>SUM(R12:U12)</f>
        <v>41190</v>
      </c>
      <c r="CK12" s="34">
        <f>SUM(V12:Y12)</f>
        <v>8182.6171874999982</v>
      </c>
      <c r="CL12" s="34"/>
      <c r="CM12" s="34"/>
      <c r="CU12" s="65"/>
      <c r="CV12" s="65"/>
      <c r="CW12" s="65"/>
    </row>
    <row r="13" spans="1:114" x14ac:dyDescent="0.2">
      <c r="B13" s="1" t="s">
        <v>113</v>
      </c>
      <c r="C13" s="34"/>
      <c r="F13" s="34">
        <v>10300</v>
      </c>
      <c r="G13" s="34">
        <f>19300-F13</f>
        <v>9000</v>
      </c>
      <c r="H13" s="34">
        <v>9400</v>
      </c>
      <c r="I13" s="34"/>
      <c r="J13" s="34">
        <v>8000</v>
      </c>
      <c r="K13" s="34">
        <f>14600-J13</f>
        <v>6600</v>
      </c>
      <c r="L13" s="34">
        <v>5000</v>
      </c>
      <c r="M13" s="34">
        <f>24300-L13-K13-J13</f>
        <v>4700</v>
      </c>
      <c r="N13" s="34">
        <v>5800</v>
      </c>
      <c r="O13" s="34">
        <f>10800-N13</f>
        <v>5000</v>
      </c>
      <c r="P13" s="34">
        <f>16000-O13-N13</f>
        <v>5200</v>
      </c>
      <c r="Q13" s="34">
        <f>21200-P13-O13-N13</f>
        <v>5200</v>
      </c>
      <c r="R13" s="34">
        <v>4200</v>
      </c>
      <c r="S13" s="34">
        <f>7800-R13</f>
        <v>3600</v>
      </c>
      <c r="T13" s="51">
        <v>4200</v>
      </c>
      <c r="U13" s="34">
        <f>T13*0.7</f>
        <v>2940</v>
      </c>
      <c r="V13" s="34">
        <f t="shared" si="13"/>
        <v>2205</v>
      </c>
      <c r="W13" s="34">
        <f t="shared" si="13"/>
        <v>1653.75</v>
      </c>
      <c r="X13" s="34">
        <f t="shared" si="13"/>
        <v>1240.3125</v>
      </c>
      <c r="Y13" s="34">
        <f t="shared" si="13"/>
        <v>930.234375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>
        <f>SUM(R13:U13)</f>
        <v>14940</v>
      </c>
      <c r="CK13" s="34">
        <f>SUM(V13:Y13)</f>
        <v>6029.296875</v>
      </c>
      <c r="CL13" s="34"/>
      <c r="CM13" s="34"/>
      <c r="CU13" s="65"/>
      <c r="CV13" s="65"/>
      <c r="CW13" s="65"/>
    </row>
    <row r="14" spans="1:114" x14ac:dyDescent="0.2">
      <c r="B14" s="1" t="s">
        <v>114</v>
      </c>
      <c r="C14" s="34"/>
      <c r="F14" s="34">
        <v>1100</v>
      </c>
      <c r="G14" s="34">
        <f>2000-F14</f>
        <v>900</v>
      </c>
      <c r="H14" s="34">
        <v>1000</v>
      </c>
      <c r="I14" s="34"/>
      <c r="J14" s="34">
        <v>800</v>
      </c>
      <c r="K14" s="34">
        <f>1700-J14</f>
        <v>900</v>
      </c>
      <c r="L14" s="34">
        <v>700</v>
      </c>
      <c r="M14" s="34">
        <f>3200-L14-K14-J14</f>
        <v>800</v>
      </c>
      <c r="N14" s="34">
        <v>900</v>
      </c>
      <c r="O14" s="34">
        <f>1800-N14</f>
        <v>900</v>
      </c>
      <c r="P14" s="34">
        <f>2800-O14-N14</f>
        <v>1000</v>
      </c>
      <c r="Q14" s="34">
        <f>3700-P14-O14-N14</f>
        <v>900</v>
      </c>
      <c r="R14" s="34">
        <v>900</v>
      </c>
      <c r="S14" s="34">
        <f>1800-R14</f>
        <v>900</v>
      </c>
      <c r="T14" s="51">
        <v>900</v>
      </c>
      <c r="U14" s="34">
        <f>T14*0.7</f>
        <v>630</v>
      </c>
      <c r="V14" s="34">
        <f>U14</f>
        <v>630</v>
      </c>
      <c r="W14" s="34">
        <f>V14</f>
        <v>630</v>
      </c>
      <c r="X14" s="34">
        <f>W14</f>
        <v>630</v>
      </c>
      <c r="Y14" s="34">
        <f>X14</f>
        <v>630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>
        <f>SUM(R14:U14)</f>
        <v>3330</v>
      </c>
      <c r="CK14" s="34">
        <f>SUM(V14:Y14)</f>
        <v>2520</v>
      </c>
      <c r="CL14" s="34"/>
      <c r="CM14" s="34"/>
      <c r="CU14" s="65"/>
      <c r="CV14" s="65"/>
      <c r="CW14" s="65"/>
    </row>
    <row r="15" spans="1:114" s="55" customFormat="1" x14ac:dyDescent="0.2">
      <c r="B15" s="55" t="s">
        <v>17</v>
      </c>
      <c r="C15" s="69">
        <f>112800-12300</f>
        <v>100500</v>
      </c>
      <c r="D15" s="53"/>
      <c r="E15" s="53"/>
      <c r="F15" s="69">
        <v>55400</v>
      </c>
      <c r="G15" s="69">
        <f>112800-F15</f>
        <v>57400</v>
      </c>
      <c r="H15" s="69">
        <f>173000-G15-F15</f>
        <v>60200</v>
      </c>
      <c r="I15" s="69"/>
      <c r="J15" s="69">
        <f t="shared" ref="J15:P15" si="14">J16+J17</f>
        <v>60000</v>
      </c>
      <c r="K15" s="69">
        <f t="shared" si="14"/>
        <v>59400</v>
      </c>
      <c r="L15" s="69">
        <f t="shared" si="14"/>
        <v>58500</v>
      </c>
      <c r="M15" s="69">
        <f t="shared" si="14"/>
        <v>52500</v>
      </c>
      <c r="N15" s="69">
        <f t="shared" si="14"/>
        <v>56700</v>
      </c>
      <c r="O15" s="69">
        <f t="shared" si="14"/>
        <v>55800</v>
      </c>
      <c r="P15" s="69">
        <f t="shared" si="14"/>
        <v>57700</v>
      </c>
      <c r="Q15" s="69">
        <f>222000-P15-O15-N15</f>
        <v>51800</v>
      </c>
      <c r="R15" s="69">
        <f>+R16+R17</f>
        <v>56500</v>
      </c>
      <c r="S15" s="69">
        <f>+S16+S17</f>
        <v>52500</v>
      </c>
      <c r="T15" s="69">
        <f>+T16+T17</f>
        <v>57600</v>
      </c>
      <c r="U15" s="69">
        <f>+U16+U17</f>
        <v>40310</v>
      </c>
      <c r="V15" s="69">
        <f>V16+V17</f>
        <v>34831</v>
      </c>
      <c r="W15" s="69">
        <f>W16+W17</f>
        <v>30189.5</v>
      </c>
      <c r="X15" s="69">
        <f>X16+X17</f>
        <v>26243.83</v>
      </c>
      <c r="Y15" s="69">
        <f>Y16+Y17</f>
        <v>22878.071000000004</v>
      </c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53"/>
      <c r="AP15" s="69">
        <v>51000</v>
      </c>
      <c r="AQ15" s="69">
        <v>82000</v>
      </c>
      <c r="AR15" s="69">
        <v>106000</v>
      </c>
      <c r="AS15" s="69">
        <v>141300</v>
      </c>
      <c r="AT15" s="69">
        <v>152400</v>
      </c>
      <c r="AU15" s="69">
        <f>AV15-15300</f>
        <v>190900</v>
      </c>
      <c r="AV15" s="69">
        <v>206200</v>
      </c>
      <c r="AW15" s="69">
        <f>AV15*1.1</f>
        <v>226820.00000000003</v>
      </c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>
        <f>SUM(J15:M15)</f>
        <v>230400</v>
      </c>
      <c r="CI15" s="69">
        <f>SUM(N15:Q15)</f>
        <v>222000</v>
      </c>
      <c r="CJ15" s="69">
        <f>CJ16+CJ17</f>
        <v>206910</v>
      </c>
      <c r="CK15" s="69">
        <f>CK16+CK17</f>
        <v>114142.40100000001</v>
      </c>
      <c r="CL15" s="69">
        <f>CK15*0.5</f>
        <v>57071.200500000006</v>
      </c>
      <c r="CM15" s="69">
        <f>CL15*0.5</f>
        <v>28535.600250000003</v>
      </c>
      <c r="CN15" s="53"/>
      <c r="CO15" s="53"/>
      <c r="CP15" s="53"/>
      <c r="CU15" s="65"/>
      <c r="CV15" s="65"/>
      <c r="CW15" s="65"/>
    </row>
    <row r="16" spans="1:114" x14ac:dyDescent="0.2">
      <c r="B16" s="1" t="s">
        <v>110</v>
      </c>
      <c r="C16" s="34"/>
      <c r="F16" s="34">
        <v>36000</v>
      </c>
      <c r="G16" s="34">
        <f>68600-F16</f>
        <v>32600</v>
      </c>
      <c r="H16" s="34">
        <v>40200</v>
      </c>
      <c r="I16" s="34"/>
      <c r="J16" s="34">
        <v>34700</v>
      </c>
      <c r="K16" s="34">
        <f>67600-J16</f>
        <v>32900</v>
      </c>
      <c r="L16" s="34">
        <v>38100</v>
      </c>
      <c r="M16" s="34">
        <f>137900-L16-K16-J16</f>
        <v>32200</v>
      </c>
      <c r="N16" s="34">
        <v>34200</v>
      </c>
      <c r="O16" s="34">
        <f>68400-N16</f>
        <v>34200</v>
      </c>
      <c r="P16" s="34">
        <f>107500-O16-N16</f>
        <v>39100</v>
      </c>
      <c r="Q16" s="34">
        <f>136200-P16-O16-N16</f>
        <v>28700</v>
      </c>
      <c r="R16" s="34">
        <v>34600</v>
      </c>
      <c r="S16" s="34">
        <f>67700-R16</f>
        <v>33100</v>
      </c>
      <c r="T16" s="34">
        <v>39500</v>
      </c>
      <c r="U16" s="34">
        <f>Q16*0.9</f>
        <v>25830</v>
      </c>
      <c r="V16" s="34">
        <f>U16*0.9</f>
        <v>23247</v>
      </c>
      <c r="W16" s="34">
        <f>V16*0.9</f>
        <v>20922.3</v>
      </c>
      <c r="X16" s="34">
        <f>W16*0.9</f>
        <v>18830.07</v>
      </c>
      <c r="Y16" s="34">
        <f>X16*0.9</f>
        <v>16947.063000000002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>
        <f>SUM(R16:U16)</f>
        <v>133030</v>
      </c>
      <c r="CK16" s="34">
        <f>SUM(V16:Y16)</f>
        <v>79946.433000000005</v>
      </c>
      <c r="CL16" s="34"/>
      <c r="CM16" s="34"/>
      <c r="CU16" s="65"/>
      <c r="CV16" s="65"/>
      <c r="CW16" s="65"/>
    </row>
    <row r="17" spans="2:101" x14ac:dyDescent="0.2">
      <c r="B17" s="1" t="s">
        <v>112</v>
      </c>
      <c r="C17" s="34"/>
      <c r="F17" s="34">
        <v>19700</v>
      </c>
      <c r="G17" s="34">
        <f>44700-F17</f>
        <v>25000</v>
      </c>
      <c r="H17" s="34">
        <v>20200</v>
      </c>
      <c r="I17" s="34"/>
      <c r="J17" s="34">
        <v>25300</v>
      </c>
      <c r="K17" s="34">
        <f>51800-J17</f>
        <v>26500</v>
      </c>
      <c r="L17" s="34">
        <v>20400</v>
      </c>
      <c r="M17" s="34">
        <f>92500-L17-K17-J17</f>
        <v>20300</v>
      </c>
      <c r="N17" s="34">
        <v>22500</v>
      </c>
      <c r="O17" s="34">
        <f>44100-N17</f>
        <v>21600</v>
      </c>
      <c r="P17" s="34">
        <f>62700-O17-N17</f>
        <v>18600</v>
      </c>
      <c r="Q17" s="34">
        <f>85800-P17-O17-N17</f>
        <v>23100</v>
      </c>
      <c r="R17" s="34">
        <v>21900</v>
      </c>
      <c r="S17" s="34">
        <f>41300-R17</f>
        <v>19400</v>
      </c>
      <c r="T17" s="34">
        <v>18100</v>
      </c>
      <c r="U17" s="34">
        <f>T17*0.8</f>
        <v>14480</v>
      </c>
      <c r="V17" s="34">
        <f>U17*0.8</f>
        <v>11584</v>
      </c>
      <c r="W17" s="34">
        <f>V17*0.8</f>
        <v>9267.2000000000007</v>
      </c>
      <c r="X17" s="34">
        <f>W17*0.8</f>
        <v>7413.7600000000011</v>
      </c>
      <c r="Y17" s="34">
        <f>X17*0.8</f>
        <v>5931.0080000000016</v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>
        <f>SUM(R17:U17)</f>
        <v>73880</v>
      </c>
      <c r="CK17" s="34">
        <f>SUM(V17:Y17)</f>
        <v>34195.968000000008</v>
      </c>
      <c r="CL17" s="34"/>
      <c r="CM17" s="34"/>
      <c r="CU17" s="65"/>
      <c r="CV17" s="65"/>
      <c r="CW17" s="65"/>
    </row>
    <row r="18" spans="2:101" s="55" customFormat="1" x14ac:dyDescent="0.2">
      <c r="B18" s="55" t="s">
        <v>18</v>
      </c>
      <c r="C18" s="69">
        <f>207100-46000</f>
        <v>161100</v>
      </c>
      <c r="D18" s="53"/>
      <c r="E18" s="53"/>
      <c r="F18" s="69">
        <v>106600</v>
      </c>
      <c r="G18" s="69">
        <f>207100-F18</f>
        <v>100500</v>
      </c>
      <c r="H18" s="69">
        <f>312700-G18-F18</f>
        <v>105600</v>
      </c>
      <c r="I18" s="69"/>
      <c r="J18" s="69">
        <f t="shared" ref="J18:P18" si="15">SUM(J19:J22)</f>
        <v>103200</v>
      </c>
      <c r="K18" s="69">
        <f t="shared" si="15"/>
        <v>100000</v>
      </c>
      <c r="L18" s="69">
        <f t="shared" si="15"/>
        <v>94500</v>
      </c>
      <c r="M18" s="69">
        <f t="shared" si="15"/>
        <v>89300</v>
      </c>
      <c r="N18" s="69">
        <f t="shared" si="15"/>
        <v>96400</v>
      </c>
      <c r="O18" s="69">
        <f t="shared" si="15"/>
        <v>98300</v>
      </c>
      <c r="P18" s="69">
        <f t="shared" si="15"/>
        <v>97400</v>
      </c>
      <c r="Q18" s="69">
        <f>384700-P18-O18-N18</f>
        <v>92600</v>
      </c>
      <c r="R18" s="69">
        <f t="shared" ref="R18:Y18" si="16">SUM(R19:R22)</f>
        <v>99500</v>
      </c>
      <c r="S18" s="69">
        <f t="shared" si="16"/>
        <v>96100</v>
      </c>
      <c r="T18" s="69">
        <f t="shared" si="16"/>
        <v>97400</v>
      </c>
      <c r="U18" s="69">
        <f t="shared" si="16"/>
        <v>88902</v>
      </c>
      <c r="V18" s="69">
        <f t="shared" si="16"/>
        <v>86789.16</v>
      </c>
      <c r="W18" s="69">
        <f t="shared" si="16"/>
        <v>84773.296799999996</v>
      </c>
      <c r="X18" s="69">
        <f t="shared" si="16"/>
        <v>82846.998864000008</v>
      </c>
      <c r="Y18" s="69">
        <f t="shared" si="16"/>
        <v>81003.550086720003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53"/>
      <c r="AP18" s="69">
        <v>69</v>
      </c>
      <c r="AQ18" s="69">
        <v>122</v>
      </c>
      <c r="AR18" s="69">
        <v>155</v>
      </c>
      <c r="AS18" s="69">
        <v>178</v>
      </c>
      <c r="AT18" s="69"/>
      <c r="AU18" s="69">
        <f>AV18-92400</f>
        <v>243900</v>
      </c>
      <c r="AV18" s="69">
        <v>336300</v>
      </c>
      <c r="AW18" s="69">
        <f>SUM(F18:I18)</f>
        <v>312700</v>
      </c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>
        <f>SUM(J18:M18)</f>
        <v>387000</v>
      </c>
      <c r="CI18" s="69">
        <f>SUM(N18:Q18)</f>
        <v>384700</v>
      </c>
      <c r="CJ18" s="69">
        <f>SUM(CJ19:CJ22)</f>
        <v>381902</v>
      </c>
      <c r="CK18" s="69">
        <f>SUM(CK19:CK22)</f>
        <v>335413.00575072004</v>
      </c>
      <c r="CL18" s="69">
        <f>CK18*0.5</f>
        <v>167706.50287536002</v>
      </c>
      <c r="CM18" s="69">
        <f>CL18*0.5</f>
        <v>83853.25143768001</v>
      </c>
      <c r="CN18" s="53">
        <v>0</v>
      </c>
      <c r="CO18" s="53"/>
      <c r="CP18" s="53"/>
      <c r="CU18" s="65"/>
      <c r="CV18" s="65"/>
      <c r="CW18" s="65"/>
    </row>
    <row r="19" spans="2:101" x14ac:dyDescent="0.2">
      <c r="B19" s="1" t="s">
        <v>110</v>
      </c>
      <c r="C19" s="34"/>
      <c r="F19" s="34">
        <v>10300</v>
      </c>
      <c r="G19" s="34">
        <f>20100-F19</f>
        <v>9800</v>
      </c>
      <c r="H19" s="34">
        <v>12000</v>
      </c>
      <c r="I19" s="34"/>
      <c r="J19" s="34">
        <v>12000</v>
      </c>
      <c r="K19" s="34">
        <f>23700-J19</f>
        <v>11700</v>
      </c>
      <c r="L19" s="34">
        <v>13900</v>
      </c>
      <c r="M19" s="34">
        <f>48800-L19-K19-J19</f>
        <v>11200</v>
      </c>
      <c r="N19" s="34">
        <v>13300</v>
      </c>
      <c r="O19" s="34">
        <f>26500-N19</f>
        <v>13200</v>
      </c>
      <c r="P19" s="34">
        <f>41900-O19-N19</f>
        <v>15400</v>
      </c>
      <c r="Q19" s="34">
        <f>52700-P19-O19-N19</f>
        <v>10800</v>
      </c>
      <c r="R19" s="34">
        <v>12300</v>
      </c>
      <c r="S19" s="34">
        <f>24400-R19</f>
        <v>12100</v>
      </c>
      <c r="T19" s="34">
        <v>13100</v>
      </c>
      <c r="U19" s="34">
        <f>Q19*0.9</f>
        <v>9720</v>
      </c>
      <c r="V19" s="34">
        <f>U19</f>
        <v>9720</v>
      </c>
      <c r="W19" s="34">
        <f>V19</f>
        <v>9720</v>
      </c>
      <c r="X19" s="34">
        <f>W19</f>
        <v>9720</v>
      </c>
      <c r="Y19" s="34">
        <f>X19</f>
        <v>9720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9">
        <f>SUM(N19:Q19)</f>
        <v>52700</v>
      </c>
      <c r="CJ19" s="39">
        <f>SUM(R19:U19)</f>
        <v>47220</v>
      </c>
      <c r="CK19" s="34">
        <f>SUM(V19:Y19)</f>
        <v>38880</v>
      </c>
      <c r="CL19" s="34">
        <f>CK19*0.9</f>
        <v>34992</v>
      </c>
      <c r="CM19" s="34">
        <f>CL19*0.9</f>
        <v>31492.799999999999</v>
      </c>
      <c r="CU19" s="65"/>
      <c r="CV19" s="65"/>
      <c r="CW19" s="65"/>
    </row>
    <row r="20" spans="2:101" x14ac:dyDescent="0.2">
      <c r="B20" s="1" t="s">
        <v>112</v>
      </c>
      <c r="C20" s="34"/>
      <c r="F20" s="34">
        <v>88000</v>
      </c>
      <c r="G20" s="34">
        <f>170600-F20</f>
        <v>82600</v>
      </c>
      <c r="H20" s="34">
        <v>83500</v>
      </c>
      <c r="I20" s="34"/>
      <c r="J20" s="34">
        <v>80600</v>
      </c>
      <c r="K20" s="34">
        <f>159300-J20</f>
        <v>78700</v>
      </c>
      <c r="L20" s="34">
        <v>72100</v>
      </c>
      <c r="M20" s="34">
        <f>301700-L20-K20-J20</f>
        <v>70300</v>
      </c>
      <c r="N20" s="34">
        <v>74200</v>
      </c>
      <c r="O20" s="34">
        <f>150900-N20</f>
        <v>76700</v>
      </c>
      <c r="P20" s="34">
        <f>224100-O20-N20</f>
        <v>73200</v>
      </c>
      <c r="Q20" s="34">
        <f>297000-P20-O20-N20</f>
        <v>72900</v>
      </c>
      <c r="R20" s="34">
        <v>78800</v>
      </c>
      <c r="S20" s="34">
        <f>155100-R20</f>
        <v>76300</v>
      </c>
      <c r="T20" s="34">
        <v>74500</v>
      </c>
      <c r="U20" s="34">
        <f>Q20*0.98</f>
        <v>71442</v>
      </c>
      <c r="V20" s="34">
        <f>U20*0.98</f>
        <v>70013.16</v>
      </c>
      <c r="W20" s="34">
        <f>V20*0.98</f>
        <v>68612.896800000002</v>
      </c>
      <c r="X20" s="34">
        <f>W20*0.98</f>
        <v>67240.638864000008</v>
      </c>
      <c r="Y20" s="34">
        <f>X20*0.98</f>
        <v>65895.826086720001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9">
        <f>SUM(N20:Q20)</f>
        <v>297000</v>
      </c>
      <c r="CJ20" s="39">
        <f>SUM(R20:U20)</f>
        <v>301042</v>
      </c>
      <c r="CK20" s="34">
        <f>SUM(V20:Y20)</f>
        <v>271762.52175072004</v>
      </c>
      <c r="CL20" s="34">
        <f>0.5*CK20</f>
        <v>135881.26087536002</v>
      </c>
      <c r="CM20" s="34">
        <f>CL20*0.25</f>
        <v>33970.315218840005</v>
      </c>
      <c r="CU20" s="65"/>
      <c r="CV20" s="65"/>
      <c r="CW20" s="65"/>
    </row>
    <row r="21" spans="2:101" x14ac:dyDescent="0.2">
      <c r="B21" s="1" t="s">
        <v>113</v>
      </c>
      <c r="C21" s="34"/>
      <c r="F21" s="34">
        <v>7500</v>
      </c>
      <c r="G21" s="34">
        <f>14800-F21</f>
        <v>7300</v>
      </c>
      <c r="H21" s="34">
        <v>9300</v>
      </c>
      <c r="I21" s="34"/>
      <c r="J21" s="34">
        <v>9400</v>
      </c>
      <c r="K21" s="34">
        <f>18000-J21</f>
        <v>8600</v>
      </c>
      <c r="L21" s="34">
        <v>7800</v>
      </c>
      <c r="M21" s="34">
        <f>32800-L21-K21-J21</f>
        <v>7000</v>
      </c>
      <c r="N21" s="34">
        <v>7900</v>
      </c>
      <c r="O21" s="34">
        <f>15500-N21</f>
        <v>7600</v>
      </c>
      <c r="P21" s="34">
        <f>23600-O21-N21</f>
        <v>8100</v>
      </c>
      <c r="Q21" s="34">
        <f>31200-P21-O21-N21</f>
        <v>7600</v>
      </c>
      <c r="R21" s="34">
        <v>7400</v>
      </c>
      <c r="S21" s="34">
        <f>13900-R21</f>
        <v>6500</v>
      </c>
      <c r="T21" s="34">
        <v>8600</v>
      </c>
      <c r="U21" s="34">
        <f>Q21*0.9</f>
        <v>6840</v>
      </c>
      <c r="V21" s="34">
        <f>U21*0.9</f>
        <v>6156</v>
      </c>
      <c r="W21" s="34">
        <f>V21*0.9</f>
        <v>5540.4000000000005</v>
      </c>
      <c r="X21" s="34">
        <f>W21*0.9</f>
        <v>4986.3600000000006</v>
      </c>
      <c r="Y21" s="34">
        <f>X21*0.9</f>
        <v>4487.7240000000011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9">
        <f>SUM(N21:Q21)</f>
        <v>31200</v>
      </c>
      <c r="CJ21" s="39">
        <f>SUM(R21:U21)</f>
        <v>29340</v>
      </c>
      <c r="CK21" s="34">
        <f>SUM(V21:Y21)</f>
        <v>21170.484000000004</v>
      </c>
      <c r="CL21" s="34">
        <f>CK21*0.75</f>
        <v>15877.863000000003</v>
      </c>
      <c r="CM21" s="34">
        <f>CL21*0.5</f>
        <v>7938.9315000000015</v>
      </c>
      <c r="CU21" s="65"/>
      <c r="CV21" s="65"/>
      <c r="CW21" s="65"/>
    </row>
    <row r="22" spans="2:101" x14ac:dyDescent="0.2">
      <c r="B22" s="1" t="s">
        <v>114</v>
      </c>
      <c r="C22" s="34"/>
      <c r="F22" s="34">
        <v>1200</v>
      </c>
      <c r="G22" s="34">
        <f>2300-F22</f>
        <v>1100</v>
      </c>
      <c r="H22" s="34">
        <v>1100</v>
      </c>
      <c r="I22" s="34"/>
      <c r="J22" s="34">
        <v>1200</v>
      </c>
      <c r="K22" s="34">
        <f>2200-J22</f>
        <v>1000</v>
      </c>
      <c r="L22" s="34">
        <v>700</v>
      </c>
      <c r="M22" s="34">
        <f>3700-L22-K22-J22</f>
        <v>800</v>
      </c>
      <c r="N22" s="34">
        <v>1000</v>
      </c>
      <c r="O22" s="34">
        <f>1800-N22</f>
        <v>800</v>
      </c>
      <c r="P22" s="34">
        <f>2500-O22-N22</f>
        <v>700</v>
      </c>
      <c r="Q22" s="34">
        <f>3500-P22-O22-N22</f>
        <v>1000</v>
      </c>
      <c r="R22" s="34">
        <v>1000</v>
      </c>
      <c r="S22" s="34">
        <f>2200-R22</f>
        <v>1200</v>
      </c>
      <c r="T22" s="34">
        <v>1200</v>
      </c>
      <c r="U22" s="34">
        <f>Q22*0.9</f>
        <v>900</v>
      </c>
      <c r="V22" s="34">
        <f t="shared" ref="V22:Y23" si="17">U22</f>
        <v>900</v>
      </c>
      <c r="W22" s="34">
        <f t="shared" si="17"/>
        <v>900</v>
      </c>
      <c r="X22" s="34">
        <f t="shared" si="17"/>
        <v>900</v>
      </c>
      <c r="Y22" s="34">
        <f t="shared" si="17"/>
        <v>900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9">
        <f>SUM(R22:U22)</f>
        <v>4300</v>
      </c>
      <c r="CK22" s="34">
        <f>SUM(V22:Y22)</f>
        <v>3600</v>
      </c>
      <c r="CL22" s="34">
        <f>CK22</f>
        <v>3600</v>
      </c>
      <c r="CM22" s="34">
        <f>CL22*0.75</f>
        <v>2700</v>
      </c>
      <c r="CU22" s="65"/>
      <c r="CV22" s="65"/>
      <c r="CW22" s="65"/>
    </row>
    <row r="23" spans="2:101" x14ac:dyDescent="0.2">
      <c r="B23" s="1" t="s">
        <v>202</v>
      </c>
      <c r="C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9">
        <v>13200</v>
      </c>
      <c r="S23" s="34">
        <f>25600-R23</f>
        <v>12400</v>
      </c>
      <c r="T23" s="34">
        <v>12600</v>
      </c>
      <c r="U23" s="34">
        <f>T23</f>
        <v>12600</v>
      </c>
      <c r="V23" s="34">
        <f t="shared" si="17"/>
        <v>12600</v>
      </c>
      <c r="W23" s="34">
        <f t="shared" si="17"/>
        <v>12600</v>
      </c>
      <c r="X23" s="34">
        <f t="shared" si="17"/>
        <v>12600</v>
      </c>
      <c r="Y23" s="34">
        <f t="shared" si="17"/>
        <v>12600</v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P23" s="34"/>
      <c r="AQ23" s="34"/>
      <c r="AR23" s="34"/>
      <c r="AS23" s="34"/>
      <c r="AT23" s="34"/>
      <c r="AU23" s="34"/>
      <c r="AV23" s="34"/>
      <c r="AW23" s="34">
        <v>37700</v>
      </c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>
        <v>30100</v>
      </c>
      <c r="BS23" s="34">
        <v>25000</v>
      </c>
      <c r="BT23" s="34">
        <v>29300</v>
      </c>
      <c r="BU23" s="34">
        <v>25600</v>
      </c>
      <c r="BV23" s="34">
        <v>16500</v>
      </c>
      <c r="BW23" s="34">
        <v>4300</v>
      </c>
      <c r="BX23" s="34">
        <v>3900</v>
      </c>
      <c r="BY23" s="34">
        <v>3000</v>
      </c>
      <c r="BZ23" s="34">
        <f t="shared" ref="BZ23" si="18">BV23</f>
        <v>16500</v>
      </c>
      <c r="CA23" s="34">
        <f t="shared" ref="CA23" si="19">BW23</f>
        <v>4300</v>
      </c>
      <c r="CB23" s="34">
        <f t="shared" ref="CB23" si="20">BX23</f>
        <v>3900</v>
      </c>
      <c r="CC23" s="34">
        <f t="shared" ref="CC23" si="21">BY23</f>
        <v>3000</v>
      </c>
      <c r="CD23" s="34"/>
      <c r="CE23" s="34"/>
      <c r="CF23" s="34"/>
      <c r="CG23" s="34"/>
      <c r="CH23" s="34">
        <v>46200</v>
      </c>
      <c r="CI23" s="39">
        <f t="shared" ref="CI23:CI39" si="22">SUM(R23:U23)</f>
        <v>50800</v>
      </c>
      <c r="CJ23" s="34">
        <f>CI23</f>
        <v>50800</v>
      </c>
      <c r="CK23" s="34">
        <f>CJ23</f>
        <v>50800</v>
      </c>
      <c r="CL23" s="34">
        <f>CK23</f>
        <v>50800</v>
      </c>
      <c r="CM23" s="34">
        <f>CL23</f>
        <v>50800</v>
      </c>
      <c r="CU23" s="65">
        <f>SUM(BR23:BU23)</f>
        <v>110000</v>
      </c>
      <c r="CV23" s="65">
        <f>SUM(BV23:BY23)</f>
        <v>27700</v>
      </c>
      <c r="CW23" s="65">
        <f>SUM(BZ23:CC23)</f>
        <v>27700</v>
      </c>
    </row>
    <row r="24" spans="2:101" x14ac:dyDescent="0.2">
      <c r="B24" s="1" t="s">
        <v>62</v>
      </c>
      <c r="C24" s="34">
        <f>81000-500</f>
        <v>80500</v>
      </c>
      <c r="F24" s="34">
        <f>13400+24100</f>
        <v>37500</v>
      </c>
      <c r="G24" s="34">
        <f>F24-30500+50500</f>
        <v>57500</v>
      </c>
      <c r="H24" s="34">
        <f>48534+75792-G24-F24</f>
        <v>29326</v>
      </c>
      <c r="I24" s="34"/>
      <c r="J24" s="34">
        <f>14100+23500</f>
        <v>37600</v>
      </c>
      <c r="K24" s="34">
        <f>33900+46800-J24</f>
        <v>43100</v>
      </c>
      <c r="L24" s="34">
        <f>50104+68566-K24-J24</f>
        <v>37970</v>
      </c>
      <c r="M24" s="34">
        <f>64400+89900-L24-K24-J24</f>
        <v>35630</v>
      </c>
      <c r="N24" s="34">
        <f>13300+20800</f>
        <v>34100</v>
      </c>
      <c r="O24" s="34">
        <f>32400+42400-N24</f>
        <v>40700</v>
      </c>
      <c r="P24" s="34">
        <f>47000+65000-N24-O24</f>
        <v>37200</v>
      </c>
      <c r="Q24" s="34">
        <f>58200+90100-P24-O24-N24</f>
        <v>36300</v>
      </c>
      <c r="R24" s="34">
        <v>13834</v>
      </c>
      <c r="S24" s="34">
        <f>31200-R24</f>
        <v>17366</v>
      </c>
      <c r="T24" s="51">
        <f>48400-S24-R24</f>
        <v>17200</v>
      </c>
      <c r="U24" s="34">
        <f>Q24</f>
        <v>36300</v>
      </c>
      <c r="V24" s="34">
        <f>R24</f>
        <v>13834</v>
      </c>
      <c r="W24" s="34">
        <f>S24</f>
        <v>17366</v>
      </c>
      <c r="X24" s="34">
        <f>T24</f>
        <v>17200</v>
      </c>
      <c r="Y24" s="34">
        <f>U24</f>
        <v>36300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W24" s="34">
        <f>H24+G24*2</f>
        <v>144326</v>
      </c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>
        <f>AW24*1.03</f>
        <v>148655.78</v>
      </c>
      <c r="CI24" s="39">
        <f t="shared" si="22"/>
        <v>84700</v>
      </c>
      <c r="CJ24" s="34">
        <f>CI24*1.03</f>
        <v>87241</v>
      </c>
      <c r="CK24" s="34">
        <f>CJ24*1.03</f>
        <v>89858.23</v>
      </c>
      <c r="CL24" s="34">
        <f>CK24*1.03</f>
        <v>92553.976899999994</v>
      </c>
      <c r="CM24" s="34">
        <f>CL24*1.03</f>
        <v>95330.596206999995</v>
      </c>
      <c r="CU24" s="65"/>
      <c r="CV24" s="65"/>
      <c r="CW24" s="65"/>
    </row>
    <row r="25" spans="2:101" x14ac:dyDescent="0.2">
      <c r="B25" s="1" t="s">
        <v>74</v>
      </c>
      <c r="F25" s="34">
        <f>G25</f>
        <v>5625</v>
      </c>
      <c r="G25" s="34">
        <f>90*125/2</f>
        <v>5625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4800</v>
      </c>
      <c r="S25" s="34">
        <f>9800-R25</f>
        <v>5000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U25" s="34">
        <v>5700</v>
      </c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I25" s="39">
        <f t="shared" si="22"/>
        <v>9800</v>
      </c>
      <c r="CU25" s="65"/>
      <c r="CV25" s="65"/>
      <c r="CW25" s="65"/>
    </row>
    <row r="26" spans="2:101" x14ac:dyDescent="0.2">
      <c r="B26" s="1" t="s">
        <v>75</v>
      </c>
      <c r="F26" s="34">
        <f>G26</f>
        <v>3562.5</v>
      </c>
      <c r="G26" s="34">
        <f>57*125/2</f>
        <v>3562.5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U26" s="34">
        <v>10300</v>
      </c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>
        <v>3200</v>
      </c>
      <c r="BS26" s="34">
        <v>3100</v>
      </c>
      <c r="BT26" s="34">
        <v>3100</v>
      </c>
      <c r="BU26" s="34">
        <v>2200</v>
      </c>
      <c r="BV26" s="34">
        <v>3300</v>
      </c>
      <c r="BW26" s="34">
        <v>3200</v>
      </c>
      <c r="BX26" s="34">
        <v>1300</v>
      </c>
      <c r="BY26" s="34">
        <v>900</v>
      </c>
      <c r="BZ26" s="34">
        <f t="shared" ref="BZ26" si="23">BV26</f>
        <v>3300</v>
      </c>
      <c r="CA26" s="34">
        <f t="shared" ref="CA26" si="24">BW26</f>
        <v>3200</v>
      </c>
      <c r="CB26" s="34">
        <f t="shared" ref="CB26" si="25">BX26</f>
        <v>1300</v>
      </c>
      <c r="CC26" s="34">
        <f t="shared" ref="CC26" si="26">BY26</f>
        <v>900</v>
      </c>
      <c r="CD26" s="34"/>
      <c r="CE26" s="34"/>
      <c r="CF26" s="34"/>
      <c r="CG26" s="34"/>
      <c r="CI26" s="39">
        <f t="shared" si="22"/>
        <v>0</v>
      </c>
      <c r="CU26" s="65">
        <f t="shared" ref="CU25:CU45" si="27">SUM(BR26:BU26)</f>
        <v>11600</v>
      </c>
      <c r="CV26" s="65">
        <f t="shared" ref="CV25:CV45" si="28">SUM(BV26:BY26)</f>
        <v>8700</v>
      </c>
      <c r="CW26" s="65">
        <f t="shared" ref="CW25:CW45" si="29">SUM(BZ26:CC26)</f>
        <v>8700</v>
      </c>
    </row>
    <row r="27" spans="2:101" x14ac:dyDescent="0.2">
      <c r="B27" s="1" t="s">
        <v>76</v>
      </c>
      <c r="F27" s="34">
        <f>G27</f>
        <v>13550</v>
      </c>
      <c r="G27" s="34">
        <v>13550</v>
      </c>
      <c r="H27" s="34">
        <f>42100-G27-F27</f>
        <v>15000</v>
      </c>
      <c r="I27" s="34"/>
      <c r="J27" s="34">
        <v>12600</v>
      </c>
      <c r="K27" s="34">
        <f>24100-J27</f>
        <v>11500</v>
      </c>
      <c r="L27" s="34">
        <v>13000</v>
      </c>
      <c r="M27" s="34">
        <f>47100-L27-K27-J27</f>
        <v>10000</v>
      </c>
      <c r="N27" s="34">
        <v>11500</v>
      </c>
      <c r="O27" s="34">
        <f>22600-N27</f>
        <v>11100</v>
      </c>
      <c r="P27" s="34">
        <f>34900-O27-N27</f>
        <v>12300</v>
      </c>
      <c r="Q27" s="34">
        <f>43000-P27-O27-N27</f>
        <v>8100</v>
      </c>
      <c r="R27" s="34">
        <v>8800</v>
      </c>
      <c r="S27" s="34">
        <f>16900-R27</f>
        <v>8100</v>
      </c>
      <c r="T27" s="34">
        <v>8900</v>
      </c>
      <c r="U27" s="34">
        <f t="shared" ref="U27:U39" si="30">Q27*0.9</f>
        <v>7290</v>
      </c>
      <c r="V27" s="34">
        <f t="shared" ref="V27:Y29" si="31">U27</f>
        <v>7290</v>
      </c>
      <c r="W27" s="34">
        <f t="shared" si="31"/>
        <v>7290</v>
      </c>
      <c r="X27" s="34">
        <f t="shared" si="31"/>
        <v>7290</v>
      </c>
      <c r="Y27" s="34">
        <f t="shared" si="31"/>
        <v>7290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CI27" s="39">
        <f t="shared" si="22"/>
        <v>33090</v>
      </c>
      <c r="CJ27" s="34">
        <f>CI27</f>
        <v>33090</v>
      </c>
      <c r="CK27" s="34">
        <f>CJ27</f>
        <v>33090</v>
      </c>
      <c r="CL27" s="34">
        <f>CK27</f>
        <v>33090</v>
      </c>
      <c r="CM27" s="34">
        <f>CL27</f>
        <v>33090</v>
      </c>
      <c r="CU27" s="65"/>
      <c r="CV27" s="65"/>
      <c r="CW27" s="65"/>
    </row>
    <row r="28" spans="2:101" x14ac:dyDescent="0.2">
      <c r="B28" s="1" t="s">
        <v>248</v>
      </c>
      <c r="F28" s="34"/>
      <c r="G28" s="34"/>
      <c r="H28" s="34">
        <v>5800</v>
      </c>
      <c r="I28" s="34"/>
      <c r="J28" s="34">
        <v>6700</v>
      </c>
      <c r="K28" s="34">
        <f>13000-J28</f>
        <v>6300</v>
      </c>
      <c r="L28" s="34">
        <v>7300</v>
      </c>
      <c r="M28" s="34">
        <f>26300-L28-K28-J28</f>
        <v>6000</v>
      </c>
      <c r="N28" s="34">
        <v>7600</v>
      </c>
      <c r="O28" s="34">
        <f>15600-N28</f>
        <v>8000</v>
      </c>
      <c r="P28" s="34">
        <f>24500-O28-N28</f>
        <v>8900</v>
      </c>
      <c r="Q28" s="34">
        <f>32300-P28-O28-N28</f>
        <v>7800</v>
      </c>
      <c r="R28" s="34">
        <v>9100</v>
      </c>
      <c r="S28" s="34">
        <f>18400-R28</f>
        <v>9300</v>
      </c>
      <c r="T28" s="34">
        <v>11100</v>
      </c>
      <c r="U28" s="34">
        <f t="shared" si="30"/>
        <v>7020</v>
      </c>
      <c r="V28" s="34">
        <f t="shared" si="31"/>
        <v>7020</v>
      </c>
      <c r="W28" s="34">
        <f t="shared" si="31"/>
        <v>7020</v>
      </c>
      <c r="X28" s="34">
        <f t="shared" si="31"/>
        <v>7020</v>
      </c>
      <c r="Y28" s="34">
        <f t="shared" si="31"/>
        <v>7020</v>
      </c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CI28" s="39">
        <f t="shared" si="22"/>
        <v>36520</v>
      </c>
      <c r="CJ28" s="34">
        <f t="shared" ref="CJ28:CM39" si="32">CI28</f>
        <v>36520</v>
      </c>
      <c r="CK28" s="34">
        <f t="shared" si="32"/>
        <v>36520</v>
      </c>
      <c r="CL28" s="34">
        <f t="shared" si="32"/>
        <v>36520</v>
      </c>
      <c r="CM28" s="34">
        <f t="shared" si="32"/>
        <v>36520</v>
      </c>
      <c r="CU28" s="65"/>
      <c r="CV28" s="65"/>
      <c r="CW28" s="65"/>
    </row>
    <row r="29" spans="2:101" x14ac:dyDescent="0.2">
      <c r="B29" s="1" t="s">
        <v>90</v>
      </c>
      <c r="F29" s="34"/>
      <c r="G29" s="34"/>
      <c r="H29" s="34">
        <v>4400</v>
      </c>
      <c r="I29" s="34"/>
      <c r="J29" s="34">
        <v>4000</v>
      </c>
      <c r="K29" s="34">
        <f>8000-J29</f>
        <v>4000</v>
      </c>
      <c r="L29" s="34">
        <v>4700</v>
      </c>
      <c r="M29" s="34">
        <f>16300-L29-K29-J29</f>
        <v>3600</v>
      </c>
      <c r="N29" s="34">
        <v>4400</v>
      </c>
      <c r="O29" s="34">
        <f>8900-N29</f>
        <v>4500</v>
      </c>
      <c r="P29" s="34">
        <f>14000-O29-N29</f>
        <v>5100</v>
      </c>
      <c r="Q29" s="34">
        <f>17900-P29-O29-N29</f>
        <v>3900</v>
      </c>
      <c r="R29" s="34">
        <v>4500</v>
      </c>
      <c r="S29" s="34">
        <f>8800-R29</f>
        <v>4300</v>
      </c>
      <c r="T29" s="34">
        <v>5000</v>
      </c>
      <c r="U29" s="34">
        <f t="shared" si="30"/>
        <v>3510</v>
      </c>
      <c r="V29" s="34">
        <f t="shared" si="31"/>
        <v>3510</v>
      </c>
      <c r="W29" s="34">
        <f t="shared" si="31"/>
        <v>3510</v>
      </c>
      <c r="X29" s="34">
        <f t="shared" si="31"/>
        <v>3510</v>
      </c>
      <c r="Y29" s="34">
        <f t="shared" si="31"/>
        <v>3510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CI29" s="39">
        <f t="shared" si="22"/>
        <v>17310</v>
      </c>
      <c r="CJ29" s="34">
        <f t="shared" si="32"/>
        <v>17310</v>
      </c>
      <c r="CK29" s="34">
        <f t="shared" si="32"/>
        <v>17310</v>
      </c>
      <c r="CL29" s="34">
        <f t="shared" si="32"/>
        <v>17310</v>
      </c>
      <c r="CM29" s="34">
        <f t="shared" si="32"/>
        <v>17310</v>
      </c>
      <c r="CU29" s="65"/>
      <c r="CV29" s="65"/>
      <c r="CW29" s="65"/>
    </row>
    <row r="30" spans="2:101" x14ac:dyDescent="0.2">
      <c r="B30" s="23" t="s">
        <v>186</v>
      </c>
      <c r="F30" s="34"/>
      <c r="G30" s="34"/>
      <c r="H30" s="34"/>
      <c r="I30" s="34"/>
      <c r="J30" s="34">
        <v>3200</v>
      </c>
      <c r="K30" s="34">
        <f>4900-J30</f>
        <v>1700</v>
      </c>
      <c r="L30" s="34">
        <v>1300</v>
      </c>
      <c r="M30" s="34">
        <f>8400-L30-K30-J30</f>
        <v>2200</v>
      </c>
      <c r="N30" s="34">
        <v>3100</v>
      </c>
      <c r="O30" s="34">
        <f>5200-N30</f>
        <v>2100</v>
      </c>
      <c r="P30" s="34">
        <f>5900-O30-N30</f>
        <v>700</v>
      </c>
      <c r="Q30" s="34">
        <f>8200-P30-O30-N30</f>
        <v>2300</v>
      </c>
      <c r="R30" s="34">
        <v>3100</v>
      </c>
      <c r="S30" s="34">
        <f>5000-R30</f>
        <v>1900</v>
      </c>
      <c r="T30" s="51">
        <v>1100</v>
      </c>
      <c r="U30" s="34">
        <f t="shared" si="30"/>
        <v>2070</v>
      </c>
      <c r="V30" s="34">
        <f>R30</f>
        <v>3100</v>
      </c>
      <c r="W30" s="34">
        <f>S30</f>
        <v>1900</v>
      </c>
      <c r="X30" s="34">
        <f>T30</f>
        <v>1100</v>
      </c>
      <c r="Y30" s="34">
        <f>U30</f>
        <v>2070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CI30" s="39">
        <f t="shared" si="22"/>
        <v>8170</v>
      </c>
      <c r="CJ30" s="34">
        <f t="shared" si="32"/>
        <v>8170</v>
      </c>
      <c r="CK30" s="34">
        <f t="shared" si="32"/>
        <v>8170</v>
      </c>
      <c r="CL30" s="34">
        <f t="shared" si="32"/>
        <v>8170</v>
      </c>
      <c r="CM30" s="34">
        <f t="shared" si="32"/>
        <v>8170</v>
      </c>
      <c r="CU30" s="65"/>
      <c r="CV30" s="65"/>
      <c r="CW30" s="65"/>
    </row>
    <row r="31" spans="2:101" x14ac:dyDescent="0.2">
      <c r="B31" s="1" t="s">
        <v>115</v>
      </c>
      <c r="F31" s="34"/>
      <c r="G31" s="34"/>
      <c r="H31" s="34">
        <v>3600</v>
      </c>
      <c r="I31" s="34"/>
      <c r="J31" s="34">
        <v>2400</v>
      </c>
      <c r="K31" s="34">
        <f>4800-J31</f>
        <v>2400</v>
      </c>
      <c r="L31" s="34">
        <v>1600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CI31" s="39">
        <f t="shared" si="22"/>
        <v>0</v>
      </c>
      <c r="CJ31" s="34">
        <f t="shared" si="32"/>
        <v>0</v>
      </c>
      <c r="CK31" s="34">
        <f t="shared" si="32"/>
        <v>0</v>
      </c>
      <c r="CL31" s="34">
        <f t="shared" si="32"/>
        <v>0</v>
      </c>
      <c r="CM31" s="34">
        <f t="shared" si="32"/>
        <v>0</v>
      </c>
      <c r="CU31" s="65"/>
      <c r="CV31" s="65"/>
      <c r="CW31" s="65"/>
    </row>
    <row r="32" spans="2:101" x14ac:dyDescent="0.2">
      <c r="B32" s="23" t="s">
        <v>203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>
        <v>2200</v>
      </c>
      <c r="S32" s="34">
        <f>5300-R32</f>
        <v>3100</v>
      </c>
      <c r="T32" s="34">
        <v>3500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CI32" s="39">
        <f t="shared" si="22"/>
        <v>8800</v>
      </c>
      <c r="CJ32" s="34">
        <f t="shared" si="32"/>
        <v>8800</v>
      </c>
      <c r="CK32" s="34">
        <f t="shared" si="32"/>
        <v>8800</v>
      </c>
      <c r="CL32" s="34">
        <f t="shared" si="32"/>
        <v>8800</v>
      </c>
      <c r="CM32" s="34">
        <f t="shared" si="32"/>
        <v>8800</v>
      </c>
      <c r="CU32" s="65"/>
      <c r="CV32" s="65"/>
      <c r="CW32" s="65"/>
    </row>
    <row r="33" spans="2:101" x14ac:dyDescent="0.2">
      <c r="B33" s="23" t="s">
        <v>145</v>
      </c>
      <c r="F33" s="34"/>
      <c r="G33" s="34"/>
      <c r="H33" s="34"/>
      <c r="I33" s="34"/>
      <c r="J33" s="34">
        <v>2100</v>
      </c>
      <c r="K33" s="34">
        <f>4400-J33</f>
        <v>2300</v>
      </c>
      <c r="L33" s="34">
        <v>2800</v>
      </c>
      <c r="M33" s="34">
        <f>9300-L33-K33-J33</f>
        <v>2100</v>
      </c>
      <c r="N33" s="34">
        <v>2600</v>
      </c>
      <c r="O33" s="34">
        <f>5300-N33</f>
        <v>2700</v>
      </c>
      <c r="P33" s="34">
        <f>8200-O33-N33</f>
        <v>2900</v>
      </c>
      <c r="Q33" s="34">
        <f>10300-P33-O33-N33</f>
        <v>2100</v>
      </c>
      <c r="R33" s="34">
        <v>2700</v>
      </c>
      <c r="S33" s="34">
        <f>5300-R33</f>
        <v>2600</v>
      </c>
      <c r="T33" s="34">
        <v>3000</v>
      </c>
      <c r="U33" s="34">
        <f t="shared" si="30"/>
        <v>1890</v>
      </c>
      <c r="V33" s="34">
        <f t="shared" ref="V33:Y34" si="33">U33</f>
        <v>1890</v>
      </c>
      <c r="W33" s="34">
        <f t="shared" si="33"/>
        <v>1890</v>
      </c>
      <c r="X33" s="34">
        <f t="shared" si="33"/>
        <v>1890</v>
      </c>
      <c r="Y33" s="34">
        <f t="shared" si="33"/>
        <v>1890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CI33" s="39">
        <f t="shared" si="22"/>
        <v>10190</v>
      </c>
      <c r="CJ33" s="34">
        <f t="shared" si="32"/>
        <v>10190</v>
      </c>
      <c r="CK33" s="34">
        <f t="shared" si="32"/>
        <v>10190</v>
      </c>
      <c r="CL33" s="34">
        <f t="shared" si="32"/>
        <v>10190</v>
      </c>
      <c r="CM33" s="34">
        <f t="shared" si="32"/>
        <v>10190</v>
      </c>
      <c r="CU33" s="65"/>
      <c r="CV33" s="65"/>
      <c r="CW33" s="65"/>
    </row>
    <row r="34" spans="2:101" x14ac:dyDescent="0.2">
      <c r="B34" s="1" t="s">
        <v>116</v>
      </c>
      <c r="F34" s="34"/>
      <c r="G34" s="34"/>
      <c r="H34" s="34">
        <v>2600</v>
      </c>
      <c r="I34" s="34"/>
      <c r="J34" s="34">
        <v>3100</v>
      </c>
      <c r="K34" s="34">
        <f>6100-J34</f>
        <v>3000</v>
      </c>
      <c r="L34" s="34">
        <v>3100</v>
      </c>
      <c r="M34" s="34">
        <f>11300-L34-K34-J34</f>
        <v>2100</v>
      </c>
      <c r="N34" s="34">
        <v>2900</v>
      </c>
      <c r="O34" s="34">
        <f>5700-N34</f>
        <v>2800</v>
      </c>
      <c r="P34" s="34">
        <f>8500-O34-N34</f>
        <v>2800</v>
      </c>
      <c r="Q34" s="34">
        <f>10500-P34-O34-N34</f>
        <v>2000</v>
      </c>
      <c r="R34" s="34">
        <v>2400</v>
      </c>
      <c r="S34" s="34">
        <f>4600-R34</f>
        <v>2200</v>
      </c>
      <c r="T34" s="34">
        <v>2200</v>
      </c>
      <c r="U34" s="34">
        <f t="shared" si="30"/>
        <v>1800</v>
      </c>
      <c r="V34" s="34">
        <f t="shared" si="33"/>
        <v>1800</v>
      </c>
      <c r="W34" s="34">
        <f t="shared" si="33"/>
        <v>1800</v>
      </c>
      <c r="X34" s="34">
        <f t="shared" si="33"/>
        <v>1800</v>
      </c>
      <c r="Y34" s="34">
        <f t="shared" si="33"/>
        <v>1800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CI34" s="39">
        <f t="shared" si="22"/>
        <v>8600</v>
      </c>
      <c r="CJ34" s="34">
        <f t="shared" si="32"/>
        <v>8600</v>
      </c>
      <c r="CK34" s="34">
        <f t="shared" si="32"/>
        <v>8600</v>
      </c>
      <c r="CL34" s="34">
        <f t="shared" si="32"/>
        <v>8600</v>
      </c>
      <c r="CM34" s="34">
        <f t="shared" si="32"/>
        <v>8600</v>
      </c>
      <c r="CU34" s="65"/>
      <c r="CV34" s="65"/>
      <c r="CW34" s="65"/>
    </row>
    <row r="35" spans="2:101" x14ac:dyDescent="0.2">
      <c r="B35" s="1" t="s">
        <v>117</v>
      </c>
      <c r="F35" s="34"/>
      <c r="G35" s="34"/>
      <c r="H35" s="34">
        <v>2400</v>
      </c>
      <c r="I35" s="34"/>
      <c r="J35" s="34">
        <v>2000</v>
      </c>
      <c r="K35" s="34">
        <f>3800-J35</f>
        <v>1800</v>
      </c>
      <c r="L35" s="34">
        <v>2100</v>
      </c>
      <c r="M35" s="34">
        <f>7200-L35-K35-J35</f>
        <v>1300</v>
      </c>
      <c r="N35" s="34">
        <v>1500</v>
      </c>
      <c r="O35" s="34">
        <f>2900-N35</f>
        <v>1400</v>
      </c>
      <c r="P35" s="34">
        <f>4300-O35-N35</f>
        <v>1400</v>
      </c>
      <c r="Q35" s="34">
        <f>5200-P35-O35-N35</f>
        <v>900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CI35" s="39">
        <f t="shared" si="22"/>
        <v>0</v>
      </c>
      <c r="CJ35" s="34">
        <f t="shared" si="32"/>
        <v>0</v>
      </c>
      <c r="CK35" s="34">
        <f t="shared" si="32"/>
        <v>0</v>
      </c>
      <c r="CL35" s="34">
        <f t="shared" si="32"/>
        <v>0</v>
      </c>
      <c r="CM35" s="34">
        <f t="shared" si="32"/>
        <v>0</v>
      </c>
      <c r="CU35" s="65"/>
      <c r="CV35" s="65"/>
      <c r="CW35" s="65"/>
    </row>
    <row r="36" spans="2:101" x14ac:dyDescent="0.2">
      <c r="B36" s="1" t="s">
        <v>118</v>
      </c>
      <c r="F36" s="34"/>
      <c r="G36" s="34"/>
      <c r="H36" s="34">
        <v>2200</v>
      </c>
      <c r="I36" s="34"/>
      <c r="J36" s="34">
        <v>2100</v>
      </c>
      <c r="K36" s="34">
        <f>4200-J36</f>
        <v>2100</v>
      </c>
      <c r="L36" s="34">
        <v>2300</v>
      </c>
      <c r="M36" s="34">
        <f>8500-L36-K36-J36</f>
        <v>2000</v>
      </c>
      <c r="N36" s="34">
        <v>2300</v>
      </c>
      <c r="O36" s="34">
        <f>4600-N36</f>
        <v>2300</v>
      </c>
      <c r="P36" s="34">
        <f>7200-O36-N36</f>
        <v>2600</v>
      </c>
      <c r="Q36" s="34">
        <f>9000-P36-O36-N36</f>
        <v>1800</v>
      </c>
      <c r="R36" s="34">
        <v>2400</v>
      </c>
      <c r="S36" s="34">
        <f>4600-R36</f>
        <v>2200</v>
      </c>
      <c r="T36" s="34">
        <v>2500</v>
      </c>
      <c r="U36" s="34">
        <f t="shared" si="30"/>
        <v>1620</v>
      </c>
      <c r="V36" s="34">
        <f>U36</f>
        <v>1620</v>
      </c>
      <c r="W36" s="34">
        <f>V36</f>
        <v>1620</v>
      </c>
      <c r="X36" s="34">
        <f>W36</f>
        <v>1620</v>
      </c>
      <c r="Y36" s="34">
        <f>X36</f>
        <v>1620</v>
      </c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CI36" s="39">
        <f t="shared" si="22"/>
        <v>8720</v>
      </c>
      <c r="CJ36" s="34">
        <f t="shared" si="32"/>
        <v>8720</v>
      </c>
      <c r="CK36" s="34">
        <f t="shared" si="32"/>
        <v>8720</v>
      </c>
      <c r="CL36" s="34">
        <f t="shared" si="32"/>
        <v>8720</v>
      </c>
      <c r="CM36" s="34">
        <f t="shared" si="32"/>
        <v>8720</v>
      </c>
      <c r="CU36" s="65"/>
      <c r="CV36" s="65"/>
      <c r="CW36" s="65"/>
    </row>
    <row r="37" spans="2:101" x14ac:dyDescent="0.2">
      <c r="B37" s="23" t="s">
        <v>204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>
        <f>3600-O37-N37</f>
        <v>3600</v>
      </c>
      <c r="Q37" s="34"/>
      <c r="R37" s="34">
        <v>1300</v>
      </c>
      <c r="S37" s="34">
        <f>2400-R37</f>
        <v>1100</v>
      </c>
      <c r="T37" s="51"/>
      <c r="U37" s="34">
        <f t="shared" si="30"/>
        <v>0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CI37" s="39">
        <f t="shared" si="22"/>
        <v>2400</v>
      </c>
      <c r="CJ37" s="34">
        <f t="shared" si="32"/>
        <v>2400</v>
      </c>
      <c r="CK37" s="34">
        <f t="shared" si="32"/>
        <v>2400</v>
      </c>
      <c r="CL37" s="34">
        <f t="shared" si="32"/>
        <v>2400</v>
      </c>
      <c r="CM37" s="34">
        <f t="shared" si="32"/>
        <v>2400</v>
      </c>
      <c r="CU37" s="65"/>
      <c r="CV37" s="65"/>
      <c r="CW37" s="65"/>
    </row>
    <row r="38" spans="2:101" x14ac:dyDescent="0.2">
      <c r="B38" s="1" t="s">
        <v>119</v>
      </c>
      <c r="F38" s="34"/>
      <c r="G38" s="34"/>
      <c r="H38" s="34">
        <v>2400</v>
      </c>
      <c r="I38" s="34"/>
      <c r="J38" s="34">
        <v>1800</v>
      </c>
      <c r="K38" s="34">
        <f>3100-J38</f>
        <v>1300</v>
      </c>
      <c r="L38" s="34">
        <v>2200</v>
      </c>
      <c r="M38" s="34">
        <f>7200-L38-K38-J38</f>
        <v>1900</v>
      </c>
      <c r="N38" s="34">
        <v>1700</v>
      </c>
      <c r="O38" s="34">
        <f>3100-N38</f>
        <v>1400</v>
      </c>
      <c r="P38" s="34">
        <f>5200-O38-N38</f>
        <v>2100</v>
      </c>
      <c r="Q38" s="34">
        <f>6700-P38-O38-N38</f>
        <v>1500</v>
      </c>
      <c r="R38" s="34">
        <v>1500</v>
      </c>
      <c r="S38" s="34">
        <f>2700-R38</f>
        <v>1200</v>
      </c>
      <c r="T38" s="34">
        <v>1800</v>
      </c>
      <c r="U38" s="34">
        <f t="shared" si="30"/>
        <v>1350</v>
      </c>
      <c r="V38" s="34">
        <f>U38</f>
        <v>1350</v>
      </c>
      <c r="W38" s="34">
        <f>V38</f>
        <v>1350</v>
      </c>
      <c r="X38" s="34">
        <f>W38</f>
        <v>1350</v>
      </c>
      <c r="Y38" s="34">
        <f>X38</f>
        <v>1350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CI38" s="39">
        <f t="shared" si="22"/>
        <v>5850</v>
      </c>
      <c r="CJ38" s="34">
        <f t="shared" si="32"/>
        <v>5850</v>
      </c>
      <c r="CK38" s="34">
        <f t="shared" si="32"/>
        <v>5850</v>
      </c>
      <c r="CL38" s="34">
        <f t="shared" si="32"/>
        <v>5850</v>
      </c>
      <c r="CM38" s="34">
        <f t="shared" si="32"/>
        <v>5850</v>
      </c>
      <c r="CU38" s="65"/>
      <c r="CV38" s="65"/>
      <c r="CW38" s="65"/>
    </row>
    <row r="39" spans="2:101" x14ac:dyDescent="0.2">
      <c r="B39" s="1" t="s">
        <v>120</v>
      </c>
      <c r="F39" s="34"/>
      <c r="G39" s="34"/>
      <c r="H39" s="34">
        <v>1800</v>
      </c>
      <c r="I39" s="34"/>
      <c r="J39" s="34">
        <v>1500</v>
      </c>
      <c r="K39" s="34">
        <f>3000-J39</f>
        <v>1500</v>
      </c>
      <c r="L39" s="34">
        <v>1700</v>
      </c>
      <c r="M39" s="34">
        <f>5900-L39-K39-J39</f>
        <v>1200</v>
      </c>
      <c r="N39" s="34">
        <v>1400</v>
      </c>
      <c r="O39" s="34">
        <f>2800-N39</f>
        <v>1400</v>
      </c>
      <c r="P39" s="34">
        <f>4300-O39-N39</f>
        <v>1500</v>
      </c>
      <c r="Q39" s="34">
        <f>5300-P39-O39-N39</f>
        <v>1000</v>
      </c>
      <c r="R39" s="34">
        <v>1400</v>
      </c>
      <c r="S39" s="34">
        <f>2700-R39</f>
        <v>1300</v>
      </c>
      <c r="T39" s="51"/>
      <c r="U39" s="34">
        <f t="shared" si="30"/>
        <v>900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CI39" s="39">
        <f t="shared" si="22"/>
        <v>3600</v>
      </c>
      <c r="CJ39" s="34">
        <f t="shared" si="32"/>
        <v>3600</v>
      </c>
      <c r="CK39" s="34">
        <f t="shared" si="32"/>
        <v>3600</v>
      </c>
      <c r="CL39" s="34">
        <f t="shared" si="32"/>
        <v>3600</v>
      </c>
      <c r="CM39" s="34">
        <f t="shared" si="32"/>
        <v>3600</v>
      </c>
      <c r="CU39" s="65"/>
      <c r="CV39" s="65"/>
      <c r="CW39" s="65"/>
    </row>
    <row r="40" spans="2:101" x14ac:dyDescent="0.2">
      <c r="B40" s="1" t="s">
        <v>121</v>
      </c>
      <c r="F40" s="34"/>
      <c r="G40" s="34"/>
      <c r="H40" s="34">
        <v>1500</v>
      </c>
      <c r="I40" s="34"/>
      <c r="J40" s="34">
        <v>1300</v>
      </c>
      <c r="K40" s="34">
        <v>1300</v>
      </c>
      <c r="L40" s="34">
        <f>+K40</f>
        <v>1300</v>
      </c>
      <c r="M40" s="34"/>
      <c r="N40" s="34">
        <v>1200</v>
      </c>
      <c r="O40" s="34">
        <f>2400-N40</f>
        <v>1200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CI40" s="39"/>
      <c r="CU40" s="65"/>
      <c r="CV40" s="65"/>
      <c r="CW40" s="65"/>
    </row>
    <row r="41" spans="2:101" x14ac:dyDescent="0.2">
      <c r="B41" s="23" t="s">
        <v>205</v>
      </c>
      <c r="F41" s="34">
        <f>F97-SUM(F4:F27)</f>
        <v>-239204.5</v>
      </c>
      <c r="G41" s="34">
        <f>G97-SUM(G4:G27)</f>
        <v>-259302.5</v>
      </c>
      <c r="H41" s="34">
        <f>H97-SUM(H15:H29)+H4+H10</f>
        <v>47606</v>
      </c>
      <c r="I41" s="34"/>
      <c r="J41" s="34"/>
      <c r="K41" s="34"/>
      <c r="L41" s="34"/>
      <c r="M41" s="34"/>
      <c r="N41" s="34">
        <f>138900-SUM(N27:N40)-N5-N11-N16-N19</f>
        <v>16000</v>
      </c>
      <c r="O41" s="34"/>
      <c r="P41" s="34"/>
      <c r="Q41" s="34"/>
      <c r="R41" s="34">
        <f>140448-SUM(R27:R40)-R5-R11-R16-R19</f>
        <v>20748</v>
      </c>
      <c r="S41" s="34">
        <f>283600-SUM(S27:S40)-S5-S11-S16-S19-R124</f>
        <v>27352</v>
      </c>
      <c r="T41" s="34">
        <f>T124-T5-T11-T16-T19-SUM(T27:T40)</f>
        <v>32400</v>
      </c>
      <c r="U41" s="34">
        <f t="shared" ref="U41:Y45" si="34">T41</f>
        <v>32400</v>
      </c>
      <c r="V41" s="34">
        <f t="shared" si="34"/>
        <v>32400</v>
      </c>
      <c r="W41" s="34">
        <f t="shared" si="34"/>
        <v>32400</v>
      </c>
      <c r="X41" s="34">
        <f t="shared" si="34"/>
        <v>32400</v>
      </c>
      <c r="Y41" s="34">
        <f t="shared" si="34"/>
        <v>32400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W41" s="34">
        <f>AW97-SUM(AW4:AW24)</f>
        <v>400754</v>
      </c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>
        <f>AW41*1.05</f>
        <v>420791.7</v>
      </c>
      <c r="CI41" s="39">
        <f>SUM(R41:U41)</f>
        <v>112900</v>
      </c>
      <c r="CJ41" s="34">
        <f>CI41*1.05</f>
        <v>118545</v>
      </c>
      <c r="CK41" s="34">
        <f>CJ41*1.05</f>
        <v>124472.25</v>
      </c>
      <c r="CL41" s="34">
        <f>CK41*1.05</f>
        <v>130695.8625</v>
      </c>
      <c r="CM41" s="34">
        <f>CL41*1.05</f>
        <v>137230.65562500001</v>
      </c>
      <c r="CU41" s="65"/>
      <c r="CV41" s="65"/>
      <c r="CW41" s="65"/>
    </row>
    <row r="42" spans="2:101" x14ac:dyDescent="0.2">
      <c r="B42" s="23" t="s">
        <v>206</v>
      </c>
      <c r="F42" s="34"/>
      <c r="G42" s="34"/>
      <c r="H42" s="34"/>
      <c r="I42" s="34"/>
      <c r="J42" s="34"/>
      <c r="K42" s="34"/>
      <c r="L42" s="34"/>
      <c r="M42" s="34"/>
      <c r="N42" s="34">
        <f>148100-N20-N17-N12-N6</f>
        <v>2400</v>
      </c>
      <c r="O42" s="34"/>
      <c r="P42" s="34"/>
      <c r="Q42" s="34"/>
      <c r="R42" s="34">
        <f>126000-R20-R17-R12-R6</f>
        <v>6200</v>
      </c>
      <c r="S42" s="34">
        <f>248000-R125-S6-S12-S17-S20</f>
        <v>8200</v>
      </c>
      <c r="T42" s="34">
        <f>T125-T6-T12-T17-T20</f>
        <v>9500</v>
      </c>
      <c r="U42" s="34">
        <f t="shared" si="34"/>
        <v>9500</v>
      </c>
      <c r="V42" s="34">
        <f t="shared" si="34"/>
        <v>9500</v>
      </c>
      <c r="W42" s="34">
        <f t="shared" si="34"/>
        <v>9500</v>
      </c>
      <c r="X42" s="34">
        <f t="shared" si="34"/>
        <v>9500</v>
      </c>
      <c r="Y42" s="34">
        <f t="shared" si="34"/>
        <v>9500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9">
        <f>SUM(R42:U42)</f>
        <v>33400</v>
      </c>
      <c r="CJ42" s="34">
        <f t="shared" ref="CJ42:CM45" si="35">CI42</f>
        <v>33400</v>
      </c>
      <c r="CK42" s="34">
        <f t="shared" si="35"/>
        <v>33400</v>
      </c>
      <c r="CL42" s="34">
        <f t="shared" si="35"/>
        <v>33400</v>
      </c>
      <c r="CM42" s="34">
        <f t="shared" si="35"/>
        <v>33400</v>
      </c>
      <c r="CU42" s="65"/>
      <c r="CV42" s="65"/>
      <c r="CW42" s="65"/>
    </row>
    <row r="43" spans="2:101" x14ac:dyDescent="0.2">
      <c r="B43" s="23" t="s">
        <v>207</v>
      </c>
      <c r="F43" s="34"/>
      <c r="G43" s="34"/>
      <c r="H43" s="34"/>
      <c r="I43" s="34"/>
      <c r="J43" s="34"/>
      <c r="K43" s="34"/>
      <c r="L43" s="34"/>
      <c r="M43" s="34"/>
      <c r="N43" s="34">
        <f>31300-N7-N13-N21</f>
        <v>8600</v>
      </c>
      <c r="O43" s="34"/>
      <c r="P43" s="34"/>
      <c r="Q43" s="34"/>
      <c r="R43" s="34">
        <f>38800-R7-R13-R21</f>
        <v>19200</v>
      </c>
      <c r="S43" s="34">
        <f>73100-R126-S7-S13-S21</f>
        <v>16700</v>
      </c>
      <c r="T43" s="34">
        <f>T126-T7-T13-T21</f>
        <v>16200</v>
      </c>
      <c r="U43" s="34">
        <f t="shared" si="34"/>
        <v>16200</v>
      </c>
      <c r="V43" s="34">
        <f t="shared" si="34"/>
        <v>16200</v>
      </c>
      <c r="W43" s="34">
        <f t="shared" si="34"/>
        <v>16200</v>
      </c>
      <c r="X43" s="34">
        <f t="shared" si="34"/>
        <v>16200</v>
      </c>
      <c r="Y43" s="34">
        <f t="shared" si="34"/>
        <v>16200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9">
        <f>SUM(R43:U43)</f>
        <v>68300</v>
      </c>
      <c r="CJ43" s="34">
        <f t="shared" si="35"/>
        <v>68300</v>
      </c>
      <c r="CK43" s="34">
        <f t="shared" si="35"/>
        <v>68300</v>
      </c>
      <c r="CL43" s="34">
        <f t="shared" si="35"/>
        <v>68300</v>
      </c>
      <c r="CM43" s="34">
        <f t="shared" si="35"/>
        <v>68300</v>
      </c>
      <c r="CU43" s="65"/>
      <c r="CV43" s="65"/>
      <c r="CW43" s="65"/>
    </row>
    <row r="44" spans="2:101" x14ac:dyDescent="0.2">
      <c r="B44" s="23" t="s">
        <v>208</v>
      </c>
      <c r="F44" s="34"/>
      <c r="G44" s="34"/>
      <c r="H44" s="34"/>
      <c r="I44" s="34"/>
      <c r="J44" s="34"/>
      <c r="K44" s="34"/>
      <c r="L44" s="34"/>
      <c r="M44" s="34"/>
      <c r="N44" s="34">
        <f>2700-N8-N14-N22</f>
        <v>0</v>
      </c>
      <c r="O44" s="34"/>
      <c r="P44" s="34"/>
      <c r="Q44" s="34"/>
      <c r="R44" s="34">
        <f>5200-R8-R14-R22</f>
        <v>2200</v>
      </c>
      <c r="S44" s="34">
        <f>11400-R127-S8-S14-S22</f>
        <v>3000</v>
      </c>
      <c r="T44" s="34">
        <f>T127-T8-T14-T22</f>
        <v>2700</v>
      </c>
      <c r="U44" s="34">
        <f t="shared" si="34"/>
        <v>2700</v>
      </c>
      <c r="V44" s="34">
        <f t="shared" si="34"/>
        <v>2700</v>
      </c>
      <c r="W44" s="34">
        <f t="shared" si="34"/>
        <v>2700</v>
      </c>
      <c r="X44" s="34">
        <f t="shared" si="34"/>
        <v>2700</v>
      </c>
      <c r="Y44" s="34">
        <f t="shared" si="34"/>
        <v>2700</v>
      </c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9">
        <f>SUM(R44:U44)</f>
        <v>10600</v>
      </c>
      <c r="CJ44" s="34">
        <f t="shared" si="35"/>
        <v>10600</v>
      </c>
      <c r="CK44" s="34">
        <f t="shared" si="35"/>
        <v>10600</v>
      </c>
      <c r="CL44" s="34">
        <f t="shared" si="35"/>
        <v>10600</v>
      </c>
      <c r="CM44" s="34">
        <f t="shared" si="35"/>
        <v>10600</v>
      </c>
      <c r="CU44" s="65"/>
      <c r="CV44" s="65"/>
      <c r="CW44" s="65"/>
    </row>
    <row r="45" spans="2:101" x14ac:dyDescent="0.2">
      <c r="B45" s="23" t="s">
        <v>209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>
        <f>23962-1167-6667</f>
        <v>16128</v>
      </c>
      <c r="S45" s="34">
        <f>47000-2300-R45</f>
        <v>28572</v>
      </c>
      <c r="T45" s="34">
        <f>T97-T4-T10-T15-T18-SUM(T23:T44)</f>
        <v>19405</v>
      </c>
      <c r="U45" s="34">
        <f t="shared" si="34"/>
        <v>19405</v>
      </c>
      <c r="V45" s="34">
        <f t="shared" si="34"/>
        <v>19405</v>
      </c>
      <c r="W45" s="34">
        <f t="shared" si="34"/>
        <v>19405</v>
      </c>
      <c r="X45" s="34">
        <f t="shared" si="34"/>
        <v>19405</v>
      </c>
      <c r="Y45" s="34">
        <f t="shared" si="34"/>
        <v>19405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9">
        <f>SUM(R45:U45)</f>
        <v>83510</v>
      </c>
      <c r="CJ45" s="34">
        <f t="shared" si="35"/>
        <v>83510</v>
      </c>
      <c r="CK45" s="34">
        <f t="shared" si="35"/>
        <v>83510</v>
      </c>
      <c r="CL45" s="34">
        <f t="shared" si="35"/>
        <v>83510</v>
      </c>
      <c r="CM45" s="34">
        <f t="shared" si="35"/>
        <v>83510</v>
      </c>
      <c r="CU45" s="65"/>
      <c r="CV45" s="65"/>
      <c r="CW45" s="65"/>
    </row>
    <row r="46" spans="2:101" x14ac:dyDescent="0.2">
      <c r="B46" s="23" t="s">
        <v>387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>
        <v>3200</v>
      </c>
      <c r="BS46" s="34">
        <v>3500</v>
      </c>
      <c r="BT46" s="34">
        <v>4300</v>
      </c>
      <c r="BU46" s="34">
        <v>2400</v>
      </c>
      <c r="BV46" s="34">
        <v>3200</v>
      </c>
      <c r="BW46" s="34">
        <v>4400</v>
      </c>
      <c r="BX46" s="34">
        <v>4000</v>
      </c>
      <c r="BY46" s="34">
        <v>4200</v>
      </c>
      <c r="BZ46" s="34">
        <f t="shared" ref="BZ46:BZ55" si="36">BV46</f>
        <v>3200</v>
      </c>
      <c r="CA46" s="34">
        <f t="shared" ref="CA46:CA55" si="37">BW46</f>
        <v>4400</v>
      </c>
      <c r="CB46" s="34">
        <f t="shared" ref="CB46:CB55" si="38">BX46</f>
        <v>4000</v>
      </c>
      <c r="CC46" s="34">
        <f t="shared" ref="CC46:CC55" si="39">BY46</f>
        <v>4200</v>
      </c>
      <c r="CD46" s="34"/>
      <c r="CE46" s="34"/>
      <c r="CF46" s="34"/>
      <c r="CG46" s="34"/>
      <c r="CH46" s="34"/>
      <c r="CI46" s="39"/>
      <c r="CJ46" s="34"/>
      <c r="CK46" s="34"/>
      <c r="CL46" s="34"/>
      <c r="CM46" s="34"/>
      <c r="CU46" s="65">
        <f t="shared" ref="CU46" si="40">SUM(BR46:BU46)</f>
        <v>13400</v>
      </c>
      <c r="CV46" s="65">
        <f t="shared" ref="CV46" si="41">SUM(BV46:BY46)</f>
        <v>15800</v>
      </c>
      <c r="CW46" s="65">
        <f t="shared" ref="CW46" si="42">SUM(BZ46:CC46)</f>
        <v>15800</v>
      </c>
    </row>
    <row r="47" spans="2:101" x14ac:dyDescent="0.2">
      <c r="B47" s="23" t="s">
        <v>386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>
        <v>3400</v>
      </c>
      <c r="BS47" s="34">
        <v>3600</v>
      </c>
      <c r="BT47" s="34">
        <v>3200</v>
      </c>
      <c r="BU47" s="34">
        <v>3400</v>
      </c>
      <c r="BV47" s="34">
        <v>4200</v>
      </c>
      <c r="BW47" s="34">
        <v>3300</v>
      </c>
      <c r="BX47" s="34">
        <v>3400</v>
      </c>
      <c r="BY47" s="34">
        <v>2600</v>
      </c>
      <c r="BZ47" s="34">
        <f t="shared" si="36"/>
        <v>4200</v>
      </c>
      <c r="CA47" s="34">
        <f t="shared" si="37"/>
        <v>3300</v>
      </c>
      <c r="CB47" s="34">
        <f t="shared" si="38"/>
        <v>3400</v>
      </c>
      <c r="CC47" s="34">
        <f t="shared" si="39"/>
        <v>2600</v>
      </c>
      <c r="CD47" s="34"/>
      <c r="CE47" s="34"/>
      <c r="CF47" s="34"/>
      <c r="CG47" s="34"/>
      <c r="CH47" s="34"/>
      <c r="CI47" s="39"/>
      <c r="CJ47" s="34"/>
      <c r="CK47" s="34"/>
      <c r="CL47" s="34"/>
      <c r="CM47" s="34"/>
      <c r="CU47" s="65">
        <f t="shared" ref="CU47:CU51" si="43">SUM(BR47:BU47)</f>
        <v>13600</v>
      </c>
      <c r="CV47" s="65">
        <f t="shared" ref="CV47:CV51" si="44">SUM(BV47:BY47)</f>
        <v>13500</v>
      </c>
      <c r="CW47" s="65">
        <f t="shared" ref="CW47:CW51" si="45">SUM(BZ47:CC47)</f>
        <v>13500</v>
      </c>
    </row>
    <row r="48" spans="2:101" x14ac:dyDescent="0.2">
      <c r="B48" s="23" t="s">
        <v>385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>
        <v>7800</v>
      </c>
      <c r="BS48" s="34">
        <v>8200</v>
      </c>
      <c r="BT48" s="34">
        <v>8700</v>
      </c>
      <c r="BU48" s="34">
        <v>7900</v>
      </c>
      <c r="BV48" s="34">
        <v>8400</v>
      </c>
      <c r="BW48" s="34">
        <v>2100</v>
      </c>
      <c r="BX48" s="34">
        <v>2800</v>
      </c>
      <c r="BY48" s="34">
        <v>3400</v>
      </c>
      <c r="BZ48" s="34">
        <f t="shared" si="36"/>
        <v>8400</v>
      </c>
      <c r="CA48" s="34">
        <f t="shared" si="37"/>
        <v>2100</v>
      </c>
      <c r="CB48" s="34">
        <f t="shared" si="38"/>
        <v>2800</v>
      </c>
      <c r="CC48" s="34">
        <f t="shared" si="39"/>
        <v>3400</v>
      </c>
      <c r="CD48" s="34"/>
      <c r="CE48" s="34"/>
      <c r="CF48" s="34"/>
      <c r="CG48" s="34"/>
      <c r="CH48" s="34"/>
      <c r="CI48" s="39"/>
      <c r="CJ48" s="34"/>
      <c r="CK48" s="34"/>
      <c r="CL48" s="34"/>
      <c r="CM48" s="34"/>
      <c r="CU48" s="65">
        <f t="shared" si="43"/>
        <v>32600</v>
      </c>
      <c r="CV48" s="65">
        <f t="shared" si="44"/>
        <v>16700</v>
      </c>
      <c r="CW48" s="65">
        <f t="shared" si="45"/>
        <v>16700</v>
      </c>
    </row>
    <row r="49" spans="2:101" x14ac:dyDescent="0.2">
      <c r="B49" s="23" t="s">
        <v>384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>
        <v>22600</v>
      </c>
      <c r="BS49" s="34">
        <v>17700</v>
      </c>
      <c r="BT49" s="34">
        <v>19700</v>
      </c>
      <c r="BU49" s="34">
        <v>16200</v>
      </c>
      <c r="BV49" s="34">
        <v>19600</v>
      </c>
      <c r="BW49" s="34">
        <v>17600</v>
      </c>
      <c r="BX49" s="34">
        <v>19400</v>
      </c>
      <c r="BY49" s="34">
        <v>16300</v>
      </c>
      <c r="BZ49" s="34">
        <f t="shared" si="36"/>
        <v>19600</v>
      </c>
      <c r="CA49" s="34">
        <f t="shared" si="37"/>
        <v>17600</v>
      </c>
      <c r="CB49" s="34">
        <f t="shared" si="38"/>
        <v>19400</v>
      </c>
      <c r="CC49" s="34">
        <f t="shared" si="39"/>
        <v>16300</v>
      </c>
      <c r="CD49" s="34"/>
      <c r="CE49" s="34"/>
      <c r="CF49" s="34"/>
      <c r="CG49" s="34"/>
      <c r="CH49" s="34"/>
      <c r="CI49" s="39"/>
      <c r="CJ49" s="34"/>
      <c r="CK49" s="34"/>
      <c r="CL49" s="34"/>
      <c r="CM49" s="34"/>
      <c r="CU49" s="65">
        <f t="shared" si="43"/>
        <v>76200</v>
      </c>
      <c r="CV49" s="65">
        <f t="shared" si="44"/>
        <v>72900</v>
      </c>
      <c r="CW49" s="65">
        <f t="shared" si="45"/>
        <v>72900</v>
      </c>
    </row>
    <row r="50" spans="2:101" x14ac:dyDescent="0.2">
      <c r="B50" s="23" t="s">
        <v>383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>
        <v>5900</v>
      </c>
      <c r="BS50" s="34">
        <v>5100</v>
      </c>
      <c r="BT50" s="34">
        <v>5700</v>
      </c>
      <c r="BU50" s="34">
        <v>4700</v>
      </c>
      <c r="BV50" s="34">
        <v>6400</v>
      </c>
      <c r="BW50" s="34">
        <v>5400</v>
      </c>
      <c r="BX50" s="34">
        <v>6700</v>
      </c>
      <c r="BY50" s="34">
        <v>6300</v>
      </c>
      <c r="BZ50" s="34">
        <f t="shared" si="36"/>
        <v>6400</v>
      </c>
      <c r="CA50" s="34">
        <f t="shared" si="37"/>
        <v>5400</v>
      </c>
      <c r="CB50" s="34">
        <f t="shared" si="38"/>
        <v>6700</v>
      </c>
      <c r="CC50" s="34">
        <f t="shared" si="39"/>
        <v>6300</v>
      </c>
      <c r="CD50" s="34"/>
      <c r="CE50" s="34"/>
      <c r="CF50" s="34"/>
      <c r="CG50" s="34"/>
      <c r="CH50" s="34"/>
      <c r="CI50" s="39"/>
      <c r="CJ50" s="34"/>
      <c r="CK50" s="34"/>
      <c r="CL50" s="34"/>
      <c r="CM50" s="34"/>
      <c r="CU50" s="65">
        <f t="shared" si="43"/>
        <v>21400</v>
      </c>
      <c r="CV50" s="65">
        <f t="shared" si="44"/>
        <v>24800</v>
      </c>
      <c r="CW50" s="65">
        <f t="shared" si="45"/>
        <v>24800</v>
      </c>
    </row>
    <row r="51" spans="2:101" x14ac:dyDescent="0.2">
      <c r="B51" s="23" t="s">
        <v>382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>
        <v>3900</v>
      </c>
      <c r="BS51" s="34">
        <v>5700</v>
      </c>
      <c r="BT51" s="34">
        <v>6300</v>
      </c>
      <c r="BU51" s="34">
        <v>4900</v>
      </c>
      <c r="BV51" s="34">
        <v>6200</v>
      </c>
      <c r="BW51" s="34">
        <v>6300</v>
      </c>
      <c r="BX51" s="34">
        <v>6500</v>
      </c>
      <c r="BY51" s="34">
        <v>9500</v>
      </c>
      <c r="BZ51" s="34">
        <f t="shared" si="36"/>
        <v>6200</v>
      </c>
      <c r="CA51" s="34">
        <f t="shared" si="37"/>
        <v>6300</v>
      </c>
      <c r="CB51" s="34">
        <f t="shared" si="38"/>
        <v>6500</v>
      </c>
      <c r="CC51" s="34">
        <f t="shared" si="39"/>
        <v>9500</v>
      </c>
      <c r="CD51" s="34"/>
      <c r="CE51" s="34"/>
      <c r="CF51" s="34"/>
      <c r="CG51" s="34"/>
      <c r="CH51" s="34"/>
      <c r="CI51" s="39"/>
      <c r="CJ51" s="34"/>
      <c r="CK51" s="34"/>
      <c r="CL51" s="34"/>
      <c r="CM51" s="34"/>
      <c r="CU51" s="65">
        <f t="shared" si="43"/>
        <v>20800</v>
      </c>
      <c r="CV51" s="65">
        <f t="shared" si="44"/>
        <v>28500</v>
      </c>
      <c r="CW51" s="65">
        <f t="shared" si="45"/>
        <v>28500</v>
      </c>
    </row>
    <row r="52" spans="2:101" x14ac:dyDescent="0.2">
      <c r="B52" s="23" t="s">
        <v>381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>
        <v>3300</v>
      </c>
      <c r="BS52" s="34">
        <v>4200</v>
      </c>
      <c r="BT52" s="34">
        <v>5000</v>
      </c>
      <c r="BU52" s="34">
        <v>6400</v>
      </c>
      <c r="BV52" s="34">
        <v>5100</v>
      </c>
      <c r="BW52" s="34">
        <v>5300</v>
      </c>
      <c r="BX52" s="34">
        <v>6200</v>
      </c>
      <c r="BY52" s="34">
        <v>-300</v>
      </c>
      <c r="BZ52" s="34">
        <f t="shared" si="36"/>
        <v>5100</v>
      </c>
      <c r="CA52" s="34">
        <f t="shared" si="37"/>
        <v>5300</v>
      </c>
      <c r="CB52" s="34">
        <f t="shared" si="38"/>
        <v>6200</v>
      </c>
      <c r="CC52" s="34">
        <f t="shared" si="39"/>
        <v>-300</v>
      </c>
      <c r="CD52" s="34"/>
      <c r="CE52" s="34"/>
      <c r="CF52" s="34"/>
      <c r="CG52" s="34"/>
      <c r="CH52" s="34"/>
      <c r="CI52" s="39"/>
      <c r="CJ52" s="34"/>
      <c r="CK52" s="34"/>
      <c r="CL52" s="34"/>
      <c r="CM52" s="34"/>
      <c r="CU52" s="65">
        <f t="shared" ref="CU52:CU55" si="46">SUM(BR52:BU52)</f>
        <v>18900</v>
      </c>
      <c r="CV52" s="65">
        <f t="shared" ref="CV52:CV55" si="47">SUM(BV52:BY52)</f>
        <v>16300</v>
      </c>
      <c r="CW52" s="65">
        <f t="shared" ref="CW52:CW55" si="48">SUM(BZ52:CC52)</f>
        <v>16300</v>
      </c>
    </row>
    <row r="53" spans="2:101" x14ac:dyDescent="0.2">
      <c r="B53" s="23" t="s">
        <v>380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>
        <v>17900</v>
      </c>
      <c r="BS53" s="34">
        <v>22200</v>
      </c>
      <c r="BT53" s="34">
        <v>23000</v>
      </c>
      <c r="BU53" s="34">
        <v>19300</v>
      </c>
      <c r="BV53" s="34">
        <v>21400</v>
      </c>
      <c r="BW53" s="34">
        <v>28400</v>
      </c>
      <c r="BX53" s="34">
        <v>29900</v>
      </c>
      <c r="BY53" s="34">
        <v>20400</v>
      </c>
      <c r="BZ53" s="34">
        <f t="shared" si="36"/>
        <v>21400</v>
      </c>
      <c r="CA53" s="34">
        <f t="shared" si="37"/>
        <v>28400</v>
      </c>
      <c r="CB53" s="34">
        <f t="shared" si="38"/>
        <v>29900</v>
      </c>
      <c r="CC53" s="34">
        <f t="shared" si="39"/>
        <v>20400</v>
      </c>
      <c r="CD53" s="34"/>
      <c r="CE53" s="34"/>
      <c r="CF53" s="34"/>
      <c r="CG53" s="34"/>
      <c r="CH53" s="34"/>
      <c r="CI53" s="39"/>
      <c r="CJ53" s="34"/>
      <c r="CK53" s="34"/>
      <c r="CL53" s="34"/>
      <c r="CM53" s="34"/>
      <c r="CU53" s="65">
        <f t="shared" si="46"/>
        <v>82400</v>
      </c>
      <c r="CV53" s="65">
        <f t="shared" si="47"/>
        <v>100100</v>
      </c>
      <c r="CW53" s="65">
        <f t="shared" si="48"/>
        <v>100100</v>
      </c>
    </row>
    <row r="54" spans="2:101" x14ac:dyDescent="0.2">
      <c r="B54" s="23" t="s">
        <v>379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>
        <v>79200</v>
      </c>
      <c r="BS54" s="34">
        <v>80100</v>
      </c>
      <c r="BT54" s="34">
        <v>85700</v>
      </c>
      <c r="BU54" s="34">
        <v>82100</v>
      </c>
      <c r="BV54" s="34">
        <v>100000</v>
      </c>
      <c r="BW54" s="34">
        <v>111300</v>
      </c>
      <c r="BX54" s="34">
        <v>124200</v>
      </c>
      <c r="BY54" s="34">
        <v>123800</v>
      </c>
      <c r="BZ54" s="34">
        <f t="shared" si="36"/>
        <v>100000</v>
      </c>
      <c r="CA54" s="34">
        <f t="shared" si="37"/>
        <v>111300</v>
      </c>
      <c r="CB54" s="34">
        <f t="shared" si="38"/>
        <v>124200</v>
      </c>
      <c r="CC54" s="34">
        <f t="shared" si="39"/>
        <v>123800</v>
      </c>
      <c r="CD54" s="34"/>
      <c r="CE54" s="34"/>
      <c r="CF54" s="34"/>
      <c r="CG54" s="34"/>
      <c r="CH54" s="34"/>
      <c r="CI54" s="39"/>
      <c r="CJ54" s="34"/>
      <c r="CK54" s="34"/>
      <c r="CL54" s="34"/>
      <c r="CM54" s="34"/>
      <c r="CU54" s="65">
        <f t="shared" si="46"/>
        <v>327100</v>
      </c>
      <c r="CV54" s="65">
        <f t="shared" si="47"/>
        <v>459300</v>
      </c>
      <c r="CW54" s="65">
        <f t="shared" si="48"/>
        <v>459300</v>
      </c>
    </row>
    <row r="55" spans="2:101" x14ac:dyDescent="0.2">
      <c r="B55" s="23" t="s">
        <v>378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>
        <v>600</v>
      </c>
      <c r="BS55" s="34">
        <v>700</v>
      </c>
      <c r="BT55" s="34">
        <v>1400</v>
      </c>
      <c r="BU55" s="34">
        <v>600</v>
      </c>
      <c r="BV55" s="34">
        <v>1000</v>
      </c>
      <c r="BW55" s="34">
        <v>1300</v>
      </c>
      <c r="BX55" s="34">
        <v>1400</v>
      </c>
      <c r="BY55" s="34">
        <v>1200</v>
      </c>
      <c r="BZ55" s="34">
        <f t="shared" ref="BZ55:BZ66" si="49">BV55</f>
        <v>1000</v>
      </c>
      <c r="CA55" s="34">
        <f t="shared" ref="CA55:CA66" si="50">BW55</f>
        <v>1300</v>
      </c>
      <c r="CB55" s="34">
        <f t="shared" ref="CB55:CB66" si="51">BX55</f>
        <v>1400</v>
      </c>
      <c r="CC55" s="34">
        <f t="shared" ref="CC55:CC66" si="52">BY55</f>
        <v>1200</v>
      </c>
      <c r="CD55" s="34"/>
      <c r="CE55" s="34"/>
      <c r="CF55" s="34"/>
      <c r="CG55" s="34"/>
      <c r="CH55" s="34"/>
      <c r="CI55" s="39"/>
      <c r="CJ55" s="34"/>
      <c r="CK55" s="34"/>
      <c r="CL55" s="34"/>
      <c r="CM55" s="34"/>
      <c r="CU55" s="65">
        <f t="shared" si="46"/>
        <v>3300</v>
      </c>
      <c r="CV55" s="65">
        <f t="shared" si="47"/>
        <v>4900</v>
      </c>
      <c r="CW55" s="65">
        <f t="shared" si="48"/>
        <v>4900</v>
      </c>
    </row>
    <row r="56" spans="2:101" x14ac:dyDescent="0.2">
      <c r="B56" s="23" t="s">
        <v>377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>
        <v>0</v>
      </c>
      <c r="BS56" s="34">
        <v>200</v>
      </c>
      <c r="BT56" s="34">
        <v>200</v>
      </c>
      <c r="BU56" s="34">
        <v>500</v>
      </c>
      <c r="BV56" s="34">
        <v>700</v>
      </c>
      <c r="BW56" s="34">
        <v>700</v>
      </c>
      <c r="BX56" s="34">
        <v>800</v>
      </c>
      <c r="BY56" s="34">
        <v>1500</v>
      </c>
      <c r="BZ56" s="34">
        <f t="shared" si="49"/>
        <v>700</v>
      </c>
      <c r="CA56" s="34">
        <f t="shared" si="50"/>
        <v>700</v>
      </c>
      <c r="CB56" s="34">
        <f t="shared" si="51"/>
        <v>800</v>
      </c>
      <c r="CC56" s="34">
        <f t="shared" si="52"/>
        <v>1500</v>
      </c>
      <c r="CD56" s="34"/>
      <c r="CE56" s="34"/>
      <c r="CF56" s="34"/>
      <c r="CG56" s="34"/>
      <c r="CH56" s="34"/>
      <c r="CI56" s="39"/>
      <c r="CJ56" s="34"/>
      <c r="CK56" s="34"/>
      <c r="CL56" s="34"/>
      <c r="CM56" s="34"/>
      <c r="CU56" s="65">
        <f t="shared" ref="CU56:CU71" si="53">SUM(BR56:BU56)</f>
        <v>900</v>
      </c>
      <c r="CV56" s="65">
        <f t="shared" ref="CV56:CV71" si="54">SUM(BV56:BY56)</f>
        <v>3700</v>
      </c>
      <c r="CW56" s="65">
        <f t="shared" ref="CW56:CW71" si="55">SUM(BZ56:CC56)</f>
        <v>3700</v>
      </c>
    </row>
    <row r="57" spans="2:101" x14ac:dyDescent="0.2">
      <c r="B57" s="23" t="s">
        <v>376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>
        <v>1600</v>
      </c>
      <c r="BS57" s="34">
        <v>1500</v>
      </c>
      <c r="BT57" s="34">
        <v>1800</v>
      </c>
      <c r="BU57" s="34">
        <v>1600</v>
      </c>
      <c r="BV57" s="34">
        <v>2100</v>
      </c>
      <c r="BW57" s="34">
        <v>1900</v>
      </c>
      <c r="BX57" s="34">
        <v>2100</v>
      </c>
      <c r="BY57" s="34">
        <v>1700</v>
      </c>
      <c r="BZ57" s="34">
        <f t="shared" si="49"/>
        <v>2100</v>
      </c>
      <c r="CA57" s="34">
        <f t="shared" si="50"/>
        <v>1900</v>
      </c>
      <c r="CB57" s="34">
        <f t="shared" si="51"/>
        <v>2100</v>
      </c>
      <c r="CC57" s="34">
        <f t="shared" si="52"/>
        <v>1700</v>
      </c>
      <c r="CD57" s="34"/>
      <c r="CE57" s="34"/>
      <c r="CF57" s="34"/>
      <c r="CG57" s="34"/>
      <c r="CH57" s="34"/>
      <c r="CI57" s="39"/>
      <c r="CJ57" s="34"/>
      <c r="CK57" s="34"/>
      <c r="CL57" s="34"/>
      <c r="CM57" s="34"/>
      <c r="CU57" s="65">
        <f t="shared" si="53"/>
        <v>6500</v>
      </c>
      <c r="CV57" s="65">
        <f t="shared" si="54"/>
        <v>7800</v>
      </c>
      <c r="CW57" s="65">
        <f t="shared" si="55"/>
        <v>7800</v>
      </c>
    </row>
    <row r="58" spans="2:101" x14ac:dyDescent="0.2">
      <c r="B58" s="23" t="s">
        <v>375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>
        <v>1600</v>
      </c>
      <c r="BS58" s="34">
        <v>1800</v>
      </c>
      <c r="BT58" s="34">
        <v>2400</v>
      </c>
      <c r="BU58" s="34">
        <v>2200</v>
      </c>
      <c r="BV58" s="34">
        <v>3000</v>
      </c>
      <c r="BW58" s="34">
        <v>3300</v>
      </c>
      <c r="BX58" s="34">
        <v>3500</v>
      </c>
      <c r="BY58" s="34">
        <v>3100</v>
      </c>
      <c r="BZ58" s="34">
        <f t="shared" si="49"/>
        <v>3000</v>
      </c>
      <c r="CA58" s="34">
        <f t="shared" si="50"/>
        <v>3300</v>
      </c>
      <c r="CB58" s="34">
        <f t="shared" si="51"/>
        <v>3500</v>
      </c>
      <c r="CC58" s="34">
        <f t="shared" si="52"/>
        <v>3100</v>
      </c>
      <c r="CD58" s="34"/>
      <c r="CE58" s="34"/>
      <c r="CF58" s="34"/>
      <c r="CG58" s="34"/>
      <c r="CH58" s="34"/>
      <c r="CI58" s="39"/>
      <c r="CJ58" s="34"/>
      <c r="CK58" s="34"/>
      <c r="CL58" s="34"/>
      <c r="CM58" s="34"/>
      <c r="CU58" s="65">
        <f t="shared" si="53"/>
        <v>8000</v>
      </c>
      <c r="CV58" s="65">
        <f t="shared" si="54"/>
        <v>12900</v>
      </c>
      <c r="CW58" s="65">
        <f t="shared" si="55"/>
        <v>12900</v>
      </c>
    </row>
    <row r="59" spans="2:101" x14ac:dyDescent="0.2">
      <c r="B59" s="23" t="s">
        <v>374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>
        <v>3100</v>
      </c>
      <c r="BS59" s="34">
        <v>3100</v>
      </c>
      <c r="BT59" s="34">
        <v>3900</v>
      </c>
      <c r="BU59" s="34">
        <v>3500</v>
      </c>
      <c r="BV59" s="34">
        <v>4500</v>
      </c>
      <c r="BW59" s="34">
        <v>5200</v>
      </c>
      <c r="BX59" s="34">
        <v>6100</v>
      </c>
      <c r="BY59" s="34">
        <v>4800</v>
      </c>
      <c r="BZ59" s="34">
        <f t="shared" si="49"/>
        <v>4500</v>
      </c>
      <c r="CA59" s="34">
        <f t="shared" si="50"/>
        <v>5200</v>
      </c>
      <c r="CB59" s="34">
        <f t="shared" si="51"/>
        <v>6100</v>
      </c>
      <c r="CC59" s="34">
        <f t="shared" si="52"/>
        <v>4800</v>
      </c>
      <c r="CD59" s="34"/>
      <c r="CE59" s="34"/>
      <c r="CF59" s="34"/>
      <c r="CG59" s="34"/>
      <c r="CH59" s="34"/>
      <c r="CI59" s="39"/>
      <c r="CJ59" s="34"/>
      <c r="CK59" s="34"/>
      <c r="CL59" s="34"/>
      <c r="CM59" s="34"/>
      <c r="CU59" s="65">
        <f t="shared" si="53"/>
        <v>13600</v>
      </c>
      <c r="CV59" s="65">
        <f t="shared" si="54"/>
        <v>20600</v>
      </c>
      <c r="CW59" s="65">
        <f t="shared" si="55"/>
        <v>20600</v>
      </c>
    </row>
    <row r="60" spans="2:101" x14ac:dyDescent="0.2">
      <c r="B60" s="23" t="s">
        <v>373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>
        <v>6200</v>
      </c>
      <c r="BS60" s="34">
        <v>6600</v>
      </c>
      <c r="BT60" s="34">
        <v>6600</v>
      </c>
      <c r="BU60" s="34">
        <v>5300</v>
      </c>
      <c r="BV60" s="34">
        <v>6700</v>
      </c>
      <c r="BW60" s="34">
        <v>6600</v>
      </c>
      <c r="BX60" s="34">
        <v>6800</v>
      </c>
      <c r="BY60" s="34">
        <v>5700</v>
      </c>
      <c r="BZ60" s="34">
        <f t="shared" si="49"/>
        <v>6700</v>
      </c>
      <c r="CA60" s="34">
        <f t="shared" si="50"/>
        <v>6600</v>
      </c>
      <c r="CB60" s="34">
        <f t="shared" si="51"/>
        <v>6800</v>
      </c>
      <c r="CC60" s="34">
        <f t="shared" si="52"/>
        <v>5700</v>
      </c>
      <c r="CD60" s="34"/>
      <c r="CE60" s="34"/>
      <c r="CF60" s="34"/>
      <c r="CG60" s="34"/>
      <c r="CH60" s="34"/>
      <c r="CI60" s="39"/>
      <c r="CJ60" s="34"/>
      <c r="CK60" s="34"/>
      <c r="CL60" s="34"/>
      <c r="CM60" s="34"/>
      <c r="CU60" s="65">
        <f t="shared" si="53"/>
        <v>24700</v>
      </c>
      <c r="CV60" s="65">
        <f t="shared" si="54"/>
        <v>25800</v>
      </c>
      <c r="CW60" s="65">
        <f t="shared" si="55"/>
        <v>25800</v>
      </c>
    </row>
    <row r="61" spans="2:101" x14ac:dyDescent="0.2">
      <c r="B61" s="23" t="s">
        <v>372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>
        <v>10400</v>
      </c>
      <c r="BS61" s="34">
        <v>7500</v>
      </c>
      <c r="BT61" s="34">
        <v>8800</v>
      </c>
      <c r="BU61" s="34">
        <v>8200</v>
      </c>
      <c r="BV61" s="34">
        <v>11300</v>
      </c>
      <c r="BW61" s="34">
        <v>12000</v>
      </c>
      <c r="BX61" s="34">
        <v>12300</v>
      </c>
      <c r="BY61" s="34">
        <v>11700</v>
      </c>
      <c r="BZ61" s="34">
        <f t="shared" si="49"/>
        <v>11300</v>
      </c>
      <c r="CA61" s="34">
        <f t="shared" si="50"/>
        <v>12000</v>
      </c>
      <c r="CB61" s="34">
        <f t="shared" si="51"/>
        <v>12300</v>
      </c>
      <c r="CC61" s="34">
        <f t="shared" si="52"/>
        <v>11700</v>
      </c>
      <c r="CD61" s="34"/>
      <c r="CE61" s="34"/>
      <c r="CF61" s="34"/>
      <c r="CG61" s="34"/>
      <c r="CH61" s="34"/>
      <c r="CI61" s="39"/>
      <c r="CJ61" s="34"/>
      <c r="CK61" s="34"/>
      <c r="CL61" s="34"/>
      <c r="CM61" s="34"/>
      <c r="CU61" s="65">
        <f t="shared" si="53"/>
        <v>34900</v>
      </c>
      <c r="CV61" s="65">
        <f t="shared" si="54"/>
        <v>47300</v>
      </c>
      <c r="CW61" s="65">
        <f t="shared" si="55"/>
        <v>47300</v>
      </c>
    </row>
    <row r="62" spans="2:101" x14ac:dyDescent="0.2">
      <c r="B62" s="23" t="s">
        <v>371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>
        <v>17200</v>
      </c>
      <c r="BS62" s="34">
        <v>16900</v>
      </c>
      <c r="BT62" s="34">
        <v>17600</v>
      </c>
      <c r="BU62" s="34">
        <v>17400</v>
      </c>
      <c r="BV62" s="34">
        <v>20000</v>
      </c>
      <c r="BW62" s="34">
        <v>21800</v>
      </c>
      <c r="BX62" s="34">
        <v>24100</v>
      </c>
      <c r="BY62" s="34">
        <v>18200</v>
      </c>
      <c r="BZ62" s="34">
        <f t="shared" si="49"/>
        <v>20000</v>
      </c>
      <c r="CA62" s="34">
        <f t="shared" si="50"/>
        <v>21800</v>
      </c>
      <c r="CB62" s="34">
        <f t="shared" si="51"/>
        <v>24100</v>
      </c>
      <c r="CC62" s="34">
        <f t="shared" si="52"/>
        <v>18200</v>
      </c>
      <c r="CD62" s="34"/>
      <c r="CE62" s="34"/>
      <c r="CF62" s="34"/>
      <c r="CG62" s="34"/>
      <c r="CH62" s="34"/>
      <c r="CI62" s="39"/>
      <c r="CJ62" s="34"/>
      <c r="CK62" s="34"/>
      <c r="CL62" s="34"/>
      <c r="CM62" s="34"/>
      <c r="CU62" s="65">
        <f t="shared" si="53"/>
        <v>69100</v>
      </c>
      <c r="CV62" s="65">
        <f t="shared" si="54"/>
        <v>84100</v>
      </c>
      <c r="CW62" s="65">
        <f t="shared" si="55"/>
        <v>84100</v>
      </c>
    </row>
    <row r="63" spans="2:101" x14ac:dyDescent="0.2">
      <c r="B63" s="23" t="s">
        <v>370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>
        <v>24400</v>
      </c>
      <c r="BS63" s="34">
        <v>21400</v>
      </c>
      <c r="BT63" s="34">
        <v>24900</v>
      </c>
      <c r="BU63" s="34">
        <v>20500</v>
      </c>
      <c r="BV63" s="34">
        <v>23700</v>
      </c>
      <c r="BW63" s="34">
        <v>25100</v>
      </c>
      <c r="BX63" s="34">
        <v>27100</v>
      </c>
      <c r="BY63" s="34">
        <v>16800</v>
      </c>
      <c r="BZ63" s="34">
        <f t="shared" si="49"/>
        <v>23700</v>
      </c>
      <c r="CA63" s="34">
        <f t="shared" si="50"/>
        <v>25100</v>
      </c>
      <c r="CB63" s="34">
        <f t="shared" si="51"/>
        <v>27100</v>
      </c>
      <c r="CC63" s="34">
        <f t="shared" si="52"/>
        <v>16800</v>
      </c>
      <c r="CD63" s="34"/>
      <c r="CE63" s="34"/>
      <c r="CF63" s="34"/>
      <c r="CG63" s="34"/>
      <c r="CH63" s="34"/>
      <c r="CI63" s="39"/>
      <c r="CJ63" s="34"/>
      <c r="CK63" s="34"/>
      <c r="CL63" s="34"/>
      <c r="CM63" s="34"/>
      <c r="CU63" s="65">
        <f t="shared" si="53"/>
        <v>91200</v>
      </c>
      <c r="CV63" s="65">
        <f t="shared" si="54"/>
        <v>92700</v>
      </c>
      <c r="CW63" s="65">
        <f t="shared" si="55"/>
        <v>92700</v>
      </c>
    </row>
    <row r="64" spans="2:101" x14ac:dyDescent="0.2">
      <c r="B64" s="23" t="s">
        <v>369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>
        <v>7800</v>
      </c>
      <c r="BS64" s="34">
        <v>7100</v>
      </c>
      <c r="BT64" s="34">
        <v>8500</v>
      </c>
      <c r="BU64" s="34">
        <v>7600</v>
      </c>
      <c r="BV64" s="34">
        <v>8000</v>
      </c>
      <c r="BW64" s="34">
        <v>9100</v>
      </c>
      <c r="BX64" s="34">
        <v>9300</v>
      </c>
      <c r="BY64" s="34">
        <v>8400</v>
      </c>
      <c r="BZ64" s="34">
        <f t="shared" si="49"/>
        <v>8000</v>
      </c>
      <c r="CA64" s="34">
        <f t="shared" si="50"/>
        <v>9100</v>
      </c>
      <c r="CB64" s="34">
        <f t="shared" si="51"/>
        <v>9300</v>
      </c>
      <c r="CC64" s="34">
        <f t="shared" si="52"/>
        <v>8400</v>
      </c>
      <c r="CD64" s="34"/>
      <c r="CE64" s="34"/>
      <c r="CF64" s="34"/>
      <c r="CG64" s="34"/>
      <c r="CH64" s="34"/>
      <c r="CI64" s="39"/>
      <c r="CJ64" s="34"/>
      <c r="CK64" s="34"/>
      <c r="CL64" s="34"/>
      <c r="CM64" s="34"/>
      <c r="CU64" s="65">
        <f t="shared" si="53"/>
        <v>31000</v>
      </c>
      <c r="CV64" s="65">
        <f t="shared" si="54"/>
        <v>34800</v>
      </c>
      <c r="CW64" s="65">
        <f t="shared" si="55"/>
        <v>34800</v>
      </c>
    </row>
    <row r="65" spans="2:101" x14ac:dyDescent="0.2">
      <c r="B65" s="23" t="s">
        <v>368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>
        <v>17800</v>
      </c>
      <c r="BS65" s="34">
        <v>24000</v>
      </c>
      <c r="BT65" s="34">
        <v>19700</v>
      </c>
      <c r="BU65" s="34">
        <v>28500</v>
      </c>
      <c r="BV65" s="34">
        <v>22000</v>
      </c>
      <c r="BW65" s="34">
        <v>29800</v>
      </c>
      <c r="BX65" s="34">
        <v>33700</v>
      </c>
      <c r="BY65" s="34">
        <v>35900</v>
      </c>
      <c r="BZ65" s="34">
        <f t="shared" si="49"/>
        <v>22000</v>
      </c>
      <c r="CA65" s="34">
        <f t="shared" si="50"/>
        <v>29800</v>
      </c>
      <c r="CB65" s="34">
        <f t="shared" si="51"/>
        <v>33700</v>
      </c>
      <c r="CC65" s="34">
        <f t="shared" si="52"/>
        <v>35900</v>
      </c>
      <c r="CD65" s="34"/>
      <c r="CE65" s="34"/>
      <c r="CF65" s="34"/>
      <c r="CG65" s="34"/>
      <c r="CH65" s="34"/>
      <c r="CI65" s="39"/>
      <c r="CJ65" s="34"/>
      <c r="CK65" s="34"/>
      <c r="CL65" s="34"/>
      <c r="CM65" s="34"/>
      <c r="CU65" s="65">
        <f t="shared" si="53"/>
        <v>90000</v>
      </c>
      <c r="CV65" s="65">
        <f t="shared" si="54"/>
        <v>121400</v>
      </c>
      <c r="CW65" s="65">
        <f t="shared" si="55"/>
        <v>121400</v>
      </c>
    </row>
    <row r="66" spans="2:101" x14ac:dyDescent="0.2">
      <c r="B66" s="23" t="s">
        <v>367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>
        <v>81600</v>
      </c>
      <c r="BS66" s="34">
        <f>181300-BR66</f>
        <v>99700</v>
      </c>
      <c r="BT66" s="34">
        <v>97000</v>
      </c>
      <c r="BU66" s="34">
        <v>107600</v>
      </c>
      <c r="BV66" s="34">
        <v>111800</v>
      </c>
      <c r="BW66" s="34">
        <f>245100-BV66</f>
        <v>133300</v>
      </c>
      <c r="BX66" s="34">
        <v>145400</v>
      </c>
      <c r="BY66" s="34">
        <v>131700</v>
      </c>
      <c r="BZ66" s="34">
        <f>BV66</f>
        <v>111800</v>
      </c>
      <c r="CA66" s="34">
        <f>BW66</f>
        <v>133300</v>
      </c>
      <c r="CB66" s="34">
        <f>BX66</f>
        <v>145400</v>
      </c>
      <c r="CC66" s="34">
        <f>BY66</f>
        <v>131700</v>
      </c>
      <c r="CD66" s="34"/>
      <c r="CE66" s="34"/>
      <c r="CF66" s="34"/>
      <c r="CG66" s="34"/>
      <c r="CH66" s="34"/>
      <c r="CI66" s="39"/>
      <c r="CJ66" s="34"/>
      <c r="CK66" s="34"/>
      <c r="CL66" s="34"/>
      <c r="CM66" s="34"/>
      <c r="CU66" s="65">
        <f t="shared" si="53"/>
        <v>385900</v>
      </c>
      <c r="CV66" s="65">
        <f t="shared" si="54"/>
        <v>522200</v>
      </c>
      <c r="CW66" s="65">
        <f t="shared" si="55"/>
        <v>522200</v>
      </c>
    </row>
    <row r="67" spans="2:101" x14ac:dyDescent="0.2">
      <c r="B67" s="23" t="s">
        <v>366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>
        <v>2200</v>
      </c>
      <c r="BS67" s="34">
        <v>2400</v>
      </c>
      <c r="BT67" s="34">
        <v>2400</v>
      </c>
      <c r="BU67" s="34">
        <v>2600</v>
      </c>
      <c r="BV67" s="34">
        <v>3200</v>
      </c>
      <c r="BW67" s="34">
        <v>3300</v>
      </c>
      <c r="BX67" s="34">
        <v>3800</v>
      </c>
      <c r="BY67" s="34">
        <v>2700</v>
      </c>
      <c r="BZ67" s="34">
        <f>BV67</f>
        <v>3200</v>
      </c>
      <c r="CA67" s="34">
        <f>BW67</f>
        <v>3300</v>
      </c>
      <c r="CB67" s="34">
        <f>BX67</f>
        <v>3800</v>
      </c>
      <c r="CC67" s="34">
        <f>BY67</f>
        <v>2700</v>
      </c>
      <c r="CD67" s="34"/>
      <c r="CE67" s="34"/>
      <c r="CF67" s="34"/>
      <c r="CG67" s="34"/>
      <c r="CH67" s="34"/>
      <c r="CI67" s="39"/>
      <c r="CJ67" s="34"/>
      <c r="CK67" s="34"/>
      <c r="CL67" s="34"/>
      <c r="CM67" s="34"/>
      <c r="CU67" s="65">
        <f t="shared" si="53"/>
        <v>9600</v>
      </c>
      <c r="CV67" s="65">
        <f t="shared" si="54"/>
        <v>13000</v>
      </c>
      <c r="CW67" s="65">
        <f t="shared" si="55"/>
        <v>13000</v>
      </c>
    </row>
    <row r="68" spans="2:101" x14ac:dyDescent="0.2">
      <c r="B68" s="23" t="s">
        <v>365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>
        <v>0</v>
      </c>
      <c r="BS68" s="34">
        <v>0</v>
      </c>
      <c r="BT68" s="34">
        <v>200</v>
      </c>
      <c r="BU68" s="34">
        <v>1100</v>
      </c>
      <c r="BV68" s="34">
        <v>2200</v>
      </c>
      <c r="BW68" s="34">
        <v>2000</v>
      </c>
      <c r="BX68" s="34">
        <v>3100</v>
      </c>
      <c r="BY68" s="34">
        <v>3200</v>
      </c>
      <c r="BZ68" s="34">
        <f>BY68+300</f>
        <v>3500</v>
      </c>
      <c r="CA68" s="34">
        <f>BZ68+300</f>
        <v>3800</v>
      </c>
      <c r="CB68" s="34">
        <f>CA68+300</f>
        <v>4100</v>
      </c>
      <c r="CC68" s="34">
        <f>CB68+300</f>
        <v>4400</v>
      </c>
      <c r="CD68" s="34"/>
      <c r="CE68" s="34"/>
      <c r="CF68" s="34"/>
      <c r="CG68" s="34"/>
      <c r="CH68" s="34"/>
      <c r="CI68" s="39"/>
      <c r="CJ68" s="34"/>
      <c r="CK68" s="34"/>
      <c r="CL68" s="34"/>
      <c r="CM68" s="34"/>
      <c r="CU68" s="65">
        <f t="shared" si="53"/>
        <v>1300</v>
      </c>
      <c r="CV68" s="65">
        <f t="shared" si="54"/>
        <v>10500</v>
      </c>
      <c r="CW68" s="65">
        <f t="shared" si="55"/>
        <v>15800</v>
      </c>
    </row>
    <row r="69" spans="2:101" x14ac:dyDescent="0.2">
      <c r="B69" s="23" t="s">
        <v>364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>
        <v>5600</v>
      </c>
      <c r="BS69" s="34">
        <v>4600</v>
      </c>
      <c r="BT69" s="34">
        <v>4500</v>
      </c>
      <c r="BU69" s="34">
        <v>4600</v>
      </c>
      <c r="BV69" s="34">
        <v>4700</v>
      </c>
      <c r="BW69" s="34">
        <v>4900</v>
      </c>
      <c r="BX69" s="34">
        <v>5300</v>
      </c>
      <c r="BY69" s="34">
        <v>3600</v>
      </c>
      <c r="BZ69" s="34">
        <f t="shared" ref="BZ69:BZ74" si="56">BV69</f>
        <v>4700</v>
      </c>
      <c r="CA69" s="34">
        <f t="shared" ref="CA69:CA74" si="57">BW69</f>
        <v>4900</v>
      </c>
      <c r="CB69" s="34">
        <f t="shared" ref="CB69:CB74" si="58">BX69</f>
        <v>5300</v>
      </c>
      <c r="CC69" s="34">
        <f t="shared" ref="CC69:CC74" si="59">BY69</f>
        <v>3600</v>
      </c>
      <c r="CD69" s="34"/>
      <c r="CE69" s="34"/>
      <c r="CF69" s="34"/>
      <c r="CG69" s="34"/>
      <c r="CH69" s="34"/>
      <c r="CI69" s="39"/>
      <c r="CJ69" s="34"/>
      <c r="CK69" s="34"/>
      <c r="CL69" s="34"/>
      <c r="CM69" s="34"/>
      <c r="CU69" s="65">
        <f t="shared" si="53"/>
        <v>19300</v>
      </c>
      <c r="CV69" s="65">
        <f t="shared" si="54"/>
        <v>18500</v>
      </c>
      <c r="CW69" s="65">
        <f t="shared" si="55"/>
        <v>18500</v>
      </c>
    </row>
    <row r="70" spans="2:101" x14ac:dyDescent="0.2">
      <c r="B70" s="23" t="s">
        <v>363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>
        <v>6900</v>
      </c>
      <c r="BS70" s="34">
        <v>7500</v>
      </c>
      <c r="BT70" s="34">
        <v>7100</v>
      </c>
      <c r="BU70" s="34">
        <v>5200</v>
      </c>
      <c r="BV70" s="34">
        <v>6800</v>
      </c>
      <c r="BW70" s="34">
        <v>6600</v>
      </c>
      <c r="BX70" s="34">
        <v>6400</v>
      </c>
      <c r="BY70" s="34">
        <v>4800</v>
      </c>
      <c r="BZ70" s="34">
        <f t="shared" si="56"/>
        <v>6800</v>
      </c>
      <c r="CA70" s="34">
        <f t="shared" si="57"/>
        <v>6600</v>
      </c>
      <c r="CB70" s="34">
        <f t="shared" si="58"/>
        <v>6400</v>
      </c>
      <c r="CC70" s="34">
        <f t="shared" si="59"/>
        <v>4800</v>
      </c>
      <c r="CD70" s="34"/>
      <c r="CE70" s="34"/>
      <c r="CF70" s="34"/>
      <c r="CG70" s="34"/>
      <c r="CH70" s="34"/>
      <c r="CI70" s="39"/>
      <c r="CJ70" s="34"/>
      <c r="CK70" s="34"/>
      <c r="CL70" s="34"/>
      <c r="CM70" s="34"/>
      <c r="CU70" s="65">
        <f t="shared" si="53"/>
        <v>26700</v>
      </c>
      <c r="CV70" s="65">
        <f t="shared" si="54"/>
        <v>24600</v>
      </c>
      <c r="CW70" s="65">
        <f t="shared" si="55"/>
        <v>24600</v>
      </c>
    </row>
    <row r="71" spans="2:101" x14ac:dyDescent="0.2">
      <c r="B71" s="23" t="s">
        <v>362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>
        <v>10500</v>
      </c>
      <c r="BS71" s="34">
        <v>10500</v>
      </c>
      <c r="BT71" s="34">
        <v>11200</v>
      </c>
      <c r="BU71" s="34">
        <v>10200</v>
      </c>
      <c r="BV71" s="34">
        <v>11900</v>
      </c>
      <c r="BW71" s="34">
        <v>11500</v>
      </c>
      <c r="BX71" s="34">
        <v>13000</v>
      </c>
      <c r="BY71" s="34">
        <v>12000</v>
      </c>
      <c r="BZ71" s="34">
        <f t="shared" si="56"/>
        <v>11900</v>
      </c>
      <c r="CA71" s="34">
        <f t="shared" si="57"/>
        <v>11500</v>
      </c>
      <c r="CB71" s="34">
        <f t="shared" si="58"/>
        <v>13000</v>
      </c>
      <c r="CC71" s="34">
        <f t="shared" si="59"/>
        <v>12000</v>
      </c>
      <c r="CD71" s="34"/>
      <c r="CE71" s="34"/>
      <c r="CF71" s="34"/>
      <c r="CG71" s="34"/>
      <c r="CH71" s="34"/>
      <c r="CI71" s="39"/>
      <c r="CJ71" s="34"/>
      <c r="CK71" s="34"/>
      <c r="CL71" s="34"/>
      <c r="CM71" s="34"/>
      <c r="CU71" s="65">
        <f t="shared" si="53"/>
        <v>42400</v>
      </c>
      <c r="CV71" s="65">
        <f t="shared" si="54"/>
        <v>48400</v>
      </c>
      <c r="CW71" s="65">
        <f t="shared" si="55"/>
        <v>48400</v>
      </c>
    </row>
    <row r="72" spans="2:101" x14ac:dyDescent="0.2">
      <c r="B72" s="23" t="s">
        <v>361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>
        <v>14100</v>
      </c>
      <c r="BS72" s="34">
        <v>11900</v>
      </c>
      <c r="BT72" s="34">
        <v>13600</v>
      </c>
      <c r="BU72" s="34">
        <v>12100</v>
      </c>
      <c r="BV72" s="34">
        <v>17600</v>
      </c>
      <c r="BW72" s="34">
        <v>16700</v>
      </c>
      <c r="BX72" s="34">
        <v>16300</v>
      </c>
      <c r="BY72" s="34">
        <v>16200</v>
      </c>
      <c r="BZ72" s="34">
        <f t="shared" si="56"/>
        <v>17600</v>
      </c>
      <c r="CA72" s="34">
        <f t="shared" si="57"/>
        <v>16700</v>
      </c>
      <c r="CB72" s="34">
        <f t="shared" si="58"/>
        <v>16300</v>
      </c>
      <c r="CC72" s="34">
        <f t="shared" si="59"/>
        <v>16200</v>
      </c>
      <c r="CD72" s="34"/>
      <c r="CE72" s="34"/>
      <c r="CF72" s="34"/>
      <c r="CG72" s="34"/>
      <c r="CH72" s="34"/>
      <c r="CI72" s="39"/>
      <c r="CJ72" s="34"/>
      <c r="CK72" s="34"/>
      <c r="CL72" s="34"/>
      <c r="CM72" s="34"/>
      <c r="CU72" s="65">
        <f t="shared" ref="CU72:CU83" si="60">SUM(BR72:BU72)</f>
        <v>51700</v>
      </c>
      <c r="CV72" s="65">
        <f t="shared" ref="CV72:CV83" si="61">SUM(BV72:BY72)</f>
        <v>66800</v>
      </c>
      <c r="CW72" s="65">
        <f t="shared" ref="CW72:CW83" si="62">SUM(BZ72:CC72)</f>
        <v>66800</v>
      </c>
    </row>
    <row r="73" spans="2:101" x14ac:dyDescent="0.2">
      <c r="B73" s="23" t="s">
        <v>360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>
        <v>18600</v>
      </c>
      <c r="BS73" s="34">
        <v>16200</v>
      </c>
      <c r="BT73" s="34">
        <v>22900</v>
      </c>
      <c r="BU73" s="34">
        <v>15400</v>
      </c>
      <c r="BV73" s="34">
        <v>22200</v>
      </c>
      <c r="BW73" s="34">
        <v>20200</v>
      </c>
      <c r="BX73" s="34">
        <v>22600</v>
      </c>
      <c r="BY73" s="34">
        <v>20300</v>
      </c>
      <c r="BZ73" s="34">
        <f t="shared" si="56"/>
        <v>22200</v>
      </c>
      <c r="CA73" s="34">
        <f t="shared" si="57"/>
        <v>20200</v>
      </c>
      <c r="CB73" s="34">
        <f t="shared" si="58"/>
        <v>22600</v>
      </c>
      <c r="CC73" s="34">
        <f t="shared" si="59"/>
        <v>20300</v>
      </c>
      <c r="CD73" s="34"/>
      <c r="CE73" s="34"/>
      <c r="CF73" s="34"/>
      <c r="CG73" s="34"/>
      <c r="CH73" s="34"/>
      <c r="CI73" s="39"/>
      <c r="CJ73" s="34"/>
      <c r="CK73" s="34"/>
      <c r="CL73" s="34"/>
      <c r="CM73" s="34"/>
      <c r="CU73" s="65">
        <f t="shared" si="60"/>
        <v>73100</v>
      </c>
      <c r="CV73" s="65">
        <f t="shared" si="61"/>
        <v>85300</v>
      </c>
      <c r="CW73" s="65">
        <f t="shared" si="62"/>
        <v>85300</v>
      </c>
    </row>
    <row r="74" spans="2:101" x14ac:dyDescent="0.2">
      <c r="B74" s="23" t="s">
        <v>359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>
        <v>25500</v>
      </c>
      <c r="BS74" s="34">
        <v>22100</v>
      </c>
      <c r="BT74" s="34">
        <v>30900</v>
      </c>
      <c r="BU74" s="34">
        <v>24800</v>
      </c>
      <c r="BV74" s="34">
        <v>34000</v>
      </c>
      <c r="BW74" s="34">
        <v>38800</v>
      </c>
      <c r="BX74" s="34">
        <v>44100</v>
      </c>
      <c r="BY74" s="34">
        <v>34900</v>
      </c>
      <c r="BZ74" s="34">
        <f t="shared" ref="BZ74:BZ76" si="63">BV74</f>
        <v>34000</v>
      </c>
      <c r="CA74" s="34">
        <f t="shared" ref="CA74:CA76" si="64">BW74</f>
        <v>38800</v>
      </c>
      <c r="CB74" s="34">
        <f t="shared" ref="CB74:CB76" si="65">BX74</f>
        <v>44100</v>
      </c>
      <c r="CC74" s="34">
        <f t="shared" ref="CC74:CC76" si="66">BY74</f>
        <v>34900</v>
      </c>
      <c r="CD74" s="34"/>
      <c r="CE74" s="34"/>
      <c r="CF74" s="34"/>
      <c r="CG74" s="34"/>
      <c r="CH74" s="34"/>
      <c r="CI74" s="39"/>
      <c r="CJ74" s="34"/>
      <c r="CK74" s="34"/>
      <c r="CL74" s="34"/>
      <c r="CM74" s="34"/>
      <c r="CU74" s="65">
        <f t="shared" si="60"/>
        <v>103300</v>
      </c>
      <c r="CV74" s="65">
        <f t="shared" si="61"/>
        <v>151800</v>
      </c>
      <c r="CW74" s="65">
        <f t="shared" si="62"/>
        <v>151800</v>
      </c>
    </row>
    <row r="75" spans="2:101" x14ac:dyDescent="0.2">
      <c r="B75" s="23" t="s">
        <v>358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>
        <v>6900</v>
      </c>
      <c r="BS75" s="34">
        <v>6600</v>
      </c>
      <c r="BT75" s="34">
        <v>7700</v>
      </c>
      <c r="BU75" s="34">
        <v>10100</v>
      </c>
      <c r="BV75" s="34">
        <v>9200</v>
      </c>
      <c r="BW75" s="34">
        <v>9500</v>
      </c>
      <c r="BX75" s="34">
        <v>11500</v>
      </c>
      <c r="BY75" s="34">
        <v>11700</v>
      </c>
      <c r="BZ75" s="34">
        <f t="shared" si="63"/>
        <v>9200</v>
      </c>
      <c r="CA75" s="34">
        <f t="shared" si="64"/>
        <v>9500</v>
      </c>
      <c r="CB75" s="34">
        <f t="shared" si="65"/>
        <v>11500</v>
      </c>
      <c r="CC75" s="34">
        <f t="shared" si="66"/>
        <v>11700</v>
      </c>
      <c r="CD75" s="34"/>
      <c r="CE75" s="34"/>
      <c r="CF75" s="34"/>
      <c r="CG75" s="34"/>
      <c r="CH75" s="34"/>
      <c r="CI75" s="39"/>
      <c r="CJ75" s="34"/>
      <c r="CK75" s="34"/>
      <c r="CL75" s="34"/>
      <c r="CM75" s="34"/>
      <c r="CU75" s="65">
        <f t="shared" si="60"/>
        <v>31300</v>
      </c>
      <c r="CV75" s="65">
        <f t="shared" si="61"/>
        <v>41900</v>
      </c>
      <c r="CW75" s="65">
        <f t="shared" si="62"/>
        <v>41900</v>
      </c>
    </row>
    <row r="76" spans="2:101" x14ac:dyDescent="0.2">
      <c r="B76" s="23" t="s">
        <v>357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>
        <v>900</v>
      </c>
      <c r="BS76" s="34">
        <v>1100</v>
      </c>
      <c r="BT76" s="34">
        <v>1100</v>
      </c>
      <c r="BU76" s="34">
        <v>900</v>
      </c>
      <c r="BV76" s="34">
        <v>1100</v>
      </c>
      <c r="BW76" s="34">
        <v>1000</v>
      </c>
      <c r="BX76" s="34">
        <v>1200</v>
      </c>
      <c r="BY76" s="34">
        <v>1100</v>
      </c>
      <c r="BZ76" s="34">
        <f t="shared" ref="BZ76:BZ78" si="67">BV76</f>
        <v>1100</v>
      </c>
      <c r="CA76" s="34">
        <f t="shared" ref="CA76:CA78" si="68">BW76</f>
        <v>1000</v>
      </c>
      <c r="CB76" s="34">
        <f t="shared" ref="CB76:CB78" si="69">BX76</f>
        <v>1200</v>
      </c>
      <c r="CC76" s="34">
        <f t="shared" ref="CC76:CC78" si="70">BY76</f>
        <v>1100</v>
      </c>
      <c r="CD76" s="34"/>
      <c r="CE76" s="34"/>
      <c r="CF76" s="34"/>
      <c r="CG76" s="34"/>
      <c r="CH76" s="34"/>
      <c r="CI76" s="39"/>
      <c r="CJ76" s="34"/>
      <c r="CK76" s="34"/>
      <c r="CL76" s="34"/>
      <c r="CM76" s="34"/>
      <c r="CU76" s="65">
        <f t="shared" si="60"/>
        <v>4000</v>
      </c>
      <c r="CV76" s="65">
        <f t="shared" si="61"/>
        <v>4400</v>
      </c>
      <c r="CW76" s="65">
        <f t="shared" si="62"/>
        <v>4400</v>
      </c>
    </row>
    <row r="77" spans="2:101" x14ac:dyDescent="0.2">
      <c r="B77" s="23" t="s">
        <v>356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>
        <v>3300</v>
      </c>
      <c r="BS77" s="34">
        <v>5100</v>
      </c>
      <c r="BT77" s="34">
        <v>5200</v>
      </c>
      <c r="BU77" s="34">
        <v>4200</v>
      </c>
      <c r="BV77" s="34">
        <v>5400</v>
      </c>
      <c r="BW77" s="34">
        <v>5300</v>
      </c>
      <c r="BX77" s="34">
        <v>4200</v>
      </c>
      <c r="BY77" s="34">
        <v>4700</v>
      </c>
      <c r="BZ77" s="34">
        <f t="shared" si="67"/>
        <v>5400</v>
      </c>
      <c r="CA77" s="34">
        <f t="shared" si="68"/>
        <v>5300</v>
      </c>
      <c r="CB77" s="34">
        <f t="shared" si="69"/>
        <v>4200</v>
      </c>
      <c r="CC77" s="34">
        <f t="shared" si="70"/>
        <v>4700</v>
      </c>
      <c r="CD77" s="34"/>
      <c r="CE77" s="34"/>
      <c r="CF77" s="34"/>
      <c r="CG77" s="34"/>
      <c r="CH77" s="34"/>
      <c r="CI77" s="39"/>
      <c r="CJ77" s="34"/>
      <c r="CK77" s="34"/>
      <c r="CL77" s="34"/>
      <c r="CM77" s="34"/>
      <c r="CU77" s="65">
        <f t="shared" si="60"/>
        <v>17800</v>
      </c>
      <c r="CV77" s="65">
        <f t="shared" si="61"/>
        <v>19600</v>
      </c>
      <c r="CW77" s="65">
        <f t="shared" si="62"/>
        <v>19600</v>
      </c>
    </row>
    <row r="78" spans="2:101" x14ac:dyDescent="0.2">
      <c r="B78" s="23" t="s">
        <v>355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>
        <v>3700</v>
      </c>
      <c r="BS78" s="34">
        <v>2600</v>
      </c>
      <c r="BT78" s="34">
        <v>3300</v>
      </c>
      <c r="BU78" s="34">
        <v>2700</v>
      </c>
      <c r="BV78" s="34">
        <v>3200</v>
      </c>
      <c r="BW78" s="34">
        <v>3000</v>
      </c>
      <c r="BX78" s="34">
        <v>3500</v>
      </c>
      <c r="BY78" s="34">
        <v>3100</v>
      </c>
      <c r="BZ78" s="34">
        <f t="shared" ref="BZ78:BZ81" si="71">BV78</f>
        <v>3200</v>
      </c>
      <c r="CA78" s="34">
        <f t="shared" ref="CA78:CA81" si="72">BW78</f>
        <v>3000</v>
      </c>
      <c r="CB78" s="34">
        <f t="shared" ref="CB78:CB81" si="73">BX78</f>
        <v>3500</v>
      </c>
      <c r="CC78" s="34">
        <f t="shared" ref="CC78:CC81" si="74">BY78</f>
        <v>3100</v>
      </c>
      <c r="CD78" s="34"/>
      <c r="CE78" s="34"/>
      <c r="CF78" s="34"/>
      <c r="CG78" s="34"/>
      <c r="CH78" s="34"/>
      <c r="CI78" s="39"/>
      <c r="CJ78" s="34"/>
      <c r="CK78" s="34"/>
      <c r="CL78" s="34"/>
      <c r="CM78" s="34"/>
      <c r="CU78" s="65">
        <f t="shared" si="60"/>
        <v>12300</v>
      </c>
      <c r="CV78" s="65">
        <f t="shared" si="61"/>
        <v>12800</v>
      </c>
      <c r="CW78" s="65">
        <f t="shared" si="62"/>
        <v>12800</v>
      </c>
    </row>
    <row r="79" spans="2:101" x14ac:dyDescent="0.2">
      <c r="B79" s="23" t="s">
        <v>354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>
        <v>11400</v>
      </c>
      <c r="BS79" s="34">
        <v>8800</v>
      </c>
      <c r="BT79" s="34">
        <v>8800</v>
      </c>
      <c r="BU79" s="34">
        <v>10200</v>
      </c>
      <c r="BV79" s="34">
        <v>10500</v>
      </c>
      <c r="BW79" s="34">
        <v>10800</v>
      </c>
      <c r="BX79" s="34">
        <v>11300</v>
      </c>
      <c r="BY79" s="34">
        <v>8700</v>
      </c>
      <c r="BZ79" s="34">
        <f t="shared" si="71"/>
        <v>10500</v>
      </c>
      <c r="CA79" s="34">
        <f t="shared" si="72"/>
        <v>10800</v>
      </c>
      <c r="CB79" s="34">
        <f t="shared" si="73"/>
        <v>11300</v>
      </c>
      <c r="CC79" s="34">
        <f t="shared" si="74"/>
        <v>8700</v>
      </c>
      <c r="CD79" s="34"/>
      <c r="CE79" s="34"/>
      <c r="CF79" s="34"/>
      <c r="CG79" s="34"/>
      <c r="CH79" s="34"/>
      <c r="CI79" s="39"/>
      <c r="CJ79" s="34"/>
      <c r="CK79" s="34"/>
      <c r="CL79" s="34"/>
      <c r="CM79" s="34"/>
      <c r="CU79" s="65">
        <f t="shared" si="60"/>
        <v>39200</v>
      </c>
      <c r="CV79" s="65">
        <f t="shared" si="61"/>
        <v>41300</v>
      </c>
      <c r="CW79" s="65">
        <f t="shared" si="62"/>
        <v>41300</v>
      </c>
    </row>
    <row r="80" spans="2:101" x14ac:dyDescent="0.2">
      <c r="B80" s="23" t="s">
        <v>353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>
        <v>15400</v>
      </c>
      <c r="BS80" s="34">
        <v>14600</v>
      </c>
      <c r="BT80" s="34">
        <v>15900</v>
      </c>
      <c r="BU80" s="34">
        <v>14900</v>
      </c>
      <c r="BV80" s="34">
        <v>17500</v>
      </c>
      <c r="BW80" s="34">
        <v>16900</v>
      </c>
      <c r="BX80" s="34">
        <v>15500</v>
      </c>
      <c r="BY80" s="34">
        <v>16700</v>
      </c>
      <c r="BZ80" s="34">
        <f t="shared" si="71"/>
        <v>17500</v>
      </c>
      <c r="CA80" s="34">
        <f t="shared" si="72"/>
        <v>16900</v>
      </c>
      <c r="CB80" s="34">
        <f t="shared" si="73"/>
        <v>15500</v>
      </c>
      <c r="CC80" s="34">
        <f t="shared" si="74"/>
        <v>16700</v>
      </c>
      <c r="CD80" s="34"/>
      <c r="CE80" s="34"/>
      <c r="CF80" s="34"/>
      <c r="CG80" s="34"/>
      <c r="CH80" s="34"/>
      <c r="CI80" s="39"/>
      <c r="CJ80" s="34"/>
      <c r="CK80" s="34"/>
      <c r="CL80" s="34"/>
      <c r="CM80" s="34"/>
      <c r="CU80" s="65">
        <f t="shared" si="60"/>
        <v>60800</v>
      </c>
      <c r="CV80" s="65">
        <f t="shared" si="61"/>
        <v>66600</v>
      </c>
      <c r="CW80" s="65">
        <f t="shared" si="62"/>
        <v>66600</v>
      </c>
    </row>
    <row r="81" spans="2:101" x14ac:dyDescent="0.2">
      <c r="B81" s="23" t="s">
        <v>352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>
        <v>30700</v>
      </c>
      <c r="BS81" s="34">
        <f>61300-BR81</f>
        <v>30600</v>
      </c>
      <c r="BT81" s="34">
        <v>28000</v>
      </c>
      <c r="BU81" s="34">
        <v>29200</v>
      </c>
      <c r="BV81" s="34">
        <v>32100</v>
      </c>
      <c r="BW81" s="34">
        <f>62400-BV81</f>
        <v>30300</v>
      </c>
      <c r="BX81" s="34">
        <v>29700</v>
      </c>
      <c r="BY81" s="34">
        <v>26100</v>
      </c>
      <c r="BZ81" s="34">
        <f t="shared" ref="BZ81" si="75">BV81</f>
        <v>32100</v>
      </c>
      <c r="CA81" s="34">
        <f t="shared" ref="CA81" si="76">BW81</f>
        <v>30300</v>
      </c>
      <c r="CB81" s="34">
        <f t="shared" ref="CB81" si="77">BX81</f>
        <v>29700</v>
      </c>
      <c r="CC81" s="34">
        <f t="shared" ref="CC81" si="78">BY81</f>
        <v>26100</v>
      </c>
      <c r="CD81" s="34"/>
      <c r="CE81" s="34"/>
      <c r="CF81" s="34"/>
      <c r="CG81" s="34"/>
      <c r="CH81" s="34"/>
      <c r="CI81" s="39"/>
      <c r="CJ81" s="34"/>
      <c r="CK81" s="34"/>
      <c r="CL81" s="34"/>
      <c r="CM81" s="34"/>
      <c r="CU81" s="65">
        <f t="shared" si="60"/>
        <v>118500</v>
      </c>
      <c r="CV81" s="65">
        <f t="shared" si="61"/>
        <v>118200</v>
      </c>
      <c r="CW81" s="65">
        <f t="shared" si="62"/>
        <v>118200</v>
      </c>
    </row>
    <row r="82" spans="2:101" x14ac:dyDescent="0.2">
      <c r="B82" s="23" t="s">
        <v>351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>
        <v>6700</v>
      </c>
      <c r="BS82" s="34">
        <f>12700-BR82</f>
        <v>6000</v>
      </c>
      <c r="BT82" s="34">
        <v>6100</v>
      </c>
      <c r="BU82" s="34">
        <v>4400</v>
      </c>
      <c r="BV82" s="34">
        <v>6100</v>
      </c>
      <c r="BW82" s="34">
        <f>11600-BV82</f>
        <v>5500</v>
      </c>
      <c r="BX82" s="34">
        <v>6100</v>
      </c>
      <c r="BY82" s="34">
        <v>4300</v>
      </c>
      <c r="BZ82" s="34">
        <f t="shared" ref="BZ82" si="79">BV82</f>
        <v>6100</v>
      </c>
      <c r="CA82" s="34">
        <f t="shared" ref="CA82" si="80">BW82</f>
        <v>5500</v>
      </c>
      <c r="CB82" s="34">
        <f t="shared" ref="CB82" si="81">BX82</f>
        <v>6100</v>
      </c>
      <c r="CC82" s="34">
        <f t="shared" ref="CC82" si="82">BY82</f>
        <v>4300</v>
      </c>
      <c r="CD82" s="34"/>
      <c r="CE82" s="34"/>
      <c r="CF82" s="34"/>
      <c r="CG82" s="34"/>
      <c r="CH82" s="34"/>
      <c r="CI82" s="39"/>
      <c r="CJ82" s="34"/>
      <c r="CK82" s="34"/>
      <c r="CL82" s="34"/>
      <c r="CM82" s="34"/>
      <c r="CU82" s="65">
        <f t="shared" si="60"/>
        <v>23200</v>
      </c>
      <c r="CV82" s="65">
        <f t="shared" si="61"/>
        <v>22000</v>
      </c>
      <c r="CW82" s="65">
        <f t="shared" si="62"/>
        <v>22000</v>
      </c>
    </row>
    <row r="83" spans="2:101" x14ac:dyDescent="0.2">
      <c r="B83" s="23" t="s">
        <v>350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>
        <v>400</v>
      </c>
      <c r="BS83" s="34">
        <f>800-BR83</f>
        <v>400</v>
      </c>
      <c r="BT83" s="34">
        <v>600</v>
      </c>
      <c r="BU83" s="34">
        <v>500</v>
      </c>
      <c r="BV83" s="34">
        <v>600</v>
      </c>
      <c r="BW83" s="34">
        <f>1100-BV83</f>
        <v>500</v>
      </c>
      <c r="BX83" s="34">
        <v>800</v>
      </c>
      <c r="BY83" s="34">
        <v>700</v>
      </c>
      <c r="BZ83" s="34">
        <f>BY83+100</f>
        <v>800</v>
      </c>
      <c r="CA83" s="34">
        <f>BZ83+100</f>
        <v>900</v>
      </c>
      <c r="CB83" s="34">
        <f>CA83+100</f>
        <v>1000</v>
      </c>
      <c r="CC83" s="34">
        <f>CB83+100</f>
        <v>1100</v>
      </c>
      <c r="CD83" s="34"/>
      <c r="CE83" s="34"/>
      <c r="CF83" s="34"/>
      <c r="CG83" s="34"/>
      <c r="CH83" s="34"/>
      <c r="CI83" s="39"/>
      <c r="CJ83" s="34"/>
      <c r="CK83" s="34"/>
      <c r="CL83" s="34"/>
      <c r="CM83" s="34"/>
      <c r="CU83" s="65">
        <f t="shared" si="60"/>
        <v>1900</v>
      </c>
      <c r="CV83" s="65">
        <f t="shared" si="61"/>
        <v>2600</v>
      </c>
      <c r="CW83" s="65">
        <f t="shared" si="62"/>
        <v>3800</v>
      </c>
    </row>
    <row r="84" spans="2:101" x14ac:dyDescent="0.2">
      <c r="B84" s="23" t="s">
        <v>349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>
        <v>3200</v>
      </c>
      <c r="BS84" s="34">
        <f>6400-BR84</f>
        <v>3200</v>
      </c>
      <c r="BT84" s="34">
        <v>3700</v>
      </c>
      <c r="BU84" s="34">
        <v>2900</v>
      </c>
      <c r="BV84" s="34">
        <v>3900</v>
      </c>
      <c r="BW84" s="34">
        <f>7700-BV84</f>
        <v>3800</v>
      </c>
      <c r="BX84" s="34">
        <v>5600</v>
      </c>
      <c r="BY84" s="34">
        <v>4800</v>
      </c>
      <c r="BZ84" s="34">
        <f t="shared" ref="BZ84" si="83">BV84</f>
        <v>3900</v>
      </c>
      <c r="CA84" s="34">
        <f t="shared" ref="CA84" si="84">BW84</f>
        <v>3800</v>
      </c>
      <c r="CB84" s="34">
        <f t="shared" ref="CB84" si="85">BX84</f>
        <v>5600</v>
      </c>
      <c r="CC84" s="34">
        <f t="shared" ref="CC84" si="86">BY84</f>
        <v>4800</v>
      </c>
      <c r="CD84" s="34"/>
      <c r="CE84" s="34"/>
      <c r="CF84" s="34"/>
      <c r="CG84" s="34"/>
      <c r="CH84" s="34"/>
      <c r="CI84" s="39"/>
      <c r="CJ84" s="34"/>
      <c r="CK84" s="34"/>
      <c r="CL84" s="34"/>
      <c r="CM84" s="34"/>
      <c r="CU84" s="65">
        <f t="shared" ref="CU84" si="87">SUM(BR84:BU84)</f>
        <v>13000</v>
      </c>
      <c r="CV84" s="65">
        <f t="shared" ref="CV84" si="88">SUM(BV84:BY84)</f>
        <v>18100</v>
      </c>
      <c r="CW84" s="65">
        <f t="shared" ref="CW84" si="89">SUM(BZ84:CC84)</f>
        <v>18100</v>
      </c>
    </row>
    <row r="85" spans="2:101" x14ac:dyDescent="0.2">
      <c r="B85" s="23" t="s">
        <v>348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>
        <v>4800</v>
      </c>
      <c r="BS85" s="34">
        <f>10000-BR85</f>
        <v>5200</v>
      </c>
      <c r="BT85" s="34">
        <v>5700</v>
      </c>
      <c r="BU85" s="34">
        <v>4400</v>
      </c>
      <c r="BV85" s="34">
        <v>2600</v>
      </c>
      <c r="BW85" s="34">
        <f>4700-BV85</f>
        <v>2100</v>
      </c>
      <c r="BX85" s="34">
        <v>2600</v>
      </c>
      <c r="BY85" s="34">
        <v>1100</v>
      </c>
      <c r="BZ85" s="34">
        <f t="shared" ref="BZ85:BZ86" si="90">BV85*0.9</f>
        <v>2340</v>
      </c>
      <c r="CA85" s="34">
        <f t="shared" ref="CA85:CA86" si="91">BW85*0.9</f>
        <v>1890</v>
      </c>
      <c r="CB85" s="34">
        <f t="shared" ref="CB85:CB86" si="92">BX85*0.9</f>
        <v>2340</v>
      </c>
      <c r="CC85" s="34">
        <f t="shared" ref="CC85:CC86" si="93">BY85*0.9</f>
        <v>990</v>
      </c>
      <c r="CD85" s="34"/>
      <c r="CE85" s="34"/>
      <c r="CF85" s="34"/>
      <c r="CG85" s="34"/>
      <c r="CH85" s="34"/>
      <c r="CI85" s="39"/>
      <c r="CJ85" s="34"/>
      <c r="CK85" s="34"/>
      <c r="CL85" s="34"/>
      <c r="CM85" s="34"/>
      <c r="CU85" s="65">
        <f t="shared" ref="CU85" si="94">SUM(BR85:BU85)</f>
        <v>20100</v>
      </c>
      <c r="CV85" s="65">
        <f t="shared" ref="CV85" si="95">SUM(BV85:BY85)</f>
        <v>8400</v>
      </c>
      <c r="CW85" s="65">
        <f t="shared" ref="CW85" si="96">SUM(BZ85:CC85)</f>
        <v>7560</v>
      </c>
    </row>
    <row r="86" spans="2:101" x14ac:dyDescent="0.2">
      <c r="B86" s="23" t="s">
        <v>347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>
        <v>6400</v>
      </c>
      <c r="BS86" s="34">
        <f>11700-BR86</f>
        <v>5300</v>
      </c>
      <c r="BT86" s="34">
        <v>7300</v>
      </c>
      <c r="BU86" s="34">
        <v>7400</v>
      </c>
      <c r="BV86" s="34">
        <v>5700</v>
      </c>
      <c r="BW86" s="34">
        <f>11300-BV86</f>
        <v>5600</v>
      </c>
      <c r="BX86" s="34">
        <v>6300</v>
      </c>
      <c r="BY86" s="34">
        <v>6100</v>
      </c>
      <c r="BZ86" s="34">
        <f>BV86*0.9</f>
        <v>5130</v>
      </c>
      <c r="CA86" s="34">
        <f>BW86*0.9</f>
        <v>5040</v>
      </c>
      <c r="CB86" s="34">
        <f>BX86*0.9</f>
        <v>5670</v>
      </c>
      <c r="CC86" s="34">
        <f>BY86*0.9</f>
        <v>5490</v>
      </c>
      <c r="CD86" s="34"/>
      <c r="CE86" s="34"/>
      <c r="CF86" s="34"/>
      <c r="CG86" s="34"/>
      <c r="CH86" s="34"/>
      <c r="CI86" s="39"/>
      <c r="CJ86" s="34"/>
      <c r="CK86" s="34"/>
      <c r="CL86" s="34"/>
      <c r="CM86" s="34"/>
      <c r="CU86" s="65">
        <f t="shared" ref="CU86" si="97">SUM(BR86:BU86)</f>
        <v>26400</v>
      </c>
      <c r="CV86" s="65">
        <f t="shared" ref="CV86" si="98">SUM(BV86:BY86)</f>
        <v>23700</v>
      </c>
      <c r="CW86" s="65">
        <f t="shared" ref="CW86" si="99">SUM(BZ86:CC86)</f>
        <v>21330</v>
      </c>
    </row>
    <row r="87" spans="2:101" x14ac:dyDescent="0.2">
      <c r="B87" s="23" t="s">
        <v>346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>
        <v>10400</v>
      </c>
      <c r="BS87" s="34">
        <f>19900-BR87</f>
        <v>9500</v>
      </c>
      <c r="BT87" s="34">
        <v>10200</v>
      </c>
      <c r="BU87" s="34">
        <v>10200</v>
      </c>
      <c r="BV87" s="34">
        <v>11300</v>
      </c>
      <c r="BW87" s="34">
        <f>22200-BV87</f>
        <v>10900</v>
      </c>
      <c r="BX87" s="34">
        <v>11600</v>
      </c>
      <c r="BY87" s="34">
        <v>11700</v>
      </c>
      <c r="BZ87" s="34">
        <f t="shared" ref="BZ87:BZ88" si="100">BV87</f>
        <v>11300</v>
      </c>
      <c r="CA87" s="34">
        <f t="shared" ref="CA87:CA88" si="101">BW87</f>
        <v>10900</v>
      </c>
      <c r="CB87" s="34">
        <f t="shared" ref="CB87:CB88" si="102">BX87</f>
        <v>11600</v>
      </c>
      <c r="CC87" s="34">
        <f t="shared" ref="CC87:CC88" si="103">BY87</f>
        <v>11700</v>
      </c>
      <c r="CD87" s="34"/>
      <c r="CE87" s="34"/>
      <c r="CF87" s="34"/>
      <c r="CG87" s="34"/>
      <c r="CH87" s="34"/>
      <c r="CI87" s="39"/>
      <c r="CJ87" s="34"/>
      <c r="CK87" s="34"/>
      <c r="CL87" s="34"/>
      <c r="CM87" s="34"/>
      <c r="CU87" s="65">
        <f t="shared" ref="CU87" si="104">SUM(BR87:BU87)</f>
        <v>40300</v>
      </c>
      <c r="CV87" s="65">
        <f t="shared" ref="CV87" si="105">SUM(BV87:BY87)</f>
        <v>45500</v>
      </c>
      <c r="CW87" s="65">
        <f t="shared" ref="CW87" si="106">SUM(BZ87:CC87)</f>
        <v>45500</v>
      </c>
    </row>
    <row r="88" spans="2:101" x14ac:dyDescent="0.2">
      <c r="B88" s="23" t="s">
        <v>345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>
        <v>24300</v>
      </c>
      <c r="BS88" s="34">
        <f>49100-BR88</f>
        <v>24800</v>
      </c>
      <c r="BT88" s="34">
        <v>29300</v>
      </c>
      <c r="BU88" s="34">
        <v>24000</v>
      </c>
      <c r="BV88" s="34">
        <v>27600</v>
      </c>
      <c r="BW88" s="34">
        <f>54700-BV88</f>
        <v>27100</v>
      </c>
      <c r="BX88" s="34">
        <v>29800</v>
      </c>
      <c r="BY88" s="34">
        <v>24200</v>
      </c>
      <c r="BZ88" s="34">
        <f t="shared" ref="BZ88:BZ89" si="107">BV88</f>
        <v>27600</v>
      </c>
      <c r="CA88" s="34">
        <f t="shared" ref="CA88:CA89" si="108">BW88</f>
        <v>27100</v>
      </c>
      <c r="CB88" s="34">
        <f t="shared" ref="CB88:CB89" si="109">BX88</f>
        <v>29800</v>
      </c>
      <c r="CC88" s="34">
        <f t="shared" ref="CC88:CC89" si="110">BY88</f>
        <v>24200</v>
      </c>
      <c r="CD88" s="34"/>
      <c r="CE88" s="34"/>
      <c r="CF88" s="34"/>
      <c r="CG88" s="34"/>
      <c r="CH88" s="34"/>
      <c r="CI88" s="39"/>
      <c r="CJ88" s="34"/>
      <c r="CK88" s="34"/>
      <c r="CL88" s="34"/>
      <c r="CM88" s="34"/>
      <c r="CU88" s="65">
        <f t="shared" ref="CU88" si="111">SUM(BR88:BU88)</f>
        <v>102400</v>
      </c>
      <c r="CV88" s="65">
        <f t="shared" ref="CV88" si="112">SUM(BV88:BY88)</f>
        <v>108700</v>
      </c>
      <c r="CW88" s="65">
        <f t="shared" ref="CW88" si="113">SUM(BZ88:CC88)</f>
        <v>108700</v>
      </c>
    </row>
    <row r="89" spans="2:101" x14ac:dyDescent="0.2">
      <c r="B89" s="23" t="s">
        <v>344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>
        <v>18100</v>
      </c>
      <c r="BS89" s="34">
        <f>36800-BR89</f>
        <v>18700</v>
      </c>
      <c r="BT89" s="34">
        <v>19800</v>
      </c>
      <c r="BU89" s="34">
        <v>19100</v>
      </c>
      <c r="BV89" s="34">
        <v>21900</v>
      </c>
      <c r="BW89" s="34">
        <f>48400-BV89</f>
        <v>26500</v>
      </c>
      <c r="BX89" s="34">
        <v>29800</v>
      </c>
      <c r="BY89" s="34">
        <v>14900</v>
      </c>
      <c r="BZ89" s="34">
        <f>BV89</f>
        <v>21900</v>
      </c>
      <c r="CA89" s="34">
        <f>BW89</f>
        <v>26500</v>
      </c>
      <c r="CB89" s="34">
        <f>BX89</f>
        <v>29800</v>
      </c>
      <c r="CC89" s="34">
        <f>BY89</f>
        <v>14900</v>
      </c>
      <c r="CD89" s="34"/>
      <c r="CE89" s="34"/>
      <c r="CF89" s="34"/>
      <c r="CG89" s="34"/>
      <c r="CH89" s="34"/>
      <c r="CI89" s="39"/>
      <c r="CJ89" s="34"/>
      <c r="CK89" s="34"/>
      <c r="CL89" s="34"/>
      <c r="CM89" s="34"/>
      <c r="CU89" s="65">
        <f t="shared" ref="CU89" si="114">SUM(BR89:BU89)</f>
        <v>75700</v>
      </c>
      <c r="CV89" s="65">
        <f t="shared" ref="CV89" si="115">SUM(BV89:BY89)</f>
        <v>93100</v>
      </c>
      <c r="CW89" s="65">
        <f t="shared" ref="CW89" si="116">SUM(BZ89:CC89)</f>
        <v>93100</v>
      </c>
    </row>
    <row r="90" spans="2:101" x14ac:dyDescent="0.2">
      <c r="B90" s="23" t="s">
        <v>338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>
        <v>125400</v>
      </c>
      <c r="BS90" s="34">
        <f>255900-BR90</f>
        <v>130500</v>
      </c>
      <c r="BT90" s="34">
        <v>139500</v>
      </c>
      <c r="BU90" s="34">
        <v>126400</v>
      </c>
      <c r="BV90" s="34">
        <v>168300</v>
      </c>
      <c r="BW90" s="34">
        <f>346600-BV90</f>
        <v>178300</v>
      </c>
      <c r="BX90" s="34">
        <v>201300</v>
      </c>
      <c r="BY90" s="34">
        <v>154900</v>
      </c>
      <c r="BZ90" s="34">
        <f>BV90*1.2</f>
        <v>201960</v>
      </c>
      <c r="CA90" s="34">
        <f>BW90*1.2</f>
        <v>213960</v>
      </c>
      <c r="CB90" s="34">
        <f>BX90*1.2</f>
        <v>241560</v>
      </c>
      <c r="CC90" s="34">
        <f>BY90*1.2</f>
        <v>185880</v>
      </c>
      <c r="CD90" s="34"/>
      <c r="CE90" s="34"/>
      <c r="CF90" s="34"/>
      <c r="CG90" s="34"/>
      <c r="CH90" s="34"/>
      <c r="CI90" s="39"/>
      <c r="CJ90" s="34"/>
      <c r="CK90" s="34"/>
      <c r="CL90" s="34"/>
      <c r="CM90" s="34"/>
      <c r="CU90" s="65">
        <f t="shared" ref="CU90" si="117">SUM(BR90:BU90)</f>
        <v>521800</v>
      </c>
      <c r="CV90" s="65">
        <f t="shared" ref="CV90" si="118">SUM(BV90:BY90)</f>
        <v>702800</v>
      </c>
      <c r="CW90" s="65">
        <f t="shared" ref="CW90" si="119">SUM(BZ90:CC90)</f>
        <v>843360</v>
      </c>
    </row>
    <row r="91" spans="2:101" x14ac:dyDescent="0.2">
      <c r="B91" s="2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9"/>
      <c r="CJ91" s="34"/>
      <c r="CK91" s="34"/>
      <c r="CL91" s="34"/>
      <c r="CM91" s="34"/>
    </row>
    <row r="92" spans="2:101" x14ac:dyDescent="0.2">
      <c r="B92" s="23" t="s">
        <v>210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>
        <f>354698-353610</f>
        <v>1088</v>
      </c>
      <c r="S92" s="34">
        <f>714025-R97-SUM(S23:S45)-S4-S9-S10-S15-S18</f>
        <v>-22163</v>
      </c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>
        <f>CI92</f>
        <v>0</v>
      </c>
      <c r="CK92" s="34"/>
      <c r="CL92" s="34"/>
      <c r="CM92" s="34"/>
      <c r="CU92" s="14">
        <f>CU97-SUM(CU4:CU90)</f>
        <v>488706</v>
      </c>
      <c r="CV92" s="14">
        <f>CV97-SUM(CV4:CV90)</f>
        <v>335678</v>
      </c>
      <c r="CW92" s="14">
        <f>CV92</f>
        <v>335678</v>
      </c>
    </row>
    <row r="93" spans="2:101" x14ac:dyDescent="0.2">
      <c r="B93" s="1" t="s">
        <v>69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W93" s="34">
        <v>0</v>
      </c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>
        <v>30000</v>
      </c>
      <c r="CI93" s="34"/>
      <c r="CJ93" s="34"/>
      <c r="CK93" s="34">
        <v>5000</v>
      </c>
      <c r="CL93" s="34">
        <v>50000</v>
      </c>
      <c r="CM93" s="34">
        <v>100000</v>
      </c>
    </row>
    <row r="94" spans="2:101" x14ac:dyDescent="0.2">
      <c r="B94" s="1" t="s">
        <v>63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>
        <v>0</v>
      </c>
      <c r="CI94" s="34"/>
      <c r="CJ94" s="34"/>
      <c r="CK94" s="34"/>
      <c r="CL94" s="34"/>
      <c r="CM94" s="34"/>
    </row>
    <row r="95" spans="2:101" x14ac:dyDescent="0.2">
      <c r="B95" s="1" t="s">
        <v>71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2:101" x14ac:dyDescent="0.2">
      <c r="F96" s="34"/>
      <c r="G96" s="34"/>
      <c r="H96" s="34"/>
      <c r="I96" s="34"/>
      <c r="J96" s="34">
        <f>J97-SUM(J27:J40)-J24-J18-J15-J10-J4</f>
        <v>48081</v>
      </c>
      <c r="K96" s="34">
        <f>K97-SUM(K27:K40)-K24-K18-K15-K10-K4</f>
        <v>59659</v>
      </c>
      <c r="L96" s="34">
        <f>L97-SUM(L27:L40)-L24-L18-L15-L10-L4</f>
        <v>53150</v>
      </c>
      <c r="M96" s="34"/>
      <c r="N96" s="34">
        <f>N97-SUM(N27:N44)-N24-N18-N15-N10-N4</f>
        <v>23877</v>
      </c>
      <c r="O96" s="34">
        <f>O97-SUM(O27:O40)-O24-O18-O15-O10-O4</f>
        <v>52176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2:124" s="16" customFormat="1" x14ac:dyDescent="0.2">
      <c r="B97" s="16" t="s">
        <v>56</v>
      </c>
      <c r="C97" s="32">
        <v>642427</v>
      </c>
      <c r="D97" s="33"/>
      <c r="E97" s="33"/>
      <c r="F97" s="32">
        <v>366333</v>
      </c>
      <c r="G97" s="32">
        <f>708468-F97</f>
        <v>342135</v>
      </c>
      <c r="H97" s="32">
        <f>1076000-G97-F97</f>
        <v>367532</v>
      </c>
      <c r="I97" s="32">
        <f>1374802-H97-G97-F97</f>
        <v>298802</v>
      </c>
      <c r="J97" s="32">
        <v>396881</v>
      </c>
      <c r="K97" s="32">
        <f>807140-J97</f>
        <v>410259</v>
      </c>
      <c r="L97" s="32">
        <f>1202760-K97-J97</f>
        <v>395620</v>
      </c>
      <c r="M97" s="32">
        <f>1538336-L97-K97-J97</f>
        <v>335576</v>
      </c>
      <c r="N97" s="32">
        <v>378977</v>
      </c>
      <c r="O97" s="32">
        <f>755453-N97</f>
        <v>376476</v>
      </c>
      <c r="P97" s="32">
        <f>1127946-O97-N97</f>
        <v>372493</v>
      </c>
      <c r="Q97" s="32">
        <f>+CI97-P97-O97-N97</f>
        <v>338019</v>
      </c>
      <c r="R97" s="32">
        <f>R4+R10+R15+R18+SUM(R23:R96)</f>
        <v>359498</v>
      </c>
      <c r="S97" s="32">
        <f>S4+S10+S15+S18+SUM(S23:S96)+S9</f>
        <v>354527</v>
      </c>
      <c r="T97" s="32">
        <f>1081130-S97-R97</f>
        <v>367105</v>
      </c>
      <c r="U97" s="32">
        <f>U4+U10+U15+U18+SUM(U23:U96)</f>
        <v>337357</v>
      </c>
      <c r="V97" s="32">
        <f>V4+V10+V15+V18+SUM(V23:V96)</f>
        <v>306766.66000000003</v>
      </c>
      <c r="W97" s="32">
        <f>W4+W10+W15+W18+SUM(W23:W96)</f>
        <v>301041.92180000001</v>
      </c>
      <c r="X97" s="32">
        <f>X4+X10+X15+X18+SUM(X23:X96)</f>
        <v>300429.42261400004</v>
      </c>
      <c r="Y97" s="32">
        <f>Y4+Y10+Y15+Y18+SUM(Y23:Y96)</f>
        <v>306389.31639922003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3"/>
      <c r="AP97" s="32"/>
      <c r="AQ97" s="32"/>
      <c r="AR97" s="32"/>
      <c r="AS97" s="32"/>
      <c r="AT97" s="32"/>
      <c r="AU97" s="32">
        <v>1212200</v>
      </c>
      <c r="AV97" s="32">
        <v>1305167</v>
      </c>
      <c r="AW97" s="32">
        <v>1374800</v>
      </c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>
        <f>SUM(BR4:BR90)</f>
        <v>745200</v>
      </c>
      <c r="BS97" s="32">
        <f>SUM(BS4:BS90)</f>
        <v>759600</v>
      </c>
      <c r="BT97" s="32">
        <f>SUM(BT4:BT90)</f>
        <v>814600</v>
      </c>
      <c r="BU97" s="32">
        <f>SUM(BU4:BU90)</f>
        <v>760900</v>
      </c>
      <c r="BV97" s="32">
        <f>SUM(BV4:BV90)</f>
        <v>889000</v>
      </c>
      <c r="BW97" s="32">
        <f>SUM(BW4:BW90)</f>
        <v>924200</v>
      </c>
      <c r="BX97" s="32">
        <f>SUM(BX4:BX90)</f>
        <v>1014900</v>
      </c>
      <c r="BY97" s="32">
        <f>SUM(BY4:BY90)</f>
        <v>863700</v>
      </c>
      <c r="BZ97" s="32">
        <f>SUM(BZ4:BZ90)</f>
        <v>923330</v>
      </c>
      <c r="CA97" s="32">
        <f>SUM(CA4:CA90)</f>
        <v>961290</v>
      </c>
      <c r="CB97" s="32">
        <f>SUM(CB4:CB90)</f>
        <v>1055470</v>
      </c>
      <c r="CC97" s="32">
        <f>SUM(CC4:CC90)</f>
        <v>895560</v>
      </c>
      <c r="CD97" s="32"/>
      <c r="CE97" s="32"/>
      <c r="CF97" s="32"/>
      <c r="CG97" s="32"/>
      <c r="CH97" s="32">
        <v>1538336</v>
      </c>
      <c r="CI97" s="32">
        <v>1465965</v>
      </c>
      <c r="CJ97" s="32">
        <f>CJ4+CJ10+CJ15+CJ18+SUM(CJ23:CJ96)</f>
        <v>1430248</v>
      </c>
      <c r="CK97" s="32">
        <f>SUM(CK4:CK95)</f>
        <v>1946425.12162644</v>
      </c>
      <c r="CL97" s="32">
        <f>SUM(CL4:CL95)</f>
        <v>1286809.6236819702</v>
      </c>
      <c r="CM97" s="32">
        <f>SUM(CM4:CM95)</f>
        <v>1097533.628754145</v>
      </c>
      <c r="CN97" s="33"/>
      <c r="CO97" s="33"/>
      <c r="CP97" s="33"/>
      <c r="CU97" s="63">
        <v>3569006</v>
      </c>
      <c r="CV97" s="63">
        <v>4027478</v>
      </c>
      <c r="CW97" s="63">
        <f>SUM(CW4:CW92)</f>
        <v>4171328</v>
      </c>
    </row>
    <row r="98" spans="2:124" x14ac:dyDescent="0.2">
      <c r="B98" s="1" t="s">
        <v>57</v>
      </c>
      <c r="C98" s="34"/>
      <c r="F98" s="34">
        <v>71692</v>
      </c>
      <c r="G98" s="34">
        <f>140091-F98</f>
        <v>68399</v>
      </c>
      <c r="H98" s="34">
        <f>214047-G98-F98</f>
        <v>73956</v>
      </c>
      <c r="I98" s="34">
        <f>278631-H98-G98-F98</f>
        <v>64584</v>
      </c>
      <c r="J98" s="34">
        <v>78628</v>
      </c>
      <c r="K98" s="34">
        <f>150709-J98</f>
        <v>72081</v>
      </c>
      <c r="L98" s="34">
        <f>221270-K98-J98</f>
        <v>70561</v>
      </c>
      <c r="M98" s="34">
        <f>289543-L98-K98-J98</f>
        <v>68273</v>
      </c>
      <c r="N98" s="34">
        <v>71336</v>
      </c>
      <c r="O98" s="34">
        <f>140382-N98</f>
        <v>69046</v>
      </c>
      <c r="P98" s="34">
        <f>214629-O98-N98</f>
        <v>74247</v>
      </c>
      <c r="Q98" s="39">
        <f>+CI98-P98-O98-N98</f>
        <v>70435</v>
      </c>
      <c r="R98" s="34">
        <v>73102</v>
      </c>
      <c r="S98" s="34">
        <f>150583-R98</f>
        <v>77481</v>
      </c>
      <c r="T98" s="34">
        <f>234695-S98-R98</f>
        <v>84112</v>
      </c>
      <c r="U98" s="34">
        <f>U97*(1-U113)</f>
        <v>77592.11</v>
      </c>
      <c r="V98" s="34">
        <f>V97*(1-V113)</f>
        <v>70556.3318</v>
      </c>
      <c r="W98" s="34">
        <f>W97*(1-W113)</f>
        <v>69239.642013999997</v>
      </c>
      <c r="X98" s="34">
        <f>X97*(1-X113)</f>
        <v>69098.767201220006</v>
      </c>
      <c r="Y98" s="34">
        <f>Y97*(1-Y113)</f>
        <v>70469.542771820605</v>
      </c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P98" s="34"/>
      <c r="AQ98" s="34"/>
      <c r="AR98" s="34"/>
      <c r="AS98" s="34"/>
      <c r="AT98" s="34"/>
      <c r="AU98" s="34"/>
      <c r="AV98" s="34">
        <v>279662</v>
      </c>
      <c r="AW98" s="34">
        <f>AW97-AW99</f>
        <v>288708</v>
      </c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>
        <f>517061-BR98</f>
        <v>517061</v>
      </c>
      <c r="BT98" s="34"/>
      <c r="BU98" s="34"/>
      <c r="BV98" s="34"/>
      <c r="BW98" s="34">
        <f>598327-BV98</f>
        <v>598327</v>
      </c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>
        <v>289543</v>
      </c>
      <c r="CI98" s="34">
        <v>285064</v>
      </c>
      <c r="CJ98" s="34">
        <f>CJ97-CJ99</f>
        <v>271747.11999999988</v>
      </c>
      <c r="CK98" s="34">
        <f>CK97-CK99</f>
        <v>369820.77310902346</v>
      </c>
      <c r="CL98" s="34">
        <f>CL97-CL99</f>
        <v>231625.73226275458</v>
      </c>
      <c r="CM98" s="34">
        <f>CM97-CM99</f>
        <v>197556.05317574611</v>
      </c>
      <c r="CU98" s="14">
        <v>1106846</v>
      </c>
      <c r="CV98" s="14">
        <v>1244072</v>
      </c>
    </row>
    <row r="99" spans="2:124" x14ac:dyDescent="0.2">
      <c r="B99" s="1" t="s">
        <v>58</v>
      </c>
      <c r="C99" s="34"/>
      <c r="F99" s="34">
        <f t="shared" ref="F99:P99" si="120">F97-F98</f>
        <v>294641</v>
      </c>
      <c r="G99" s="34">
        <f t="shared" si="120"/>
        <v>273736</v>
      </c>
      <c r="H99" s="34">
        <f t="shared" si="120"/>
        <v>293576</v>
      </c>
      <c r="I99" s="34">
        <f t="shared" si="120"/>
        <v>234218</v>
      </c>
      <c r="J99" s="34">
        <f t="shared" si="120"/>
        <v>318253</v>
      </c>
      <c r="K99" s="34">
        <f t="shared" si="120"/>
        <v>338178</v>
      </c>
      <c r="L99" s="34">
        <f t="shared" si="120"/>
        <v>325059</v>
      </c>
      <c r="M99" s="34">
        <f t="shared" si="120"/>
        <v>267303</v>
      </c>
      <c r="N99" s="34">
        <f t="shared" si="120"/>
        <v>307641</v>
      </c>
      <c r="O99" s="34">
        <f t="shared" si="120"/>
        <v>307430</v>
      </c>
      <c r="P99" s="34">
        <f t="shared" si="120"/>
        <v>298246</v>
      </c>
      <c r="Q99" s="34">
        <f t="shared" ref="Q99:Y99" si="121">Q97-Q98</f>
        <v>267584</v>
      </c>
      <c r="R99" s="34">
        <f t="shared" si="121"/>
        <v>286396</v>
      </c>
      <c r="S99" s="34">
        <f t="shared" si="121"/>
        <v>277046</v>
      </c>
      <c r="T99" s="34">
        <f t="shared" si="121"/>
        <v>282993</v>
      </c>
      <c r="U99" s="34">
        <f t="shared" si="121"/>
        <v>259764.89</v>
      </c>
      <c r="V99" s="34">
        <f t="shared" si="121"/>
        <v>236210.32820000005</v>
      </c>
      <c r="W99" s="34">
        <f t="shared" si="121"/>
        <v>231802.27978600003</v>
      </c>
      <c r="X99" s="34">
        <f t="shared" si="121"/>
        <v>231330.65541278003</v>
      </c>
      <c r="Y99" s="34">
        <f t="shared" si="121"/>
        <v>235919.77362739941</v>
      </c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P99" s="34"/>
      <c r="AQ99" s="34"/>
      <c r="AR99" s="34"/>
      <c r="AS99" s="34"/>
      <c r="AT99" s="34"/>
      <c r="AU99" s="34"/>
      <c r="AV99" s="34">
        <f>AV97-AV98</f>
        <v>1025505</v>
      </c>
      <c r="AW99" s="34">
        <f>AW97*AW113</f>
        <v>1086092</v>
      </c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>
        <f>+BS97-BS98</f>
        <v>242539</v>
      </c>
      <c r="BT99" s="34"/>
      <c r="BU99" s="34"/>
      <c r="BV99" s="34"/>
      <c r="BW99" s="34">
        <f>+BW97-BW98</f>
        <v>325873</v>
      </c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>
        <f>+CH97-CH98</f>
        <v>1248793</v>
      </c>
      <c r="CI99" s="34">
        <f>+CI97-CI98</f>
        <v>1180901</v>
      </c>
      <c r="CJ99" s="34">
        <f>CJ97*CJ113</f>
        <v>1158500.8800000001</v>
      </c>
      <c r="CK99" s="34">
        <f>CK97*CK113</f>
        <v>1576604.3485174165</v>
      </c>
      <c r="CL99" s="34">
        <f>CL97*CL113</f>
        <v>1055183.8914192156</v>
      </c>
      <c r="CM99" s="34">
        <f>CM97*CM113</f>
        <v>899977.57557839889</v>
      </c>
      <c r="CU99" s="14">
        <f>CU97-CU98</f>
        <v>2462160</v>
      </c>
      <c r="CV99" s="14">
        <f>CV97-CV98</f>
        <v>2783406</v>
      </c>
    </row>
    <row r="100" spans="2:124" x14ac:dyDescent="0.2">
      <c r="B100" s="1" t="s">
        <v>59</v>
      </c>
      <c r="C100" s="34"/>
      <c r="F100" s="34">
        <v>141520</v>
      </c>
      <c r="G100" s="34">
        <f>303472-F100</f>
        <v>161952</v>
      </c>
      <c r="H100" s="34">
        <f>456103-G100-F100</f>
        <v>152631</v>
      </c>
      <c r="I100" s="34"/>
      <c r="J100" s="34">
        <v>110660</v>
      </c>
      <c r="K100" s="34">
        <f>250334-J100</f>
        <v>139674</v>
      </c>
      <c r="L100" s="34">
        <f>364008-K100-J100</f>
        <v>113674</v>
      </c>
      <c r="M100" s="34"/>
      <c r="N100" s="34">
        <v>117144</v>
      </c>
      <c r="O100" s="34">
        <f>236963-N100</f>
        <v>119819</v>
      </c>
      <c r="P100" s="34">
        <f>347817-O100-N100</f>
        <v>110854</v>
      </c>
      <c r="Q100" s="39"/>
      <c r="R100" s="34">
        <v>112223</v>
      </c>
      <c r="S100" s="34">
        <f>217629-R100</f>
        <v>105406</v>
      </c>
      <c r="T100" s="34">
        <f>323922-S100-R100</f>
        <v>106293</v>
      </c>
      <c r="U100" s="34">
        <f>U97*U114</f>
        <v>97833.53</v>
      </c>
      <c r="V100" s="34">
        <f>V97*V114</f>
        <v>88962.33140000001</v>
      </c>
      <c r="W100" s="34">
        <f>W97*W114</f>
        <v>87302.157321999999</v>
      </c>
      <c r="X100" s="34">
        <f>X97*X114</f>
        <v>87124.532558060004</v>
      </c>
      <c r="Y100" s="34">
        <f>Y97*Y114</f>
        <v>88852.901755773797</v>
      </c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P100" s="34"/>
      <c r="AQ100" s="34"/>
      <c r="AR100" s="34"/>
      <c r="AS100" s="34"/>
      <c r="AT100" s="34"/>
      <c r="AU100" s="34"/>
      <c r="AV100" s="34">
        <v>567005</v>
      </c>
      <c r="AW100" s="34">
        <f>AV100*0.99</f>
        <v>561334.94999999995</v>
      </c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>
        <f>431854-BR100</f>
        <v>431854</v>
      </c>
      <c r="BT100" s="34"/>
      <c r="BU100" s="34"/>
      <c r="BV100" s="34"/>
      <c r="BW100" s="34">
        <f>480214-BV100</f>
        <v>480214</v>
      </c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>
        <v>942325</v>
      </c>
      <c r="CI100" s="34">
        <f>760690-CI101</f>
        <v>464290</v>
      </c>
      <c r="CJ100" s="34">
        <f>CI100*0.99</f>
        <v>459647.1</v>
      </c>
      <c r="CK100" s="34">
        <f>CJ100*0.8</f>
        <v>367717.68</v>
      </c>
      <c r="CL100" s="34">
        <f>CK100*0.8</f>
        <v>294174.14400000003</v>
      </c>
      <c r="CM100" s="34">
        <f>CL100*0.8</f>
        <v>235339.31520000004</v>
      </c>
      <c r="CU100" s="14">
        <v>886361</v>
      </c>
      <c r="CV100" s="14">
        <v>997309</v>
      </c>
    </row>
    <row r="101" spans="2:124" x14ac:dyDescent="0.2">
      <c r="B101" s="1" t="s">
        <v>89</v>
      </c>
      <c r="C101" s="34"/>
      <c r="F101" s="34"/>
      <c r="G101" s="34"/>
      <c r="H101" s="37"/>
      <c r="I101" s="34"/>
      <c r="J101" s="34">
        <v>234829</v>
      </c>
      <c r="K101" s="34">
        <f>321067-J101</f>
        <v>86238</v>
      </c>
      <c r="L101" s="34">
        <f>377598-K101-J101</f>
        <v>56531</v>
      </c>
      <c r="M101" s="34"/>
      <c r="N101" s="34">
        <v>64867</v>
      </c>
      <c r="O101" s="34">
        <f>135581-N101</f>
        <v>70714</v>
      </c>
      <c r="P101" s="34">
        <f>209279-O101-N101</f>
        <v>73698</v>
      </c>
      <c r="Q101" s="34"/>
      <c r="R101" s="34">
        <v>62113</v>
      </c>
      <c r="S101" s="34">
        <f>124195-R101</f>
        <v>62082</v>
      </c>
      <c r="T101" s="34">
        <f>190001-S101-R101</f>
        <v>65806</v>
      </c>
      <c r="U101" s="34">
        <f>T101</f>
        <v>65806</v>
      </c>
      <c r="V101" s="34">
        <f>U101*1.005</f>
        <v>66135.03</v>
      </c>
      <c r="W101" s="34">
        <f>V101</f>
        <v>66135.03</v>
      </c>
      <c r="X101" s="34">
        <f>W101*1.005</f>
        <v>66465.705149999994</v>
      </c>
      <c r="Y101" s="34">
        <f>X101*1.005</f>
        <v>66798.03367574999</v>
      </c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P101" s="34"/>
      <c r="AQ101" s="34"/>
      <c r="AR101" s="34"/>
      <c r="AS101" s="34"/>
      <c r="AT101" s="34"/>
      <c r="AU101" s="34"/>
      <c r="AV101" s="49" t="s">
        <v>244</v>
      </c>
      <c r="AW101" s="49" t="s">
        <v>245</v>
      </c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>
        <f>254081-BR101</f>
        <v>254081</v>
      </c>
      <c r="BT101" s="49"/>
      <c r="BU101" s="49"/>
      <c r="BV101" s="49"/>
      <c r="BW101" s="49">
        <f>297752-BV101</f>
        <v>297752</v>
      </c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 t="s">
        <v>246</v>
      </c>
      <c r="CI101" s="49">
        <v>296400</v>
      </c>
      <c r="CJ101" s="49" t="s">
        <v>247</v>
      </c>
      <c r="CK101" s="34"/>
      <c r="CL101" s="34"/>
      <c r="CM101" s="34"/>
      <c r="CU101" s="14">
        <v>526087</v>
      </c>
      <c r="CV101" s="14">
        <v>633325</v>
      </c>
    </row>
    <row r="102" spans="2:124" x14ac:dyDescent="0.2">
      <c r="B102" s="23" t="s">
        <v>185</v>
      </c>
      <c r="C102" s="34"/>
      <c r="F102" s="34"/>
      <c r="G102" s="34"/>
      <c r="H102" s="37"/>
      <c r="I102" s="34"/>
      <c r="J102" s="34">
        <f>J101+J100</f>
        <v>345489</v>
      </c>
      <c r="K102" s="34">
        <f>K101+K100</f>
        <v>225912</v>
      </c>
      <c r="L102" s="34">
        <f>L101+L100</f>
        <v>170205</v>
      </c>
      <c r="M102" s="34">
        <f>942325-L102-K102-J102</f>
        <v>200719</v>
      </c>
      <c r="N102" s="34">
        <f>N101+N100</f>
        <v>182011</v>
      </c>
      <c r="O102" s="34">
        <f>O101+O100</f>
        <v>190533</v>
      </c>
      <c r="P102" s="34">
        <f>P101+P100</f>
        <v>184552</v>
      </c>
      <c r="Q102" s="34">
        <f>760690-P102-O102-N102</f>
        <v>203594</v>
      </c>
      <c r="R102" s="34">
        <f>R101+R100</f>
        <v>174336</v>
      </c>
      <c r="S102" s="34">
        <f>S101+S100</f>
        <v>167488</v>
      </c>
      <c r="T102" s="34">
        <f>T101+T100</f>
        <v>172099</v>
      </c>
      <c r="U102" s="34">
        <f>U100+U101</f>
        <v>163639.53</v>
      </c>
      <c r="V102" s="34">
        <f>V100+V101</f>
        <v>155097.36139999999</v>
      </c>
      <c r="W102" s="34">
        <f>W100+W101</f>
        <v>153437.18732199998</v>
      </c>
      <c r="X102" s="34">
        <f>X100+X101</f>
        <v>153590.23770806001</v>
      </c>
      <c r="Y102" s="34">
        <f>Y100+Y101</f>
        <v>155650.93543152377</v>
      </c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>
        <f>+BS100+BS101</f>
        <v>685935</v>
      </c>
      <c r="BT102" s="34"/>
      <c r="BU102" s="34"/>
      <c r="BV102" s="34"/>
      <c r="BW102" s="34">
        <f>+BW100+BW101</f>
        <v>777966</v>
      </c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>
        <f>+CI101+CI100</f>
        <v>760690</v>
      </c>
      <c r="CJ102" s="34"/>
      <c r="CK102" s="34"/>
      <c r="CL102" s="34"/>
      <c r="CM102" s="34"/>
      <c r="CU102" s="14">
        <f>CU100+CU101</f>
        <v>1412448</v>
      </c>
      <c r="CV102" s="14">
        <f>CV100+CV101</f>
        <v>1630634</v>
      </c>
    </row>
    <row r="103" spans="2:124" x14ac:dyDescent="0.2">
      <c r="B103" s="1" t="s">
        <v>81</v>
      </c>
      <c r="C103" s="34"/>
      <c r="F103" s="34">
        <f>F99-F100</f>
        <v>153121</v>
      </c>
      <c r="G103" s="34">
        <f>G99-G100</f>
        <v>111784</v>
      </c>
      <c r="H103" s="34">
        <f>H99-H100</f>
        <v>140945</v>
      </c>
      <c r="I103" s="34"/>
      <c r="J103" s="34">
        <f t="shared" ref="J103:O103" si="122">J99-J102</f>
        <v>-27236</v>
      </c>
      <c r="K103" s="34">
        <f t="shared" si="122"/>
        <v>112266</v>
      </c>
      <c r="L103" s="34">
        <f t="shared" si="122"/>
        <v>154854</v>
      </c>
      <c r="M103" s="34">
        <f t="shared" si="122"/>
        <v>66584</v>
      </c>
      <c r="N103" s="34">
        <f t="shared" si="122"/>
        <v>125630</v>
      </c>
      <c r="O103" s="34">
        <f t="shared" si="122"/>
        <v>116897</v>
      </c>
      <c r="P103" s="34">
        <f t="shared" ref="P103:Y103" si="123">P99-P102</f>
        <v>113694</v>
      </c>
      <c r="Q103" s="34">
        <f t="shared" si="123"/>
        <v>63990</v>
      </c>
      <c r="R103" s="34">
        <f t="shared" si="123"/>
        <v>112060</v>
      </c>
      <c r="S103" s="34">
        <f t="shared" si="123"/>
        <v>109558</v>
      </c>
      <c r="T103" s="34">
        <f t="shared" si="123"/>
        <v>110894</v>
      </c>
      <c r="U103" s="34">
        <f t="shared" si="123"/>
        <v>96125.360000000015</v>
      </c>
      <c r="V103" s="34">
        <f t="shared" si="123"/>
        <v>81112.966800000053</v>
      </c>
      <c r="W103" s="34">
        <f t="shared" si="123"/>
        <v>78365.092464000045</v>
      </c>
      <c r="X103" s="34">
        <f t="shared" si="123"/>
        <v>77740.417704720021</v>
      </c>
      <c r="Y103" s="34">
        <f t="shared" si="123"/>
        <v>80268.838195875636</v>
      </c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P103" s="34"/>
      <c r="AQ103" s="34"/>
      <c r="AR103" s="34"/>
      <c r="AS103" s="34"/>
      <c r="AT103" s="34"/>
      <c r="AU103" s="34"/>
      <c r="AV103" s="34">
        <f>AV99-AV100</f>
        <v>458500</v>
      </c>
      <c r="AW103" s="34">
        <f>AW99-AW100</f>
        <v>524757.05000000005</v>
      </c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>
        <f>+BS99-BS102</f>
        <v>-443396</v>
      </c>
      <c r="BT103" s="34"/>
      <c r="BU103" s="34"/>
      <c r="BV103" s="34"/>
      <c r="BW103" s="34">
        <f>+BW99-BW102</f>
        <v>-452093</v>
      </c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>
        <f>CH99-CH100</f>
        <v>306468</v>
      </c>
      <c r="CI103" s="34">
        <f>+CI99-CI102</f>
        <v>420211</v>
      </c>
      <c r="CJ103" s="34">
        <f>CJ99-CJ100-CJ101</f>
        <v>398853.78000000014</v>
      </c>
      <c r="CK103" s="34">
        <f>CK99-CK100-CK101</f>
        <v>1208886.6685174166</v>
      </c>
      <c r="CL103" s="34">
        <f>CL99-CL100-CL101</f>
        <v>761009.74741921551</v>
      </c>
      <c r="CM103" s="34">
        <f>CM99-CM100-CM101</f>
        <v>664638.26037839882</v>
      </c>
      <c r="CU103" s="14">
        <f>CU99-CU102</f>
        <v>1049712</v>
      </c>
      <c r="CV103" s="14">
        <f>CV99-CV102</f>
        <v>1152772</v>
      </c>
    </row>
    <row r="104" spans="2:124" x14ac:dyDescent="0.2">
      <c r="B104" s="1" t="s">
        <v>80</v>
      </c>
      <c r="C104" s="34"/>
      <c r="F104" s="34"/>
      <c r="G104" s="34"/>
      <c r="H104" s="34">
        <f>39594+108873-G104-F104</f>
        <v>148467</v>
      </c>
      <c r="I104" s="34"/>
      <c r="J104" s="34">
        <f>5269+2338+5657+2177+3400-384-1816</f>
        <v>16641</v>
      </c>
      <c r="K104" s="34">
        <f>8327+2859+2527+6305-1050-2506-4062-J104</f>
        <v>-4241</v>
      </c>
      <c r="L104" s="34">
        <f>10504+5067+2750+10190-1262-8770-6205-K104-J104</f>
        <v>-126</v>
      </c>
      <c r="M104" s="34">
        <f>11379+5661+2898+5234+12711-1621-8199-7102-L104-K104-J104</f>
        <v>8687</v>
      </c>
      <c r="N104" s="34">
        <f>773+1623+3853+416+2714-342</f>
        <v>9037</v>
      </c>
      <c r="O104" s="34">
        <f>1325+2153+2643+571+6391-821-3843-N104</f>
        <v>-618</v>
      </c>
      <c r="P104" s="34">
        <f>22389-9350-O104-N104</f>
        <v>4620</v>
      </c>
      <c r="Q104" s="34">
        <f>25232-29615-P104-O104-N104</f>
        <v>-17422</v>
      </c>
      <c r="R104" s="34">
        <f>6782-10208</f>
        <v>-3426</v>
      </c>
      <c r="S104" s="34">
        <f>12229-8374-R104</f>
        <v>7281</v>
      </c>
      <c r="T104" s="34">
        <f>11288-S104-R104</f>
        <v>7433</v>
      </c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>
        <f>13476-83359+75707-109272-1366-BR104</f>
        <v>-104814</v>
      </c>
      <c r="BT104" s="34"/>
      <c r="BU104" s="34"/>
      <c r="BV104" s="34"/>
      <c r="BW104" s="34">
        <f>13476-BV104-83359+75707-109272-1366</f>
        <v>-104814</v>
      </c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>
        <f>CI116*$CP$109</f>
        <v>0</v>
      </c>
      <c r="CK104" s="34">
        <f>CJ116*$CP$109</f>
        <v>0</v>
      </c>
      <c r="CL104" s="34">
        <f>CK116*$CP$109</f>
        <v>0</v>
      </c>
      <c r="CM104" s="34">
        <f>CL116*$CP$109</f>
        <v>0</v>
      </c>
      <c r="CU104" s="14">
        <f>43123-159075+23700-166607</f>
        <v>-258859</v>
      </c>
      <c r="CV104" s="14">
        <f>25424-145247+62913-169698</f>
        <v>-226608</v>
      </c>
    </row>
    <row r="105" spans="2:124" x14ac:dyDescent="0.2">
      <c r="B105" s="1" t="s">
        <v>82</v>
      </c>
      <c r="C105" s="34"/>
      <c r="F105" s="34"/>
      <c r="G105" s="34"/>
      <c r="H105" s="34">
        <f>H103+H104</f>
        <v>289412</v>
      </c>
      <c r="I105" s="34"/>
      <c r="J105" s="34">
        <f t="shared" ref="J105:O105" si="124">+J103+J104</f>
        <v>-10595</v>
      </c>
      <c r="K105" s="34">
        <f t="shared" si="124"/>
        <v>108025</v>
      </c>
      <c r="L105" s="34">
        <f t="shared" si="124"/>
        <v>154728</v>
      </c>
      <c r="M105" s="34">
        <f t="shared" si="124"/>
        <v>75271</v>
      </c>
      <c r="N105" s="34">
        <f t="shared" si="124"/>
        <v>134667</v>
      </c>
      <c r="O105" s="34">
        <f t="shared" si="124"/>
        <v>116279</v>
      </c>
      <c r="P105" s="34">
        <f t="shared" ref="P105:Y105" si="125">+P103+P104</f>
        <v>118314</v>
      </c>
      <c r="Q105" s="34">
        <f t="shared" si="125"/>
        <v>46568</v>
      </c>
      <c r="R105" s="34">
        <f t="shared" si="125"/>
        <v>108634</v>
      </c>
      <c r="S105" s="34">
        <f t="shared" si="125"/>
        <v>116839</v>
      </c>
      <c r="T105" s="34">
        <f t="shared" si="125"/>
        <v>118327</v>
      </c>
      <c r="U105" s="34">
        <f t="shared" si="125"/>
        <v>96125.360000000015</v>
      </c>
      <c r="V105" s="34">
        <f t="shared" si="125"/>
        <v>81112.966800000053</v>
      </c>
      <c r="W105" s="34">
        <f t="shared" si="125"/>
        <v>78365.092464000045</v>
      </c>
      <c r="X105" s="34">
        <f t="shared" si="125"/>
        <v>77740.417704720021</v>
      </c>
      <c r="Y105" s="34">
        <f t="shared" si="125"/>
        <v>80268.838195875636</v>
      </c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>
        <f>+BS103+BS104</f>
        <v>-548210</v>
      </c>
      <c r="BT105" s="34"/>
      <c r="BU105" s="34"/>
      <c r="BV105" s="34"/>
      <c r="BW105" s="34">
        <f>+BW103+BW104</f>
        <v>-556907</v>
      </c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>
        <f t="shared" ref="CH105:CM105" si="126">CH103+CH104</f>
        <v>306468</v>
      </c>
      <c r="CI105" s="34">
        <f t="shared" si="126"/>
        <v>420211</v>
      </c>
      <c r="CJ105" s="34">
        <f t="shared" si="126"/>
        <v>398853.78000000014</v>
      </c>
      <c r="CK105" s="34">
        <f t="shared" si="126"/>
        <v>1208886.6685174166</v>
      </c>
      <c r="CL105" s="34">
        <f t="shared" si="126"/>
        <v>761009.74741921551</v>
      </c>
      <c r="CM105" s="34">
        <f t="shared" si="126"/>
        <v>664638.26037839882</v>
      </c>
      <c r="CU105" s="14">
        <f>CU103+CU104</f>
        <v>790853</v>
      </c>
      <c r="CV105" s="14">
        <f>CV103+CV104</f>
        <v>926164</v>
      </c>
    </row>
    <row r="106" spans="2:124" x14ac:dyDescent="0.2">
      <c r="B106" s="1" t="s">
        <v>60</v>
      </c>
      <c r="C106" s="34"/>
      <c r="F106" s="34"/>
      <c r="G106" s="34">
        <v>139288</v>
      </c>
      <c r="H106" s="34">
        <f>212282-G106-F106</f>
        <v>72994</v>
      </c>
      <c r="I106" s="34"/>
      <c r="J106" s="34">
        <f>64232+1070</f>
        <v>65302</v>
      </c>
      <c r="K106" s="34">
        <f>102733+1746-J106</f>
        <v>39177</v>
      </c>
      <c r="L106" s="34">
        <f>156464+2526-K106-J106</f>
        <v>54511</v>
      </c>
      <c r="M106" s="34">
        <f>161351+2810-L106-K106-J106</f>
        <v>5171</v>
      </c>
      <c r="N106" s="34">
        <f>24351+649</f>
        <v>25000</v>
      </c>
      <c r="O106" s="34">
        <f>64028+1243-N106</f>
        <v>40271</v>
      </c>
      <c r="P106" s="34">
        <f>108133+1978-O106-N106</f>
        <v>44840</v>
      </c>
      <c r="Q106" s="34">
        <f>115668+2417-P106-O106-N106</f>
        <v>7974</v>
      </c>
      <c r="R106" s="34">
        <f>38988+735</f>
        <v>39723</v>
      </c>
      <c r="S106" s="34">
        <f>79814-R106</f>
        <v>40091</v>
      </c>
      <c r="T106" s="34">
        <f>118711-S106-R106</f>
        <v>38897</v>
      </c>
      <c r="U106" s="34">
        <f>U105*U115</f>
        <v>31598.773973142233</v>
      </c>
      <c r="V106" s="34">
        <f>V105*V115</f>
        <v>26663.830483487305</v>
      </c>
      <c r="W106" s="34">
        <f>W105*W115</f>
        <v>25760.536492704199</v>
      </c>
      <c r="X106" s="34">
        <f>X105*X115</f>
        <v>25555.190509862456</v>
      </c>
      <c r="Y106" s="34">
        <f>Y105*Y115</f>
        <v>26386.344615387654</v>
      </c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P106" s="34"/>
      <c r="AQ106" s="34"/>
      <c r="AR106" s="34"/>
      <c r="AS106" s="34"/>
      <c r="AT106" s="34"/>
      <c r="AU106" s="34"/>
      <c r="AV106" s="34">
        <v>243842</v>
      </c>
      <c r="AW106" s="34">
        <f>AW103-AW107</f>
        <v>129757.05000000005</v>
      </c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>
        <f>53269-3-BR106</f>
        <v>53266</v>
      </c>
      <c r="BT106" s="34"/>
      <c r="BU106" s="34"/>
      <c r="BV106" s="34"/>
      <c r="BW106" s="34">
        <f>53269-BV106-3</f>
        <v>53266</v>
      </c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>
        <f t="shared" ref="CH106:CM106" si="127">CH105*0.3</f>
        <v>91940.4</v>
      </c>
      <c r="CI106" s="34">
        <f t="shared" si="127"/>
        <v>126063.29999999999</v>
      </c>
      <c r="CJ106" s="34">
        <f t="shared" si="127"/>
        <v>119656.13400000003</v>
      </c>
      <c r="CK106" s="34">
        <f t="shared" si="127"/>
        <v>362666.00055522495</v>
      </c>
      <c r="CL106" s="34">
        <f t="shared" si="127"/>
        <v>228302.92422576464</v>
      </c>
      <c r="CM106" s="34">
        <f t="shared" si="127"/>
        <v>199391.47811351964</v>
      </c>
      <c r="CU106" s="14">
        <v>72405</v>
      </c>
      <c r="CV106" s="14">
        <v>58052</v>
      </c>
    </row>
    <row r="107" spans="2:124" s="23" customFormat="1" x14ac:dyDescent="0.2">
      <c r="B107" s="23" t="s">
        <v>100</v>
      </c>
      <c r="C107" s="39"/>
      <c r="D107" s="24"/>
      <c r="E107" s="24"/>
      <c r="F107" s="39"/>
      <c r="G107" s="39">
        <f>G103-G106</f>
        <v>-27504</v>
      </c>
      <c r="H107" s="39">
        <f>H105-H106</f>
        <v>216418</v>
      </c>
      <c r="I107" s="39"/>
      <c r="J107" s="39">
        <f t="shared" ref="J107:O107" si="128">+J105-J106</f>
        <v>-75897</v>
      </c>
      <c r="K107" s="39">
        <f t="shared" si="128"/>
        <v>68848</v>
      </c>
      <c r="L107" s="39">
        <f t="shared" si="128"/>
        <v>100217</v>
      </c>
      <c r="M107" s="39">
        <f t="shared" si="128"/>
        <v>70100</v>
      </c>
      <c r="N107" s="39">
        <f t="shared" si="128"/>
        <v>109667</v>
      </c>
      <c r="O107" s="39">
        <f t="shared" si="128"/>
        <v>76008</v>
      </c>
      <c r="P107" s="39">
        <f t="shared" ref="P107:Y107" si="129">+P105-P106</f>
        <v>73474</v>
      </c>
      <c r="Q107" s="39">
        <f t="shared" si="129"/>
        <v>38594</v>
      </c>
      <c r="R107" s="39">
        <f t="shared" si="129"/>
        <v>68911</v>
      </c>
      <c r="S107" s="39">
        <f t="shared" si="129"/>
        <v>76748</v>
      </c>
      <c r="T107" s="39">
        <f t="shared" si="129"/>
        <v>79430</v>
      </c>
      <c r="U107" s="39">
        <f t="shared" si="129"/>
        <v>64526.586026857782</v>
      </c>
      <c r="V107" s="39">
        <f t="shared" si="129"/>
        <v>54449.136316512748</v>
      </c>
      <c r="W107" s="39">
        <f t="shared" si="129"/>
        <v>52604.555971295849</v>
      </c>
      <c r="X107" s="39">
        <f t="shared" si="129"/>
        <v>52185.227194857565</v>
      </c>
      <c r="Y107" s="39">
        <f t="shared" si="129"/>
        <v>53882.493580487979</v>
      </c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24"/>
      <c r="AP107" s="39"/>
      <c r="AQ107" s="39"/>
      <c r="AR107" s="39"/>
      <c r="AS107" s="39"/>
      <c r="AT107" s="39"/>
      <c r="AU107" s="39"/>
      <c r="AV107" s="39">
        <f>AV103-AV106</f>
        <v>214658</v>
      </c>
      <c r="AW107" s="39">
        <v>395000</v>
      </c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>
        <f>+BS105-BS106</f>
        <v>-601476</v>
      </c>
      <c r="BT107" s="39"/>
      <c r="BU107" s="39"/>
      <c r="BV107" s="39"/>
      <c r="BW107" s="39">
        <f>+BW105-BW106</f>
        <v>-610173</v>
      </c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>
        <f t="shared" ref="CH107:CM107" si="130">CH105-CH106</f>
        <v>214527.6</v>
      </c>
      <c r="CI107" s="39">
        <f t="shared" si="130"/>
        <v>294147.7</v>
      </c>
      <c r="CJ107" s="39">
        <f t="shared" si="130"/>
        <v>279197.64600000012</v>
      </c>
      <c r="CK107" s="39">
        <f t="shared" si="130"/>
        <v>846220.66796219163</v>
      </c>
      <c r="CL107" s="39">
        <f t="shared" si="130"/>
        <v>532706.82319345092</v>
      </c>
      <c r="CM107" s="39">
        <f t="shared" si="130"/>
        <v>465246.78226487921</v>
      </c>
      <c r="CN107" s="39"/>
      <c r="CO107" s="39"/>
      <c r="CP107" s="39"/>
      <c r="CQ107" s="39"/>
      <c r="CR107" s="39"/>
      <c r="CS107" s="39"/>
      <c r="CT107" s="39"/>
      <c r="CU107" s="39">
        <f>CU105-CU106</f>
        <v>718448</v>
      </c>
      <c r="CV107" s="39">
        <f>CV105-CV106</f>
        <v>868112</v>
      </c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</row>
    <row r="108" spans="2:124" x14ac:dyDescent="0.2">
      <c r="B108" s="1" t="s">
        <v>191</v>
      </c>
      <c r="P108" s="43">
        <f t="shared" ref="P108:Y108" si="131">P107/P109</f>
        <v>93.044389856955931</v>
      </c>
      <c r="Q108" s="43">
        <f t="shared" si="131"/>
        <v>48.891542189611854</v>
      </c>
      <c r="R108" s="43">
        <f t="shared" si="131"/>
        <v>87.297638592225283</v>
      </c>
      <c r="S108" s="43">
        <f t="shared" si="131"/>
        <v>97.225684820654266</v>
      </c>
      <c r="T108" s="43">
        <f t="shared" si="131"/>
        <v>100.62328849357075</v>
      </c>
      <c r="U108" s="43">
        <f t="shared" si="131"/>
        <v>81.743387653099859</v>
      </c>
      <c r="V108" s="43">
        <f t="shared" si="131"/>
        <v>68.977101243890502</v>
      </c>
      <c r="W108" s="43">
        <f t="shared" si="131"/>
        <v>66.640355175322824</v>
      </c>
      <c r="X108" s="43">
        <f t="shared" si="131"/>
        <v>66.109142277863356</v>
      </c>
      <c r="Y108" s="43">
        <f t="shared" si="131"/>
        <v>68.259268491784169</v>
      </c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BS108" s="43">
        <f>+BS107/BS109</f>
        <v>-382.61832061068702</v>
      </c>
      <c r="BW108" s="43">
        <f>+BW107/BW109</f>
        <v>-393.15270618556701</v>
      </c>
      <c r="CH108" s="43">
        <f t="shared" ref="CH108:CM108" si="132">CH107/CH109</f>
        <v>271.77295998375644</v>
      </c>
      <c r="CI108" s="43">
        <f t="shared" si="132"/>
        <v>372.63135939594991</v>
      </c>
      <c r="CJ108" s="46">
        <f t="shared" si="132"/>
        <v>353.69237416824694</v>
      </c>
      <c r="CK108" s="46">
        <f t="shared" si="132"/>
        <v>1072.0068790328812</v>
      </c>
      <c r="CL108" s="46">
        <f t="shared" si="132"/>
        <v>674.84215476127656</v>
      </c>
      <c r="CM108" s="46">
        <f t="shared" si="132"/>
        <v>589.38261604613422</v>
      </c>
      <c r="CV108" s="47">
        <f>CV107/CV109</f>
        <v>559.35051546391753</v>
      </c>
    </row>
    <row r="109" spans="2:124" s="14" customFormat="1" x14ac:dyDescent="0.2">
      <c r="B109" s="14" t="s">
        <v>48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>
        <v>789.66609500000004</v>
      </c>
      <c r="Q109" s="34">
        <f t="shared" ref="Q109:Y109" si="133">789.666095-0.286209</f>
        <v>789.37988600000006</v>
      </c>
      <c r="R109" s="34">
        <f t="shared" si="133"/>
        <v>789.37988600000006</v>
      </c>
      <c r="S109" s="34">
        <f t="shared" si="133"/>
        <v>789.37988600000006</v>
      </c>
      <c r="T109" s="34">
        <f t="shared" si="133"/>
        <v>789.37988600000006</v>
      </c>
      <c r="U109" s="34">
        <f t="shared" si="133"/>
        <v>789.37988600000006</v>
      </c>
      <c r="V109" s="34">
        <f t="shared" si="133"/>
        <v>789.37988600000006</v>
      </c>
      <c r="W109" s="34">
        <f t="shared" si="133"/>
        <v>789.37988600000006</v>
      </c>
      <c r="X109" s="34">
        <f t="shared" si="133"/>
        <v>789.37988600000006</v>
      </c>
      <c r="Y109" s="34">
        <f t="shared" si="133"/>
        <v>789.37988600000006</v>
      </c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>
        <v>1572</v>
      </c>
      <c r="BT109" s="34"/>
      <c r="BU109" s="34"/>
      <c r="BV109" s="34"/>
      <c r="BW109" s="34">
        <v>1552</v>
      </c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>
        <f>789.666095-0.302797</f>
        <v>789.36329799999999</v>
      </c>
      <c r="CI109" s="34">
        <f>789.666095-0.286209</f>
        <v>789.37988600000006</v>
      </c>
      <c r="CJ109" s="34">
        <f>789.666095-0.286209</f>
        <v>789.37988600000006</v>
      </c>
      <c r="CK109" s="34">
        <f>789.666095-0.286209</f>
        <v>789.37988600000006</v>
      </c>
      <c r="CL109" s="34">
        <f>789.666095-0.286209</f>
        <v>789.37988600000006</v>
      </c>
      <c r="CM109" s="34">
        <f>789.666095-0.286209</f>
        <v>789.37988600000006</v>
      </c>
      <c r="CN109" s="34"/>
      <c r="CO109" s="45"/>
      <c r="CP109" s="48"/>
      <c r="CV109" s="14">
        <v>1552</v>
      </c>
    </row>
    <row r="110" spans="2:124" x14ac:dyDescent="0.2">
      <c r="P110" s="39"/>
      <c r="CO110" s="45"/>
      <c r="CP110" s="48"/>
    </row>
    <row r="111" spans="2:124" s="16" customFormat="1" x14ac:dyDescent="0.2">
      <c r="B111" s="16" t="s">
        <v>61</v>
      </c>
      <c r="C111" s="33"/>
      <c r="D111" s="33"/>
      <c r="E111" s="33"/>
      <c r="F111" s="40"/>
      <c r="G111" s="40">
        <f>G97/C97-1</f>
        <v>-0.46743365394044767</v>
      </c>
      <c r="H111" s="40"/>
      <c r="I111" s="40"/>
      <c r="J111" s="40"/>
      <c r="K111" s="40"/>
      <c r="L111" s="40">
        <f t="shared" ref="L111:R111" si="134">+L97/H97-1</f>
        <v>7.6423277428904202E-2</v>
      </c>
      <c r="M111" s="40">
        <f t="shared" si="134"/>
        <v>0.12307146538510461</v>
      </c>
      <c r="N111" s="40">
        <f t="shared" si="134"/>
        <v>-4.5111758940337254E-2</v>
      </c>
      <c r="O111" s="40">
        <f t="shared" si="134"/>
        <v>-8.2345542693761709E-2</v>
      </c>
      <c r="P111" s="40">
        <f t="shared" si="134"/>
        <v>-5.8457610838683616E-2</v>
      </c>
      <c r="Q111" s="40">
        <f t="shared" si="134"/>
        <v>7.280020025270062E-3</v>
      </c>
      <c r="R111" s="40">
        <f t="shared" si="134"/>
        <v>-5.1398897558427081E-2</v>
      </c>
      <c r="S111" s="40">
        <f t="shared" ref="S111:Y111" si="135">+S97/O97-1</f>
        <v>-5.8301193170348209E-2</v>
      </c>
      <c r="T111" s="40">
        <f t="shared" si="135"/>
        <v>-1.4464701350092479E-2</v>
      </c>
      <c r="U111" s="40">
        <f t="shared" si="135"/>
        <v>-1.9584697901596781E-3</v>
      </c>
      <c r="V111" s="40">
        <f t="shared" si="135"/>
        <v>-0.14668048222799557</v>
      </c>
      <c r="W111" s="40">
        <f t="shared" si="135"/>
        <v>-0.1508632013922776</v>
      </c>
      <c r="X111" s="40">
        <f t="shared" si="135"/>
        <v>-0.18162535891911025</v>
      </c>
      <c r="Y111" s="40">
        <f t="shared" si="135"/>
        <v>-9.1794993436567163E-2</v>
      </c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3"/>
      <c r="AP111" s="33"/>
      <c r="AQ111" s="33"/>
      <c r="AR111" s="33"/>
      <c r="AS111" s="33"/>
      <c r="AT111" s="33"/>
      <c r="AU111" s="33"/>
      <c r="AV111" s="40">
        <f>AV97/AU97-1</f>
        <v>7.6692789968652031E-2</v>
      </c>
      <c r="AW111" s="40">
        <f>AW97/AV97-1</f>
        <v>5.3351793295417282E-2</v>
      </c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>
        <f>BV97/BR97-1</f>
        <v>0.19296833064949004</v>
      </c>
      <c r="BW111" s="40">
        <f>BW97/BS97-1</f>
        <v>0.21669299631384931</v>
      </c>
      <c r="BX111" s="40">
        <f>BX97/BT97-1</f>
        <v>0.24588755217284564</v>
      </c>
      <c r="BY111" s="40">
        <f>BY97/BU97-1</f>
        <v>0.13510316730187943</v>
      </c>
      <c r="BZ111" s="40">
        <f>BZ97/BV97-1</f>
        <v>3.8616422947131523E-2</v>
      </c>
      <c r="CA111" s="40">
        <f>CA97/BW97-1</f>
        <v>4.0132006059294456E-2</v>
      </c>
      <c r="CB111" s="40">
        <f>CB97/BX97-1</f>
        <v>3.997438171248402E-2</v>
      </c>
      <c r="CC111" s="40">
        <f>CC97/BY97-1</f>
        <v>3.6887808266759192E-2</v>
      </c>
      <c r="CD111" s="40"/>
      <c r="CE111" s="40"/>
      <c r="CF111" s="40"/>
      <c r="CG111" s="40"/>
      <c r="CH111" s="40">
        <f>CH97/AW97-1</f>
        <v>0.11895257491998845</v>
      </c>
      <c r="CI111" s="40">
        <f>CI97/CH97-1</f>
        <v>-4.7044988871091875E-2</v>
      </c>
      <c r="CJ111" s="40">
        <f>CJ97/CI97-1</f>
        <v>-2.4364156033738871E-2</v>
      </c>
      <c r="CK111" s="40">
        <f>CK97/CJ97-1</f>
        <v>0.36090043239105385</v>
      </c>
      <c r="CL111" s="40">
        <f>CL97/CK97-1</f>
        <v>-0.33888562709943482</v>
      </c>
      <c r="CM111" s="40">
        <f>CM97/CL97-1</f>
        <v>-0.1470893529582461</v>
      </c>
      <c r="CN111" s="33"/>
      <c r="CO111" s="45"/>
      <c r="CP111" s="48"/>
      <c r="CV111" s="71">
        <f>CV97/CU97-1</f>
        <v>0.12845929651000865</v>
      </c>
      <c r="CW111" s="71">
        <f>CW97/CV97-1</f>
        <v>3.5717141099218974E-2</v>
      </c>
    </row>
    <row r="112" spans="2:124" x14ac:dyDescent="0.2">
      <c r="B112" s="1" t="s">
        <v>111</v>
      </c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V112" s="38"/>
      <c r="AW112" s="38">
        <f>AW107/AV107-1</f>
        <v>0.84013640302248227</v>
      </c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>
        <f>CH107/AW107-1</f>
        <v>-0.45689215189873411</v>
      </c>
      <c r="CI112" s="38">
        <f>CI107/CH107-1</f>
        <v>0.37114152211650153</v>
      </c>
      <c r="CJ112" s="38">
        <f>CJ107/CI107-1</f>
        <v>-5.0824990302490547E-2</v>
      </c>
      <c r="CK112" s="38">
        <f>CK107/CJ107-1</f>
        <v>2.0309018721532892</v>
      </c>
      <c r="CL112" s="38">
        <f>CL107/CK107-1</f>
        <v>-0.37048710417782915</v>
      </c>
      <c r="CM112" s="38">
        <f>CM107/CL107-1</f>
        <v>-0.12663633727115564</v>
      </c>
      <c r="CO112" s="45"/>
      <c r="CP112" s="34"/>
    </row>
    <row r="113" spans="2:94" x14ac:dyDescent="0.2">
      <c r="B113" s="1" t="s">
        <v>77</v>
      </c>
      <c r="F113" s="38">
        <f>F99/F97</f>
        <v>0.80429827506667428</v>
      </c>
      <c r="G113" s="38">
        <f>G99/G97</f>
        <v>0.80008183904014496</v>
      </c>
      <c r="H113" s="38">
        <f>H99/H97</f>
        <v>0.79877670515764609</v>
      </c>
      <c r="I113" s="38">
        <f t="shared" ref="I113:T113" si="136">I99/I97</f>
        <v>0.78385686842792213</v>
      </c>
      <c r="J113" s="38">
        <f t="shared" si="136"/>
        <v>0.80188519984579765</v>
      </c>
      <c r="K113" s="38">
        <f t="shared" si="136"/>
        <v>0.82430367158307316</v>
      </c>
      <c r="L113" s="38">
        <f t="shared" si="136"/>
        <v>0.82164450735554317</v>
      </c>
      <c r="M113" s="38">
        <f t="shared" si="136"/>
        <v>0.79654981285908411</v>
      </c>
      <c r="N113" s="38">
        <f t="shared" si="136"/>
        <v>0.81176694100169666</v>
      </c>
      <c r="O113" s="38">
        <f t="shared" si="136"/>
        <v>0.816599198886516</v>
      </c>
      <c r="P113" s="38">
        <f t="shared" si="136"/>
        <v>0.80067544893461084</v>
      </c>
      <c r="Q113" s="38">
        <f t="shared" si="136"/>
        <v>0.79162413947144983</v>
      </c>
      <c r="R113" s="38">
        <f t="shared" si="136"/>
        <v>0.79665533605193906</v>
      </c>
      <c r="S113" s="38">
        <f t="shared" si="136"/>
        <v>0.7814524704747452</v>
      </c>
      <c r="T113" s="38">
        <f t="shared" si="136"/>
        <v>0.7708775418477003</v>
      </c>
      <c r="U113" s="38">
        <v>0.77</v>
      </c>
      <c r="V113" s="38">
        <v>0.77</v>
      </c>
      <c r="W113" s="38">
        <v>0.77</v>
      </c>
      <c r="X113" s="38">
        <v>0.77</v>
      </c>
      <c r="Y113" s="38">
        <v>0.77</v>
      </c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V113" s="38">
        <f>AV99/AV97</f>
        <v>0.78572703722971848</v>
      </c>
      <c r="AW113" s="38">
        <v>0.79</v>
      </c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>
        <f>CH99/CH97</f>
        <v>0.81178169138601708</v>
      </c>
      <c r="CI113" s="38">
        <f>CI99/CI97</f>
        <v>0.80554515285153461</v>
      </c>
      <c r="CJ113" s="38">
        <v>0.81</v>
      </c>
      <c r="CK113" s="38">
        <v>0.81</v>
      </c>
      <c r="CL113" s="38">
        <v>0.82</v>
      </c>
      <c r="CM113" s="38">
        <v>0.82</v>
      </c>
    </row>
    <row r="114" spans="2:94" x14ac:dyDescent="0.2">
      <c r="B114" s="23" t="s">
        <v>243</v>
      </c>
      <c r="F114" s="38"/>
      <c r="G114" s="38"/>
      <c r="H114" s="38"/>
      <c r="I114" s="38"/>
      <c r="J114" s="38"/>
      <c r="K114" s="38"/>
      <c r="L114" s="38"/>
      <c r="M114" s="38"/>
      <c r="N114" s="38">
        <f t="shared" ref="N114:S114" si="137">N100/N97</f>
        <v>0.30910582964137667</v>
      </c>
      <c r="O114" s="38">
        <f t="shared" si="137"/>
        <v>0.31826464369574686</v>
      </c>
      <c r="P114" s="38">
        <f t="shared" si="137"/>
        <v>0.29760022335990205</v>
      </c>
      <c r="Q114" s="38"/>
      <c r="R114" s="38">
        <f t="shared" si="137"/>
        <v>0.31216585349570791</v>
      </c>
      <c r="S114" s="38">
        <f t="shared" si="137"/>
        <v>0.29731444995726702</v>
      </c>
      <c r="T114" s="38">
        <f>T100/T97</f>
        <v>0.28954386347230354</v>
      </c>
      <c r="U114" s="38">
        <v>0.28999999999999998</v>
      </c>
      <c r="V114" s="38">
        <v>0.28999999999999998</v>
      </c>
      <c r="W114" s="38">
        <v>0.28999999999999998</v>
      </c>
      <c r="X114" s="38">
        <v>0.28999999999999998</v>
      </c>
      <c r="Y114" s="38">
        <v>0.28999999999999998</v>
      </c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V114" s="38">
        <f>AV100/AV97</f>
        <v>0.4344309961866949</v>
      </c>
      <c r="AW114" s="38">
        <f>AW100/AW97</f>
        <v>0.40830298952574917</v>
      </c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>
        <f t="shared" ref="CH114:CM114" si="138">CH100/CH97</f>
        <v>0.61256123499677573</v>
      </c>
      <c r="CI114" s="38">
        <f t="shared" si="138"/>
        <v>0.3167128819583005</v>
      </c>
      <c r="CJ114" s="38">
        <f t="shared" si="138"/>
        <v>0.32137580335718002</v>
      </c>
      <c r="CK114" s="38">
        <f t="shared" si="138"/>
        <v>0.18891950988216477</v>
      </c>
      <c r="CL114" s="38">
        <f t="shared" si="138"/>
        <v>0.22860735464370757</v>
      </c>
      <c r="CM114" s="38">
        <f t="shared" si="138"/>
        <v>0.21442560759358531</v>
      </c>
    </row>
    <row r="115" spans="2:94" x14ac:dyDescent="0.2">
      <c r="B115" s="55" t="s">
        <v>536</v>
      </c>
      <c r="K115" s="52">
        <f t="shared" ref="K115:S115" si="139">K106/K105</f>
        <v>0.3626660495255728</v>
      </c>
      <c r="L115" s="52">
        <f t="shared" si="139"/>
        <v>0.35230210433793496</v>
      </c>
      <c r="M115" s="52">
        <f t="shared" si="139"/>
        <v>6.8698436316775385E-2</v>
      </c>
      <c r="N115" s="52">
        <f t="shared" si="139"/>
        <v>0.18564310484379989</v>
      </c>
      <c r="O115" s="52">
        <f t="shared" si="139"/>
        <v>0.34633080779848469</v>
      </c>
      <c r="P115" s="52">
        <f t="shared" si="139"/>
        <v>0.37899149720235981</v>
      </c>
      <c r="Q115" s="52">
        <f t="shared" si="139"/>
        <v>0.17123346504037107</v>
      </c>
      <c r="R115" s="52">
        <f t="shared" si="139"/>
        <v>0.3656590017858129</v>
      </c>
      <c r="S115" s="52">
        <f t="shared" si="139"/>
        <v>0.34313029039960974</v>
      </c>
      <c r="T115" s="52">
        <f>T106/T105</f>
        <v>0.32872463596643203</v>
      </c>
      <c r="U115" s="38">
        <f>T115</f>
        <v>0.32872463596643203</v>
      </c>
      <c r="V115" s="38">
        <f>U115</f>
        <v>0.32872463596643203</v>
      </c>
      <c r="W115" s="38">
        <f>V115</f>
        <v>0.32872463596643203</v>
      </c>
      <c r="X115" s="38">
        <f>W115</f>
        <v>0.32872463596643203</v>
      </c>
      <c r="Y115" s="38">
        <f>X115</f>
        <v>0.32872463596643203</v>
      </c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</row>
    <row r="116" spans="2:94" x14ac:dyDescent="0.2">
      <c r="B116" s="23" t="s">
        <v>53</v>
      </c>
      <c r="AW116" s="34">
        <v>2110000</v>
      </c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>
        <v>976000</v>
      </c>
      <c r="CJ116" s="34">
        <f>CI116+CJ107</f>
        <v>1255197.6460000002</v>
      </c>
      <c r="CK116" s="34">
        <f>CJ116+CK107</f>
        <v>2101418.3139621918</v>
      </c>
      <c r="CL116" s="34">
        <f>CK116+CL107</f>
        <v>2634125.1371556427</v>
      </c>
      <c r="CM116" s="34">
        <f>CL116+CM107</f>
        <v>3099371.9194205217</v>
      </c>
    </row>
    <row r="117" spans="2:94" x14ac:dyDescent="0.2">
      <c r="CJ117" s="34"/>
      <c r="CK117" s="34"/>
      <c r="CL117" s="34"/>
      <c r="CM117" s="34"/>
    </row>
    <row r="118" spans="2:94" s="14" customFormat="1" x14ac:dyDescent="0.2">
      <c r="B118" s="14" t="s">
        <v>219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>
        <v>326273</v>
      </c>
      <c r="CI118" s="34">
        <v>381168</v>
      </c>
      <c r="CJ118" s="34"/>
      <c r="CK118" s="34"/>
      <c r="CL118" s="34"/>
      <c r="CM118" s="34"/>
      <c r="CN118" s="34"/>
      <c r="CO118" s="34"/>
      <c r="CP118" s="34"/>
    </row>
    <row r="119" spans="2:94" s="14" customFormat="1" x14ac:dyDescent="0.2">
      <c r="B119" s="14" t="s">
        <v>220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>
        <v>39464</v>
      </c>
      <c r="CI119" s="34">
        <v>86960</v>
      </c>
      <c r="CJ119" s="34"/>
      <c r="CK119" s="34"/>
      <c r="CL119" s="34"/>
      <c r="CM119" s="34"/>
      <c r="CN119" s="34"/>
      <c r="CO119" s="34"/>
      <c r="CP119" s="34"/>
    </row>
    <row r="120" spans="2:94" s="14" customFormat="1" x14ac:dyDescent="0.2">
      <c r="B120" s="14" t="s">
        <v>221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>
        <f>CH118-CH119</f>
        <v>286809</v>
      </c>
      <c r="CI120" s="34">
        <f>CI118-CI119</f>
        <v>294208</v>
      </c>
      <c r="CJ120" s="34"/>
      <c r="CK120" s="34"/>
      <c r="CL120" s="34"/>
      <c r="CM120" s="34"/>
      <c r="CN120" s="34"/>
      <c r="CO120" s="34"/>
      <c r="CP120" s="34"/>
    </row>
    <row r="124" spans="2:94" x14ac:dyDescent="0.2">
      <c r="B124" s="23" t="s">
        <v>238</v>
      </c>
      <c r="R124" s="34">
        <f>R5+R11+R16+R19+SUM(R27:R39)+R41</f>
        <v>140448</v>
      </c>
      <c r="S124" s="34">
        <f>S5+S11+S16+S19+SUM(S27:S39)</f>
        <v>115800</v>
      </c>
      <c r="T124" s="34">
        <v>162300</v>
      </c>
    </row>
    <row r="125" spans="2:94" x14ac:dyDescent="0.2">
      <c r="B125" s="23" t="s">
        <v>240</v>
      </c>
      <c r="R125" s="34">
        <f>+R6+R12+R17+R20+R42</f>
        <v>126000</v>
      </c>
      <c r="S125" s="34">
        <f>+S6+S12+S17+S20+S42</f>
        <v>122000</v>
      </c>
      <c r="T125" s="34">
        <v>112800</v>
      </c>
    </row>
    <row r="126" spans="2:94" x14ac:dyDescent="0.2">
      <c r="B126" s="23" t="s">
        <v>239</v>
      </c>
      <c r="R126" s="34">
        <f>+R7+R13+R21+R43</f>
        <v>38800</v>
      </c>
      <c r="S126" s="34">
        <f>+S7+S13+S21+S43</f>
        <v>34300</v>
      </c>
      <c r="T126" s="34">
        <v>36700</v>
      </c>
    </row>
    <row r="127" spans="2:94" x14ac:dyDescent="0.2">
      <c r="R127" s="34">
        <f>+R44+R8+R14+R22</f>
        <v>5200</v>
      </c>
      <c r="S127" s="34">
        <f>+S44+S8+S14+S22</f>
        <v>6200</v>
      </c>
      <c r="T127" s="34">
        <v>6100</v>
      </c>
    </row>
    <row r="129" spans="2:100" x14ac:dyDescent="0.2">
      <c r="B129" s="55" t="s">
        <v>50</v>
      </c>
      <c r="CV129" s="14">
        <f>533530+99174+20174+279683</f>
        <v>932561</v>
      </c>
    </row>
    <row r="130" spans="2:100" x14ac:dyDescent="0.2">
      <c r="B130" s="55" t="s">
        <v>426</v>
      </c>
      <c r="CV130" s="14">
        <v>649429</v>
      </c>
    </row>
    <row r="131" spans="2:100" x14ac:dyDescent="0.2">
      <c r="B131" s="55" t="s">
        <v>427</v>
      </c>
      <c r="CV131" s="14">
        <v>986457</v>
      </c>
    </row>
    <row r="132" spans="2:100" x14ac:dyDescent="0.2">
      <c r="B132" s="55" t="s">
        <v>428</v>
      </c>
      <c r="CV132" s="14">
        <f>160868+15235</f>
        <v>176103</v>
      </c>
    </row>
    <row r="133" spans="2:100" x14ac:dyDescent="0.2">
      <c r="B133" s="55" t="s">
        <v>60</v>
      </c>
      <c r="CV133" s="14">
        <f>32264+366003</f>
        <v>398267</v>
      </c>
    </row>
    <row r="134" spans="2:100" x14ac:dyDescent="0.2">
      <c r="B134" s="55" t="s">
        <v>432</v>
      </c>
      <c r="CV134" s="14">
        <v>63325</v>
      </c>
    </row>
    <row r="135" spans="2:100" x14ac:dyDescent="0.2">
      <c r="B135" s="55" t="s">
        <v>431</v>
      </c>
      <c r="CV135" s="14">
        <v>1691229</v>
      </c>
    </row>
    <row r="136" spans="2:100" x14ac:dyDescent="0.2">
      <c r="B136" s="55" t="s">
        <v>430</v>
      </c>
      <c r="CV136" s="14">
        <f>4790723+4269657</f>
        <v>9060380</v>
      </c>
    </row>
    <row r="137" spans="2:100" x14ac:dyDescent="0.2">
      <c r="B137" s="55" t="s">
        <v>429</v>
      </c>
      <c r="CV137" s="14">
        <f>SUM(CV129:CV136)</f>
        <v>13957751</v>
      </c>
    </row>
    <row r="139" spans="2:100" x14ac:dyDescent="0.2">
      <c r="B139" s="55" t="s">
        <v>51</v>
      </c>
      <c r="CV139" s="14">
        <f>339600+4042741+534269+185537</f>
        <v>5102147</v>
      </c>
    </row>
    <row r="140" spans="2:100" x14ac:dyDescent="0.2">
      <c r="B140" s="55" t="s">
        <v>433</v>
      </c>
      <c r="CV140" s="14">
        <f>566689+144</f>
        <v>566833</v>
      </c>
    </row>
    <row r="141" spans="2:100" x14ac:dyDescent="0.2">
      <c r="B141" s="55" t="s">
        <v>434</v>
      </c>
      <c r="CV141" s="65">
        <f>508360+55969</f>
        <v>564329</v>
      </c>
    </row>
    <row r="142" spans="2:100" x14ac:dyDescent="0.2">
      <c r="B142" s="55" t="s">
        <v>60</v>
      </c>
      <c r="CV142" s="14">
        <f>232377+270620+24558</f>
        <v>527555</v>
      </c>
    </row>
    <row r="143" spans="2:100" x14ac:dyDescent="0.2">
      <c r="B143" s="55" t="s">
        <v>435</v>
      </c>
      <c r="CV143" s="14">
        <v>649233</v>
      </c>
    </row>
    <row r="144" spans="2:100" x14ac:dyDescent="0.2">
      <c r="B144" s="55" t="s">
        <v>436</v>
      </c>
      <c r="CV144" s="14">
        <v>65389</v>
      </c>
    </row>
    <row r="145" spans="2:100" x14ac:dyDescent="0.2">
      <c r="B145" s="55" t="s">
        <v>437</v>
      </c>
      <c r="CV145" s="14">
        <v>127594</v>
      </c>
    </row>
    <row r="146" spans="2:100" x14ac:dyDescent="0.2">
      <c r="B146" s="55" t="s">
        <v>438</v>
      </c>
      <c r="CV146" s="14">
        <v>6354672</v>
      </c>
    </row>
    <row r="147" spans="2:100" x14ac:dyDescent="0.2">
      <c r="B147" s="55" t="s">
        <v>439</v>
      </c>
      <c r="CV147" s="14">
        <f>SUM(CV139:CV146)</f>
        <v>13957752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75" x14ac:dyDescent="0.2"/>
  <cols>
    <col min="1" max="1" width="5" bestFit="1" customWidth="1"/>
  </cols>
  <sheetData>
    <row r="1" spans="1:3" x14ac:dyDescent="0.2">
      <c r="A1" s="17" t="s">
        <v>10</v>
      </c>
    </row>
    <row r="2" spans="1:3" x14ac:dyDescent="0.2">
      <c r="B2" s="54" t="s">
        <v>388</v>
      </c>
      <c r="C2" s="54" t="s">
        <v>393</v>
      </c>
    </row>
    <row r="3" spans="1:3" x14ac:dyDescent="0.2">
      <c r="B3" s="54" t="s">
        <v>389</v>
      </c>
      <c r="C3" s="54" t="s">
        <v>390</v>
      </c>
    </row>
    <row r="4" spans="1:3" x14ac:dyDescent="0.2">
      <c r="B4" s="54" t="s">
        <v>1</v>
      </c>
      <c r="C4" s="54" t="s">
        <v>391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104</v>
      </c>
    </row>
    <row r="3" spans="1:3" x14ac:dyDescent="0.2">
      <c r="B3" s="1" t="s">
        <v>2</v>
      </c>
      <c r="C3" s="1" t="s">
        <v>105</v>
      </c>
    </row>
    <row r="4" spans="1:3" x14ac:dyDescent="0.2">
      <c r="B4" s="1" t="s">
        <v>1</v>
      </c>
      <c r="C4" s="1" t="s">
        <v>106</v>
      </c>
    </row>
    <row r="5" spans="1:3" x14ac:dyDescent="0.2">
      <c r="B5" s="1" t="s">
        <v>7</v>
      </c>
      <c r="C5" s="22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19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23" t="s">
        <v>237</v>
      </c>
    </row>
    <row r="3" spans="1:3" x14ac:dyDescent="0.2">
      <c r="B3" s="1" t="s">
        <v>12</v>
      </c>
      <c r="C3" s="1" t="s">
        <v>192</v>
      </c>
    </row>
    <row r="4" spans="1:3" x14ac:dyDescent="0.2">
      <c r="B4" s="1" t="s">
        <v>1</v>
      </c>
      <c r="C4" s="1" t="s">
        <v>107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55" t="s">
        <v>394</v>
      </c>
    </row>
    <row r="3" spans="1:3" x14ac:dyDescent="0.2">
      <c r="B3" s="1" t="s">
        <v>12</v>
      </c>
      <c r="C3" s="54" t="s">
        <v>78</v>
      </c>
    </row>
    <row r="4" spans="1:3" x14ac:dyDescent="0.2">
      <c r="B4" s="1" t="s">
        <v>1</v>
      </c>
      <c r="C4" s="1" t="s">
        <v>24</v>
      </c>
    </row>
    <row r="5" spans="1:3" x14ac:dyDescent="0.2">
      <c r="B5" s="1" t="s">
        <v>2</v>
      </c>
      <c r="C5" s="1" t="s">
        <v>127</v>
      </c>
    </row>
    <row r="6" spans="1:3" x14ac:dyDescent="0.2">
      <c r="B6" s="1" t="s">
        <v>54</v>
      </c>
      <c r="C6" s="1" t="s">
        <v>79</v>
      </c>
    </row>
    <row r="7" spans="1:3" x14ac:dyDescent="0.2">
      <c r="B7" s="1" t="s">
        <v>102</v>
      </c>
      <c r="C7" s="23" t="s">
        <v>128</v>
      </c>
    </row>
    <row r="8" spans="1:3" x14ac:dyDescent="0.2">
      <c r="B8" s="1" t="s">
        <v>3</v>
      </c>
      <c r="C8" s="1" t="s">
        <v>124</v>
      </c>
    </row>
    <row r="9" spans="1:3" x14ac:dyDescent="0.2">
      <c r="C9" s="1" t="s">
        <v>125</v>
      </c>
    </row>
    <row r="10" spans="1:3" x14ac:dyDescent="0.2">
      <c r="B10" s="1" t="s">
        <v>122</v>
      </c>
    </row>
    <row r="11" spans="1:3" x14ac:dyDescent="0.2">
      <c r="C11" s="21" t="s">
        <v>123</v>
      </c>
    </row>
    <row r="12" spans="1:3" x14ac:dyDescent="0.2">
      <c r="C12" s="1" t="s">
        <v>126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9</v>
      </c>
    </row>
    <row r="3" spans="1:3" x14ac:dyDescent="0.2">
      <c r="B3" s="1" t="s">
        <v>12</v>
      </c>
      <c r="C3" s="1" t="s">
        <v>101</v>
      </c>
    </row>
    <row r="4" spans="1:3" x14ac:dyDescent="0.2">
      <c r="B4" s="1" t="s">
        <v>102</v>
      </c>
      <c r="C4" s="16" t="s">
        <v>103</v>
      </c>
    </row>
    <row r="5" spans="1:3" x14ac:dyDescent="0.2">
      <c r="B5" s="1" t="s">
        <v>13</v>
      </c>
      <c r="C5" s="1" t="s">
        <v>14</v>
      </c>
    </row>
    <row r="6" spans="1:3" x14ac:dyDescent="0.2">
      <c r="B6" s="1" t="s">
        <v>46</v>
      </c>
      <c r="C6" s="1" t="s">
        <v>47</v>
      </c>
    </row>
    <row r="7" spans="1:3" x14ac:dyDescent="0.2">
      <c r="B7" s="1" t="s">
        <v>54</v>
      </c>
      <c r="C7" s="1" t="s">
        <v>55</v>
      </c>
    </row>
    <row r="8" spans="1:3" x14ac:dyDescent="0.2">
      <c r="B8" s="1" t="s">
        <v>15</v>
      </c>
    </row>
    <row r="9" spans="1:3" x14ac:dyDescent="0.2">
      <c r="C9" s="1" t="s">
        <v>16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alogliptin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2023-05-22T00:57:43Z</dcterms:modified>
</cp:coreProperties>
</file>