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61F3907E-635E-46E9-B48B-8C2580475551}" xr6:coauthVersionLast="47" xr6:coauthVersionMax="47" xr10:uidLastSave="{00000000-0000-0000-0000-000000000000}"/>
  <bookViews>
    <workbookView xWindow="10800" yWindow="15" windowWidth="18060" windowHeight="15000" xr2:uid="{AF5D6250-CC2E-478D-A72E-6EAEA79B8F6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5" i="2" l="1"/>
  <c r="G68" i="2"/>
  <c r="G71" i="2" s="1"/>
  <c r="G73" i="2" s="1"/>
  <c r="G62" i="2"/>
  <c r="G64" i="2"/>
  <c r="G57" i="2"/>
  <c r="G58" i="2" s="1"/>
  <c r="G51" i="2"/>
  <c r="G44" i="2"/>
  <c r="G43" i="2"/>
  <c r="G41" i="2"/>
  <c r="G49" i="2"/>
  <c r="G36" i="2"/>
  <c r="G30" i="2"/>
  <c r="G38" i="2"/>
  <c r="J28" i="2"/>
  <c r="J27" i="2"/>
  <c r="G27" i="2"/>
  <c r="I75" i="2"/>
  <c r="H71" i="2"/>
  <c r="H68" i="2"/>
  <c r="H62" i="2"/>
  <c r="H64" i="2"/>
  <c r="H57" i="2"/>
  <c r="H58" i="2" s="1"/>
  <c r="H75" i="2" s="1"/>
  <c r="H51" i="2"/>
  <c r="H44" i="2"/>
  <c r="H43" i="2"/>
  <c r="H41" i="2"/>
  <c r="H36" i="2"/>
  <c r="H38" i="2" s="1"/>
  <c r="H30" i="2"/>
  <c r="H24" i="2"/>
  <c r="F24" i="2"/>
  <c r="E24" i="2"/>
  <c r="I68" i="2"/>
  <c r="I71" i="2" s="1"/>
  <c r="I62" i="2"/>
  <c r="I64" i="2" s="1"/>
  <c r="I57" i="2"/>
  <c r="I58" i="2" s="1"/>
  <c r="I43" i="2"/>
  <c r="I44" i="2"/>
  <c r="I41" i="2"/>
  <c r="I49" i="2" s="1"/>
  <c r="L7" i="1"/>
  <c r="I36" i="2"/>
  <c r="I30" i="2"/>
  <c r="L4" i="1"/>
  <c r="J21" i="2"/>
  <c r="J23" i="2" s="1"/>
  <c r="H18" i="2"/>
  <c r="G18" i="2"/>
  <c r="F18" i="2"/>
  <c r="E18" i="2"/>
  <c r="D18" i="2"/>
  <c r="C18" i="2"/>
  <c r="I18" i="2"/>
  <c r="J13" i="2"/>
  <c r="J10" i="2"/>
  <c r="C10" i="2"/>
  <c r="D13" i="2"/>
  <c r="C13" i="2"/>
  <c r="I13" i="2"/>
  <c r="H13" i="2"/>
  <c r="G13" i="2"/>
  <c r="F13" i="2"/>
  <c r="E13" i="2"/>
  <c r="H10" i="2"/>
  <c r="G10" i="2"/>
  <c r="F10" i="2"/>
  <c r="E10" i="2"/>
  <c r="D10" i="2"/>
  <c r="H27" i="2" s="1"/>
  <c r="I10" i="2"/>
  <c r="H73" i="2" l="1"/>
  <c r="C14" i="2"/>
  <c r="C28" i="2" s="1"/>
  <c r="H49" i="2"/>
  <c r="I14" i="2"/>
  <c r="E14" i="2"/>
  <c r="E28" i="2" s="1"/>
  <c r="I38" i="2"/>
  <c r="I19" i="2"/>
  <c r="I21" i="2" s="1"/>
  <c r="I23" i="2" s="1"/>
  <c r="I28" i="2"/>
  <c r="I73" i="2"/>
  <c r="E19" i="2"/>
  <c r="E21" i="2" s="1"/>
  <c r="E23" i="2" s="1"/>
  <c r="I27" i="2"/>
  <c r="F14" i="2"/>
  <c r="F28" i="2" s="1"/>
  <c r="G14" i="2"/>
  <c r="G28" i="2" s="1"/>
  <c r="H14" i="2"/>
  <c r="H28" i="2" s="1"/>
  <c r="D14" i="2"/>
  <c r="J14" i="2"/>
  <c r="C19" i="2" l="1"/>
  <c r="C21" i="2" s="1"/>
  <c r="C23" i="2" s="1"/>
  <c r="C24" i="2" s="1"/>
  <c r="D19" i="2"/>
  <c r="D21" i="2" s="1"/>
  <c r="D23" i="2" s="1"/>
  <c r="D24" i="2" s="1"/>
  <c r="D28" i="2"/>
  <c r="H19" i="2"/>
  <c r="H21" i="2" s="1"/>
  <c r="H23" i="2" s="1"/>
  <c r="G19" i="2"/>
  <c r="G21" i="2" s="1"/>
  <c r="G23" i="2" s="1"/>
  <c r="G24" i="2" s="1"/>
  <c r="F19" i="2"/>
  <c r="F21" i="2" s="1"/>
  <c r="F23" i="2" s="1"/>
  <c r="I24" i="2"/>
  <c r="I51" i="2"/>
</calcChain>
</file>

<file path=xl/sharedStrings.xml><?xml version="1.0" encoding="utf-8"?>
<sst xmlns="http://schemas.openxmlformats.org/spreadsheetml/2006/main" count="83" uniqueCount="74">
  <si>
    <t>Price</t>
  </si>
  <si>
    <t>Shares</t>
  </si>
  <si>
    <t>MC</t>
  </si>
  <si>
    <t>Cash</t>
  </si>
  <si>
    <t>Debt</t>
  </si>
  <si>
    <t>EV</t>
  </si>
  <si>
    <t>Main</t>
  </si>
  <si>
    <t>4/26/22: FQ322 results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</si>
  <si>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</si>
  <si>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</si>
  <si>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</si>
  <si>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</si>
  <si>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</si>
  <si>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</si>
  <si>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</si>
  <si>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</si>
  <si>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</si>
  <si>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Product</t>
  </si>
  <si>
    <t>Service</t>
  </si>
  <si>
    <t>CoP</t>
  </si>
  <si>
    <t>CoS</t>
  </si>
  <si>
    <t>COGS</t>
  </si>
  <si>
    <t>Gross Margin</t>
  </si>
  <si>
    <t>Operating Expenses</t>
  </si>
  <si>
    <t>Operating Income</t>
  </si>
  <si>
    <t>R&amp;D</t>
  </si>
  <si>
    <t>S&amp;M</t>
  </si>
  <si>
    <t>G&amp;A</t>
  </si>
  <si>
    <t>Other</t>
  </si>
  <si>
    <t>Pretax Income</t>
  </si>
  <si>
    <t>Taxes</t>
  </si>
  <si>
    <t>Net Income</t>
  </si>
  <si>
    <t>S/O</t>
  </si>
  <si>
    <t>EPS</t>
  </si>
  <si>
    <t>Revenue Growth</t>
  </si>
  <si>
    <t>Q122</t>
  </si>
  <si>
    <t>AR</t>
  </si>
  <si>
    <t>Inventories</t>
  </si>
  <si>
    <t>OCA</t>
  </si>
  <si>
    <t>PP&amp;E</t>
  </si>
  <si>
    <t>Lease</t>
  </si>
  <si>
    <t>Goodwill</t>
  </si>
  <si>
    <t>Assets</t>
  </si>
  <si>
    <t>OLTA</t>
  </si>
  <si>
    <t>AP</t>
  </si>
  <si>
    <t>DR</t>
  </si>
  <si>
    <t>Compensation</t>
  </si>
  <si>
    <t>OCL</t>
  </si>
  <si>
    <t>SE</t>
  </si>
  <si>
    <t>OLTL</t>
  </si>
  <si>
    <t>Model NI</t>
  </si>
  <si>
    <t>Reported NI</t>
  </si>
  <si>
    <t>CFFO</t>
  </si>
  <si>
    <t>D&amp;A</t>
  </si>
  <si>
    <t>SBC</t>
  </si>
  <si>
    <t>Gains on Investment</t>
  </si>
  <si>
    <t>DT</t>
  </si>
  <si>
    <t>WC</t>
  </si>
  <si>
    <t>CFFI</t>
  </si>
  <si>
    <t>CapEx</t>
  </si>
  <si>
    <t>Acquisitions</t>
  </si>
  <si>
    <t>Investments</t>
  </si>
  <si>
    <t>Debt Exchange</t>
  </si>
  <si>
    <t>Repayment of Debt</t>
  </si>
  <si>
    <t>Stock issuance</t>
  </si>
  <si>
    <t>Dividends</t>
  </si>
  <si>
    <t>CFFF</t>
  </si>
  <si>
    <t>FX</t>
  </si>
  <si>
    <t>CIC</t>
  </si>
  <si>
    <t>Intelligent Cloud</t>
  </si>
  <si>
    <t>Productivity/Business</t>
  </si>
  <si>
    <t>Personal</t>
  </si>
  <si>
    <t>L+SE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</si>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</sst>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57150</xdr:rowOff>
    </xdr:from>
    <xdr:to>
      <xdr:col>9</xdr:col>
      <xdr:colOff>28575</xdr:colOff>
      <xdr:row>84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11A066-3CA7-17B5-FD95-08FD116C4F32}"/>
            </a:ext>
          </a:extLst>
        </xdr:cNvPr>
        <xdr:cNvCxnSpPr/>
      </xdr:nvCxnSpPr>
      <xdr:spPr>
        <a:xfrm>
          <a:off x="5972175" y="57150"/>
          <a:ext cx="0" cy="1298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0B22-A151-4F95-B31A-D44A037C9EC9}">
  <dimension ref="B2:M21"/>
  <sheetViews>
    <sheetView tabSelected="1" workbookViewId="0">
      <selection activeCell="J7" sqref="J7"/>
    </sheetView>
  </sheetViews>
  <sheetFormatPr defaultRowHeight="12.75" x14ac:dyDescent="0.2"/>
  <cols>
    <col min="12" max="12" width="9.5703125" customWidth="1"/>
  </cols>
  <sheetData>
    <row r="2" spans="11:13" x14ac:dyDescent="0.2">
      <c r="K2" t="s">
        <v>0</v>
      </c>
      <c r="L2" s="1">
        <v>252</v>
      </c>
    </row>
    <row r="3" spans="11:13" x14ac:dyDescent="0.2">
      <c r="K3" t="s">
        <v>1</v>
      </c>
      <c r="L3" s="6">
        <v>7534</v>
      </c>
      <c r="M3" s="2" t="s">
        <v>35</v>
      </c>
    </row>
    <row r="4" spans="11:13" x14ac:dyDescent="0.2">
      <c r="K4" t="s">
        <v>2</v>
      </c>
      <c r="L4" s="6">
        <f>L2*L3</f>
        <v>1898568</v>
      </c>
    </row>
    <row r="5" spans="11:13" x14ac:dyDescent="0.2">
      <c r="K5" t="s">
        <v>3</v>
      </c>
      <c r="L5" s="6">
        <v>111600</v>
      </c>
      <c r="M5" s="2" t="s">
        <v>35</v>
      </c>
    </row>
    <row r="6" spans="11:13" x14ac:dyDescent="0.2">
      <c r="K6" t="s">
        <v>4</v>
      </c>
      <c r="L6" s="6">
        <v>49926</v>
      </c>
      <c r="M6" s="2" t="s">
        <v>35</v>
      </c>
    </row>
    <row r="7" spans="11:13" x14ac:dyDescent="0.2">
      <c r="K7" t="s">
        <v>5</v>
      </c>
      <c r="L7" s="6">
        <f>L4-L5+L6</f>
        <v>1836894</v>
      </c>
    </row>
    <row r="21" spans="2:2" x14ac:dyDescent="0.2">
      <c r="B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F587-D152-4A1D-9598-E8BABDD84FA8}">
  <dimension ref="A1:K76"/>
  <sheetViews>
    <sheetView zoomScale="145" zoomScaleNormal="145" workbookViewId="0">
      <pane xSplit="2" ySplit="3" topLeftCell="C52" activePane="bottomRight" state="frozen"/>
      <selection pane="topRight" activeCell="C1" sqref="C1"/>
      <selection pane="bottomLeft" activeCell="A4" sqref="A4"/>
      <selection pane="bottomRight" activeCell="G75" sqref="G75"/>
    </sheetView>
  </sheetViews>
  <sheetFormatPr defaultRowHeight="12.75" x14ac:dyDescent="0.2"/>
  <cols>
    <col min="1" max="1" width="5" bestFit="1" customWidth="1"/>
    <col min="2" max="2" width="19.7109375" customWidth="1"/>
    <col min="3" max="3" width="10" style="2" customWidth="1"/>
    <col min="4" max="4" width="10.7109375" style="2" customWidth="1"/>
    <col min="5" max="7" width="10" style="2" customWidth="1"/>
    <col min="8" max="8" width="10.42578125" style="2" customWidth="1"/>
    <col min="9" max="10" width="10" style="2" customWidth="1"/>
  </cols>
  <sheetData>
    <row r="1" spans="1:10" x14ac:dyDescent="0.2">
      <c r="A1" t="s">
        <v>6</v>
      </c>
    </row>
    <row r="2" spans="1:10" x14ac:dyDescent="0.2">
      <c r="C2" s="3">
        <v>44104</v>
      </c>
      <c r="D2" s="3">
        <v>44196</v>
      </c>
      <c r="E2" s="3">
        <v>44286</v>
      </c>
      <c r="F2" s="3">
        <v>44377</v>
      </c>
      <c r="G2" s="3">
        <v>44469</v>
      </c>
      <c r="H2" s="3">
        <v>44561</v>
      </c>
      <c r="I2" s="3">
        <v>44651</v>
      </c>
      <c r="J2" s="3">
        <v>44742</v>
      </c>
    </row>
    <row r="3" spans="1:10" x14ac:dyDescent="0.2"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1:10" s="6" customFormat="1" x14ac:dyDescent="0.2">
      <c r="B4" s="6" t="s">
        <v>70</v>
      </c>
      <c r="C4" s="7"/>
      <c r="D4" s="7">
        <v>13353</v>
      </c>
      <c r="E4" s="7">
        <v>13552</v>
      </c>
      <c r="F4" s="7"/>
      <c r="G4" s="7"/>
      <c r="H4" s="7">
        <v>15936</v>
      </c>
      <c r="I4" s="7">
        <v>15789</v>
      </c>
      <c r="J4" s="7"/>
    </row>
    <row r="5" spans="1:10" s="6" customFormat="1" x14ac:dyDescent="0.2">
      <c r="B5" s="6" t="s">
        <v>69</v>
      </c>
      <c r="C5" s="7"/>
      <c r="D5" s="7">
        <v>14601</v>
      </c>
      <c r="E5" s="7">
        <v>15118</v>
      </c>
      <c r="F5" s="7"/>
      <c r="G5" s="7"/>
      <c r="H5" s="7">
        <v>18327</v>
      </c>
      <c r="I5" s="7">
        <v>19051</v>
      </c>
      <c r="J5" s="7"/>
    </row>
    <row r="6" spans="1:10" s="6" customFormat="1" x14ac:dyDescent="0.2">
      <c r="B6" s="6" t="s">
        <v>71</v>
      </c>
      <c r="C6" s="7"/>
      <c r="D6" s="7">
        <v>15122</v>
      </c>
      <c r="E6" s="7">
        <v>13036</v>
      </c>
      <c r="F6" s="7"/>
      <c r="G6" s="7"/>
      <c r="H6" s="7">
        <v>17465</v>
      </c>
      <c r="I6" s="7">
        <v>14520</v>
      </c>
      <c r="J6" s="7"/>
    </row>
    <row r="8" spans="1:10" s="6" customFormat="1" x14ac:dyDescent="0.2">
      <c r="B8" s="6" t="s">
        <v>17</v>
      </c>
      <c r="C8" s="7">
        <v>15803</v>
      </c>
      <c r="D8" s="7">
        <v>19460</v>
      </c>
      <c r="E8" s="7">
        <v>16873</v>
      </c>
      <c r="F8" s="7"/>
      <c r="G8" s="7">
        <v>16631</v>
      </c>
      <c r="H8" s="7">
        <v>20779</v>
      </c>
      <c r="I8" s="7">
        <v>17366</v>
      </c>
      <c r="J8" s="7"/>
    </row>
    <row r="9" spans="1:10" s="6" customFormat="1" x14ac:dyDescent="0.2">
      <c r="B9" s="6" t="s">
        <v>18</v>
      </c>
      <c r="C9" s="7">
        <v>21351</v>
      </c>
      <c r="D9" s="7">
        <v>23616</v>
      </c>
      <c r="E9" s="7">
        <v>24833</v>
      </c>
      <c r="F9" s="7"/>
      <c r="G9" s="7">
        <v>28686</v>
      </c>
      <c r="H9" s="7">
        <v>30949</v>
      </c>
      <c r="I9" s="7">
        <v>31994</v>
      </c>
      <c r="J9" s="7"/>
    </row>
    <row r="10" spans="1:10" s="8" customFormat="1" x14ac:dyDescent="0.2">
      <c r="B10" s="8" t="s">
        <v>8</v>
      </c>
      <c r="C10" s="9">
        <f t="shared" ref="C10" si="0">C8+C9</f>
        <v>37154</v>
      </c>
      <c r="D10" s="9">
        <f t="shared" ref="D10:H10" si="1">D8+D9</f>
        <v>43076</v>
      </c>
      <c r="E10" s="9">
        <f t="shared" si="1"/>
        <v>41706</v>
      </c>
      <c r="F10" s="9">
        <f t="shared" si="1"/>
        <v>0</v>
      </c>
      <c r="G10" s="9">
        <f t="shared" si="1"/>
        <v>45317</v>
      </c>
      <c r="H10" s="9">
        <f t="shared" si="1"/>
        <v>51728</v>
      </c>
      <c r="I10" s="9">
        <f>I8+I9</f>
        <v>49360</v>
      </c>
      <c r="J10" s="9">
        <f t="shared" ref="J10" si="2">J8+J9</f>
        <v>0</v>
      </c>
    </row>
    <row r="11" spans="1:10" s="6" customFormat="1" x14ac:dyDescent="0.2">
      <c r="B11" s="6" t="s">
        <v>19</v>
      </c>
      <c r="C11" s="7">
        <v>3597</v>
      </c>
      <c r="D11" s="7">
        <v>6058</v>
      </c>
      <c r="E11" s="7">
        <v>4277</v>
      </c>
      <c r="F11" s="7"/>
      <c r="G11" s="7">
        <v>3792</v>
      </c>
      <c r="H11" s="7">
        <v>6331</v>
      </c>
      <c r="I11" s="7">
        <v>4584</v>
      </c>
      <c r="J11" s="7"/>
    </row>
    <row r="12" spans="1:10" s="6" customFormat="1" x14ac:dyDescent="0.2">
      <c r="B12" s="6" t="s">
        <v>20</v>
      </c>
      <c r="C12" s="7">
        <v>7405</v>
      </c>
      <c r="D12" s="7">
        <v>8136</v>
      </c>
      <c r="E12" s="7">
        <v>8768</v>
      </c>
      <c r="F12" s="7"/>
      <c r="G12" s="7">
        <v>9854</v>
      </c>
      <c r="H12" s="7">
        <v>10629</v>
      </c>
      <c r="I12" s="7">
        <v>11031</v>
      </c>
      <c r="J12" s="7"/>
    </row>
    <row r="13" spans="1:10" s="6" customFormat="1" x14ac:dyDescent="0.2">
      <c r="B13" s="6" t="s">
        <v>21</v>
      </c>
      <c r="C13" s="7">
        <f t="shared" ref="C13:D13" si="3">C11+C12</f>
        <v>11002</v>
      </c>
      <c r="D13" s="7">
        <f t="shared" si="3"/>
        <v>14194</v>
      </c>
      <c r="E13" s="7">
        <f>E11+E12</f>
        <v>13045</v>
      </c>
      <c r="F13" s="7">
        <f t="shared" ref="F13:I13" si="4">F11+F12</f>
        <v>0</v>
      </c>
      <c r="G13" s="7">
        <f t="shared" si="4"/>
        <v>13646</v>
      </c>
      <c r="H13" s="7">
        <f t="shared" si="4"/>
        <v>16960</v>
      </c>
      <c r="I13" s="7">
        <f t="shared" si="4"/>
        <v>15615</v>
      </c>
      <c r="J13" s="7">
        <f t="shared" ref="J13" si="5">J11+J12</f>
        <v>0</v>
      </c>
    </row>
    <row r="14" spans="1:10" s="6" customFormat="1" x14ac:dyDescent="0.2">
      <c r="B14" s="6" t="s">
        <v>22</v>
      </c>
      <c r="C14" s="7">
        <f t="shared" ref="C14:D14" si="6">C10-C13</f>
        <v>26152</v>
      </c>
      <c r="D14" s="7">
        <f t="shared" si="6"/>
        <v>28882</v>
      </c>
      <c r="E14" s="7">
        <f>E10-E13</f>
        <v>28661</v>
      </c>
      <c r="F14" s="7">
        <f t="shared" ref="F14:I14" si="7">F10-F13</f>
        <v>0</v>
      </c>
      <c r="G14" s="7">
        <f t="shared" si="7"/>
        <v>31671</v>
      </c>
      <c r="H14" s="7">
        <f t="shared" si="7"/>
        <v>34768</v>
      </c>
      <c r="I14" s="7">
        <f t="shared" si="7"/>
        <v>33745</v>
      </c>
      <c r="J14" s="7">
        <f t="shared" ref="J14" si="8">J10-J13</f>
        <v>0</v>
      </c>
    </row>
    <row r="15" spans="1:10" s="6" customFormat="1" x14ac:dyDescent="0.2">
      <c r="B15" s="6" t="s">
        <v>25</v>
      </c>
      <c r="C15" s="7">
        <v>4926</v>
      </c>
      <c r="D15" s="7">
        <v>4899</v>
      </c>
      <c r="E15" s="7">
        <v>5204</v>
      </c>
      <c r="F15" s="7"/>
      <c r="G15" s="7">
        <v>5599</v>
      </c>
      <c r="H15" s="7">
        <v>5758</v>
      </c>
      <c r="I15" s="7">
        <v>6306</v>
      </c>
      <c r="J15" s="7"/>
    </row>
    <row r="16" spans="1:10" s="6" customFormat="1" x14ac:dyDescent="0.2">
      <c r="B16" s="6" t="s">
        <v>26</v>
      </c>
      <c r="C16" s="7">
        <v>4231</v>
      </c>
      <c r="D16" s="7">
        <v>4947</v>
      </c>
      <c r="E16" s="7">
        <v>5082</v>
      </c>
      <c r="F16" s="7"/>
      <c r="G16" s="7">
        <v>4547</v>
      </c>
      <c r="H16" s="7">
        <v>5379</v>
      </c>
      <c r="I16" s="7">
        <v>5595</v>
      </c>
      <c r="J16" s="7"/>
    </row>
    <row r="17" spans="2:11" s="6" customFormat="1" x14ac:dyDescent="0.2">
      <c r="B17" s="6" t="s">
        <v>27</v>
      </c>
      <c r="C17" s="7">
        <v>1119</v>
      </c>
      <c r="D17" s="7">
        <v>1139</v>
      </c>
      <c r="E17" s="7">
        <v>1327</v>
      </c>
      <c r="F17" s="7"/>
      <c r="G17" s="7">
        <v>1287</v>
      </c>
      <c r="H17" s="7">
        <v>1384</v>
      </c>
      <c r="I17" s="7">
        <v>1480</v>
      </c>
      <c r="J17" s="7"/>
    </row>
    <row r="18" spans="2:11" s="6" customFormat="1" x14ac:dyDescent="0.2">
      <c r="B18" s="6" t="s">
        <v>23</v>
      </c>
      <c r="C18" s="7">
        <f t="shared" ref="C18:H18" si="9">SUM(C15:C17)</f>
        <v>10276</v>
      </c>
      <c r="D18" s="7">
        <f t="shared" si="9"/>
        <v>10985</v>
      </c>
      <c r="E18" s="7">
        <f t="shared" si="9"/>
        <v>11613</v>
      </c>
      <c r="F18" s="7">
        <f t="shared" si="9"/>
        <v>0</v>
      </c>
      <c r="G18" s="7">
        <f t="shared" si="9"/>
        <v>11433</v>
      </c>
      <c r="H18" s="7">
        <f t="shared" si="9"/>
        <v>12521</v>
      </c>
      <c r="I18" s="7">
        <f>SUM(I15:I17)</f>
        <v>13381</v>
      </c>
      <c r="J18" s="7"/>
    </row>
    <row r="19" spans="2:11" s="6" customFormat="1" x14ac:dyDescent="0.2">
      <c r="B19" s="6" t="s">
        <v>24</v>
      </c>
      <c r="C19" s="7">
        <f t="shared" ref="C19:H19" si="10">C14-C18</f>
        <v>15876</v>
      </c>
      <c r="D19" s="7">
        <f t="shared" si="10"/>
        <v>17897</v>
      </c>
      <c r="E19" s="7">
        <f t="shared" si="10"/>
        <v>17048</v>
      </c>
      <c r="F19" s="7">
        <f t="shared" si="10"/>
        <v>0</v>
      </c>
      <c r="G19" s="7">
        <f t="shared" si="10"/>
        <v>20238</v>
      </c>
      <c r="H19" s="7">
        <f t="shared" si="10"/>
        <v>22247</v>
      </c>
      <c r="I19" s="7">
        <f>I14-I18</f>
        <v>20364</v>
      </c>
      <c r="J19" s="7"/>
    </row>
    <row r="20" spans="2:11" x14ac:dyDescent="0.2">
      <c r="B20" s="6" t="s">
        <v>28</v>
      </c>
      <c r="C20" s="2">
        <v>248</v>
      </c>
      <c r="D20" s="2">
        <v>440</v>
      </c>
      <c r="E20" s="2">
        <v>188</v>
      </c>
      <c r="G20" s="2">
        <v>286</v>
      </c>
      <c r="H20" s="2">
        <v>268</v>
      </c>
      <c r="I20" s="2">
        <v>-174</v>
      </c>
    </row>
    <row r="21" spans="2:11" x14ac:dyDescent="0.2">
      <c r="B21" s="6" t="s">
        <v>29</v>
      </c>
      <c r="C21" s="7">
        <f>C19+C20</f>
        <v>16124</v>
      </c>
      <c r="D21" s="7">
        <f t="shared" ref="D21:J21" si="11">D19+D20</f>
        <v>18337</v>
      </c>
      <c r="E21" s="7">
        <f t="shared" si="11"/>
        <v>17236</v>
      </c>
      <c r="F21" s="7">
        <f t="shared" si="11"/>
        <v>0</v>
      </c>
      <c r="G21" s="7">
        <f t="shared" si="11"/>
        <v>20524</v>
      </c>
      <c r="H21" s="7">
        <f t="shared" si="11"/>
        <v>22515</v>
      </c>
      <c r="I21" s="7">
        <f t="shared" si="11"/>
        <v>20190</v>
      </c>
      <c r="J21" s="7">
        <f t="shared" si="11"/>
        <v>0</v>
      </c>
    </row>
    <row r="22" spans="2:11" s="6" customFormat="1" x14ac:dyDescent="0.2">
      <c r="B22" s="6" t="s">
        <v>30</v>
      </c>
      <c r="C22" s="7">
        <v>2231</v>
      </c>
      <c r="D22" s="7">
        <v>2874</v>
      </c>
      <c r="E22" s="7">
        <v>1779</v>
      </c>
      <c r="F22" s="7"/>
      <c r="G22" s="7">
        <v>19</v>
      </c>
      <c r="H22" s="7">
        <v>3750</v>
      </c>
      <c r="I22" s="7">
        <v>3462</v>
      </c>
      <c r="J22" s="7"/>
    </row>
    <row r="23" spans="2:11" s="6" customFormat="1" x14ac:dyDescent="0.2">
      <c r="B23" s="6" t="s">
        <v>31</v>
      </c>
      <c r="C23" s="7">
        <f>C21-C22</f>
        <v>13893</v>
      </c>
      <c r="D23" s="7">
        <f t="shared" ref="D23:J23" si="12">D21-D22</f>
        <v>15463</v>
      </c>
      <c r="E23" s="7">
        <f t="shared" si="12"/>
        <v>15457</v>
      </c>
      <c r="F23" s="7">
        <f t="shared" si="12"/>
        <v>0</v>
      </c>
      <c r="G23" s="7">
        <f t="shared" si="12"/>
        <v>20505</v>
      </c>
      <c r="H23" s="7">
        <f t="shared" si="12"/>
        <v>18765</v>
      </c>
      <c r="I23" s="7">
        <f t="shared" si="12"/>
        <v>16728</v>
      </c>
      <c r="J23" s="7">
        <f t="shared" si="12"/>
        <v>0</v>
      </c>
    </row>
    <row r="24" spans="2:11" s="4" customFormat="1" x14ac:dyDescent="0.2">
      <c r="B24" s="8" t="s">
        <v>33</v>
      </c>
      <c r="C24" s="10">
        <f t="shared" ref="C24:H24" si="13">C23/C25</f>
        <v>1.8191698310855047</v>
      </c>
      <c r="D24" s="10">
        <f t="shared" si="13"/>
        <v>2.0303308823529411</v>
      </c>
      <c r="E24" s="10">
        <f t="shared" si="13"/>
        <v>2.0346189285244174</v>
      </c>
      <c r="F24" s="10" t="e">
        <f t="shared" si="13"/>
        <v>#DIV/0!</v>
      </c>
      <c r="G24" s="10">
        <f t="shared" si="13"/>
        <v>2.7097925201532971</v>
      </c>
      <c r="H24" s="10">
        <f t="shared" si="13"/>
        <v>2.4837855724685638</v>
      </c>
      <c r="I24" s="10">
        <f>I23/I25</f>
        <v>2.2203344836740113</v>
      </c>
      <c r="J24" s="5"/>
    </row>
    <row r="25" spans="2:11" s="6" customFormat="1" x14ac:dyDescent="0.2">
      <c r="B25" s="6" t="s">
        <v>32</v>
      </c>
      <c r="C25" s="7">
        <v>7637</v>
      </c>
      <c r="D25" s="7">
        <v>7616</v>
      </c>
      <c r="E25" s="7">
        <v>7597</v>
      </c>
      <c r="F25" s="7"/>
      <c r="G25" s="7">
        <v>7567</v>
      </c>
      <c r="H25" s="7">
        <v>7555</v>
      </c>
      <c r="I25" s="7">
        <v>7534</v>
      </c>
      <c r="J25" s="7"/>
    </row>
    <row r="26" spans="2:11" x14ac:dyDescent="0.2">
      <c r="K26" s="2"/>
    </row>
    <row r="27" spans="2:11" s="4" customFormat="1" x14ac:dyDescent="0.2">
      <c r="B27" s="8" t="s">
        <v>34</v>
      </c>
      <c r="C27" s="12"/>
      <c r="D27" s="12"/>
      <c r="E27" s="12"/>
      <c r="F27" s="12"/>
      <c r="G27" s="12">
        <f t="shared" ref="G27" si="14">G10/C10-1</f>
        <v>0.21970716477364483</v>
      </c>
      <c r="H27" s="12">
        <f t="shared" ref="H27" si="15">H10/D10-1</f>
        <v>0.2008543040208004</v>
      </c>
      <c r="I27" s="12">
        <f>I10/E10-1</f>
        <v>0.18352275451973332</v>
      </c>
      <c r="J27" s="12" t="e">
        <f t="shared" ref="J27" si="16">J10/F10-1</f>
        <v>#DIV/0!</v>
      </c>
    </row>
    <row r="28" spans="2:11" x14ac:dyDescent="0.2">
      <c r="B28" s="6" t="s">
        <v>22</v>
      </c>
      <c r="C28" s="11">
        <f t="shared" ref="C28:E28" si="17">C14/C10</f>
        <v>0.70388114334930285</v>
      </c>
      <c r="D28" s="11">
        <f t="shared" si="17"/>
        <v>0.67048936762930633</v>
      </c>
      <c r="E28" s="11">
        <f>E14/E10</f>
        <v>0.68721526878626582</v>
      </c>
      <c r="F28" s="11" t="e">
        <f t="shared" ref="F28:J28" si="18">F14/F10</f>
        <v>#DIV/0!</v>
      </c>
      <c r="G28" s="11">
        <f t="shared" si="18"/>
        <v>0.6988768012004325</v>
      </c>
      <c r="H28" s="11">
        <f t="shared" si="18"/>
        <v>0.67213114754098358</v>
      </c>
      <c r="I28" s="11">
        <f t="shared" si="18"/>
        <v>0.68365072933549431</v>
      </c>
      <c r="J28" s="11" t="e">
        <f t="shared" ref="J28" si="19">J14/J10</f>
        <v>#DIV/0!</v>
      </c>
    </row>
    <row r="30" spans="2:11" s="6" customFormat="1" x14ac:dyDescent="0.2">
      <c r="B30" s="6" t="s">
        <v>3</v>
      </c>
      <c r="C30" s="7"/>
      <c r="D30" s="7"/>
      <c r="E30" s="7"/>
      <c r="F30" s="7"/>
      <c r="G30" s="7">
        <f>130615+6393</f>
        <v>137008</v>
      </c>
      <c r="H30" s="7">
        <f>125369+6994</f>
        <v>132363</v>
      </c>
      <c r="I30" s="7">
        <f>104693+6907</f>
        <v>111600</v>
      </c>
      <c r="J30" s="7"/>
    </row>
    <row r="31" spans="2:11" s="6" customFormat="1" x14ac:dyDescent="0.2">
      <c r="B31" s="6" t="s">
        <v>36</v>
      </c>
      <c r="C31" s="7"/>
      <c r="D31" s="7"/>
      <c r="E31" s="7"/>
      <c r="F31" s="7"/>
      <c r="G31" s="7">
        <v>27349</v>
      </c>
      <c r="H31" s="7">
        <v>33520</v>
      </c>
      <c r="I31" s="7">
        <v>32613</v>
      </c>
      <c r="J31" s="7"/>
    </row>
    <row r="32" spans="2:11" s="6" customFormat="1" x14ac:dyDescent="0.2">
      <c r="B32" s="6" t="s">
        <v>37</v>
      </c>
      <c r="C32" s="7"/>
      <c r="D32" s="7"/>
      <c r="E32" s="7"/>
      <c r="F32" s="7"/>
      <c r="G32" s="7">
        <v>3411</v>
      </c>
      <c r="H32" s="7">
        <v>3019</v>
      </c>
      <c r="I32" s="7">
        <v>3296</v>
      </c>
      <c r="J32" s="7"/>
    </row>
    <row r="33" spans="2:10" s="6" customFormat="1" x14ac:dyDescent="0.2">
      <c r="B33" s="6" t="s">
        <v>38</v>
      </c>
      <c r="C33" s="7"/>
      <c r="D33" s="7"/>
      <c r="E33" s="7"/>
      <c r="F33" s="7"/>
      <c r="G33" s="7">
        <v>12951</v>
      </c>
      <c r="H33" s="7">
        <v>12280</v>
      </c>
      <c r="I33" s="7">
        <v>13320</v>
      </c>
      <c r="J33" s="7"/>
    </row>
    <row r="34" spans="2:10" s="6" customFormat="1" x14ac:dyDescent="0.2">
      <c r="B34" s="6" t="s">
        <v>39</v>
      </c>
      <c r="C34" s="7"/>
      <c r="D34" s="7"/>
      <c r="E34" s="7"/>
      <c r="F34" s="7"/>
      <c r="G34" s="7">
        <v>63772</v>
      </c>
      <c r="H34" s="7">
        <v>67214</v>
      </c>
      <c r="I34" s="7">
        <v>70298</v>
      </c>
      <c r="J34" s="7"/>
    </row>
    <row r="35" spans="2:10" s="6" customFormat="1" x14ac:dyDescent="0.2">
      <c r="B35" s="6" t="s">
        <v>40</v>
      </c>
      <c r="C35" s="7"/>
      <c r="D35" s="7"/>
      <c r="E35" s="7"/>
      <c r="F35" s="7"/>
      <c r="G35" s="7">
        <v>11575</v>
      </c>
      <c r="H35" s="7">
        <v>12354</v>
      </c>
      <c r="I35" s="7">
        <v>12916</v>
      </c>
      <c r="J35" s="7"/>
    </row>
    <row r="36" spans="2:10" s="6" customFormat="1" x14ac:dyDescent="0.2">
      <c r="B36" s="6" t="s">
        <v>41</v>
      </c>
      <c r="C36" s="7"/>
      <c r="D36" s="7"/>
      <c r="E36" s="7"/>
      <c r="F36" s="7"/>
      <c r="G36" s="7">
        <f>50455+7794</f>
        <v>58249</v>
      </c>
      <c r="H36" s="7">
        <f>50921+7462</f>
        <v>58383</v>
      </c>
      <c r="I36" s="7">
        <f>67371+11348</f>
        <v>78719</v>
      </c>
      <c r="J36" s="7"/>
    </row>
    <row r="37" spans="2:10" s="6" customFormat="1" x14ac:dyDescent="0.2">
      <c r="B37" s="6" t="s">
        <v>43</v>
      </c>
      <c r="C37" s="7"/>
      <c r="D37" s="7"/>
      <c r="E37" s="7"/>
      <c r="F37" s="7"/>
      <c r="G37" s="7">
        <v>21103</v>
      </c>
      <c r="H37" s="7">
        <v>21256</v>
      </c>
      <c r="I37" s="7">
        <v>21845</v>
      </c>
      <c r="J37" s="7"/>
    </row>
    <row r="38" spans="2:10" s="8" customFormat="1" x14ac:dyDescent="0.2">
      <c r="B38" s="8" t="s">
        <v>42</v>
      </c>
      <c r="C38" s="9"/>
      <c r="D38" s="9"/>
      <c r="E38" s="9"/>
      <c r="F38" s="9"/>
      <c r="G38" s="9">
        <f t="shared" ref="G38" si="20">SUM(G30:G37)</f>
        <v>335418</v>
      </c>
      <c r="H38" s="9">
        <f t="shared" ref="H38" si="21">SUM(H30:H37)</f>
        <v>340389</v>
      </c>
      <c r="I38" s="9">
        <f>SUM(I30:I37)</f>
        <v>344607</v>
      </c>
      <c r="J38" s="9"/>
    </row>
    <row r="40" spans="2:10" s="6" customFormat="1" x14ac:dyDescent="0.2">
      <c r="B40" s="6" t="s">
        <v>44</v>
      </c>
      <c r="C40" s="7"/>
      <c r="D40" s="7"/>
      <c r="E40" s="7"/>
      <c r="F40" s="7"/>
      <c r="G40" s="7">
        <v>14832</v>
      </c>
      <c r="H40" s="7">
        <v>15314</v>
      </c>
      <c r="I40" s="7">
        <v>16085</v>
      </c>
      <c r="J40" s="7"/>
    </row>
    <row r="41" spans="2:10" s="6" customFormat="1" x14ac:dyDescent="0.2">
      <c r="B41" s="6" t="s">
        <v>4</v>
      </c>
      <c r="C41" s="7"/>
      <c r="D41" s="7"/>
      <c r="E41" s="7"/>
      <c r="F41" s="7"/>
      <c r="G41" s="7">
        <f>3249+50039</f>
        <v>53288</v>
      </c>
      <c r="H41" s="7">
        <f>4998+48260</f>
        <v>53258</v>
      </c>
      <c r="I41" s="7">
        <f>1749+48177</f>
        <v>49926</v>
      </c>
      <c r="J41" s="7"/>
    </row>
    <row r="42" spans="2:10" s="6" customFormat="1" x14ac:dyDescent="0.2">
      <c r="B42" s="6" t="s">
        <v>46</v>
      </c>
      <c r="C42" s="7"/>
      <c r="D42" s="7"/>
      <c r="E42" s="7"/>
      <c r="F42" s="7"/>
      <c r="G42" s="7">
        <v>6894</v>
      </c>
      <c r="H42" s="7">
        <v>7782</v>
      </c>
      <c r="I42" s="7">
        <v>9067</v>
      </c>
      <c r="J42" s="7"/>
    </row>
    <row r="43" spans="2:10" s="6" customFormat="1" x14ac:dyDescent="0.2">
      <c r="B43" s="6" t="s">
        <v>30</v>
      </c>
      <c r="C43" s="7"/>
      <c r="D43" s="7"/>
      <c r="E43" s="7"/>
      <c r="F43" s="7"/>
      <c r="G43" s="7">
        <f>6272+25715+212</f>
        <v>32199</v>
      </c>
      <c r="H43" s="7">
        <f>3731+26121+199</f>
        <v>30051</v>
      </c>
      <c r="I43" s="7">
        <f>4646+26483+304</f>
        <v>31433</v>
      </c>
      <c r="J43" s="7"/>
    </row>
    <row r="44" spans="2:10" s="6" customFormat="1" x14ac:dyDescent="0.2">
      <c r="B44" s="6" t="s">
        <v>45</v>
      </c>
      <c r="C44" s="7"/>
      <c r="D44" s="7"/>
      <c r="E44" s="7"/>
      <c r="F44" s="7"/>
      <c r="G44" s="7">
        <f>2550+38465</f>
        <v>41015</v>
      </c>
      <c r="H44" s="7">
        <f>2768+34001</f>
        <v>36769</v>
      </c>
      <c r="I44" s="7">
        <f>34027+2769</f>
        <v>36796</v>
      </c>
      <c r="J44" s="7"/>
    </row>
    <row r="45" spans="2:10" s="6" customFormat="1" x14ac:dyDescent="0.2">
      <c r="B45" s="6" t="s">
        <v>47</v>
      </c>
      <c r="C45" s="7"/>
      <c r="D45" s="7"/>
      <c r="E45" s="7"/>
      <c r="F45" s="7"/>
      <c r="G45" s="7">
        <v>10816</v>
      </c>
      <c r="H45" s="7">
        <v>11684</v>
      </c>
      <c r="I45" s="7">
        <v>11865</v>
      </c>
      <c r="J45" s="7"/>
    </row>
    <row r="46" spans="2:10" s="6" customFormat="1" x14ac:dyDescent="0.2">
      <c r="B46" s="6" t="s">
        <v>40</v>
      </c>
      <c r="C46" s="7"/>
      <c r="D46" s="7"/>
      <c r="E46" s="7"/>
      <c r="F46" s="7"/>
      <c r="G46" s="7">
        <v>10050</v>
      </c>
      <c r="H46" s="7">
        <v>10774</v>
      </c>
      <c r="I46" s="7">
        <v>11357</v>
      </c>
      <c r="J46" s="7"/>
    </row>
    <row r="47" spans="2:10" s="6" customFormat="1" x14ac:dyDescent="0.2">
      <c r="B47" s="6" t="s">
        <v>49</v>
      </c>
      <c r="C47" s="7"/>
      <c r="D47" s="7"/>
      <c r="E47" s="7"/>
      <c r="F47" s="7"/>
      <c r="G47" s="7">
        <v>14346</v>
      </c>
      <c r="H47" s="7">
        <v>14747</v>
      </c>
      <c r="I47" s="7">
        <v>15154</v>
      </c>
      <c r="J47" s="7"/>
    </row>
    <row r="48" spans="2:10" s="6" customFormat="1" x14ac:dyDescent="0.2">
      <c r="B48" s="6" t="s">
        <v>48</v>
      </c>
      <c r="C48" s="7"/>
      <c r="D48" s="7"/>
      <c r="E48" s="7"/>
      <c r="F48" s="7"/>
      <c r="G48" s="7">
        <v>151978</v>
      </c>
      <c r="H48" s="7">
        <v>160010</v>
      </c>
      <c r="I48" s="7">
        <v>162924</v>
      </c>
      <c r="J48" s="7"/>
    </row>
    <row r="49" spans="2:10" s="8" customFormat="1" x14ac:dyDescent="0.2">
      <c r="B49" s="8" t="s">
        <v>72</v>
      </c>
      <c r="C49" s="9"/>
      <c r="D49" s="9"/>
      <c r="E49" s="9"/>
      <c r="F49" s="9"/>
      <c r="G49" s="9">
        <f t="shared" ref="G49:H49" si="22">SUM(G40:G48)</f>
        <v>335418</v>
      </c>
      <c r="H49" s="9">
        <f t="shared" si="22"/>
        <v>340389</v>
      </c>
      <c r="I49" s="9">
        <f>SUM(I40:I48)</f>
        <v>344607</v>
      </c>
      <c r="J49" s="9"/>
    </row>
    <row r="51" spans="2:10" s="6" customFormat="1" x14ac:dyDescent="0.2">
      <c r="B51" s="6" t="s">
        <v>50</v>
      </c>
      <c r="C51" s="7"/>
      <c r="D51" s="7"/>
      <c r="E51" s="7"/>
      <c r="F51" s="7"/>
      <c r="G51" s="7">
        <f t="shared" ref="G51:H51" si="23">G23</f>
        <v>20505</v>
      </c>
      <c r="H51" s="7">
        <f>H23</f>
        <v>18765</v>
      </c>
      <c r="I51" s="7">
        <f>I23</f>
        <v>16728</v>
      </c>
      <c r="J51" s="7"/>
    </row>
    <row r="52" spans="2:10" s="6" customFormat="1" x14ac:dyDescent="0.2">
      <c r="B52" s="6" t="s">
        <v>51</v>
      </c>
      <c r="C52" s="7"/>
      <c r="D52" s="7"/>
      <c r="E52" s="7"/>
      <c r="F52" s="7"/>
      <c r="G52" s="7">
        <v>20505</v>
      </c>
      <c r="H52" s="7">
        <v>18765</v>
      </c>
      <c r="I52" s="7">
        <v>16728</v>
      </c>
      <c r="J52" s="7"/>
    </row>
    <row r="53" spans="2:10" s="6" customFormat="1" x14ac:dyDescent="0.2">
      <c r="B53" s="6" t="s">
        <v>53</v>
      </c>
      <c r="C53" s="7"/>
      <c r="D53" s="7"/>
      <c r="E53" s="7"/>
      <c r="F53" s="7"/>
      <c r="G53" s="7">
        <v>3212</v>
      </c>
      <c r="H53" s="7">
        <v>3496</v>
      </c>
      <c r="I53" s="7">
        <v>3773</v>
      </c>
      <c r="J53" s="7"/>
    </row>
    <row r="54" spans="2:10" s="6" customFormat="1" x14ac:dyDescent="0.2">
      <c r="B54" s="6" t="s">
        <v>54</v>
      </c>
      <c r="C54" s="7"/>
      <c r="D54" s="7"/>
      <c r="E54" s="7"/>
      <c r="F54" s="7"/>
      <c r="G54" s="7">
        <v>1702</v>
      </c>
      <c r="H54" s="7">
        <v>1897</v>
      </c>
      <c r="I54" s="7">
        <v>1906</v>
      </c>
      <c r="J54" s="7"/>
    </row>
    <row r="55" spans="2:10" s="6" customFormat="1" x14ac:dyDescent="0.2">
      <c r="B55" s="6" t="s">
        <v>55</v>
      </c>
      <c r="C55" s="7"/>
      <c r="D55" s="7"/>
      <c r="E55" s="7"/>
      <c r="F55" s="7"/>
      <c r="G55" s="7">
        <v>-364</v>
      </c>
      <c r="H55" s="7">
        <v>-307</v>
      </c>
      <c r="I55" s="7">
        <v>105</v>
      </c>
      <c r="J55" s="7"/>
    </row>
    <row r="56" spans="2:10" s="6" customFormat="1" x14ac:dyDescent="0.2">
      <c r="B56" s="6" t="s">
        <v>56</v>
      </c>
      <c r="C56" s="7"/>
      <c r="D56" s="7"/>
      <c r="E56" s="7"/>
      <c r="F56" s="7"/>
      <c r="G56" s="7">
        <v>-5970</v>
      </c>
      <c r="H56" s="7">
        <v>183</v>
      </c>
      <c r="I56" s="7">
        <v>-198</v>
      </c>
      <c r="J56" s="7"/>
    </row>
    <row r="57" spans="2:10" s="6" customFormat="1" x14ac:dyDescent="0.2">
      <c r="B57" s="6" t="s">
        <v>57</v>
      </c>
      <c r="C57" s="7"/>
      <c r="D57" s="7"/>
      <c r="E57" s="7"/>
      <c r="F57" s="7"/>
      <c r="G57" s="7">
        <f>10486-777+940-598-471-2885+2653-4143+250</f>
        <v>5455</v>
      </c>
      <c r="H57" s="7">
        <f>-5543+394+830-908+235-4343-2057+1745+93</f>
        <v>-9554</v>
      </c>
      <c r="I57" s="7">
        <f>857-279+91-724+520-209+1091+1287+438</f>
        <v>3072</v>
      </c>
      <c r="J57" s="7"/>
    </row>
    <row r="58" spans="2:10" s="6" customFormat="1" x14ac:dyDescent="0.2">
      <c r="B58" s="6" t="s">
        <v>52</v>
      </c>
      <c r="C58" s="7"/>
      <c r="D58" s="7"/>
      <c r="E58" s="7"/>
      <c r="F58" s="7"/>
      <c r="G58" s="7">
        <f t="shared" ref="G58" si="24">SUM(G52:G57)</f>
        <v>24540</v>
      </c>
      <c r="H58" s="7">
        <f t="shared" ref="H58" si="25">SUM(H52:H57)</f>
        <v>14480</v>
      </c>
      <c r="I58" s="7">
        <f>SUM(I52:I57)</f>
        <v>25386</v>
      </c>
      <c r="J58" s="7"/>
    </row>
    <row r="59" spans="2:10" s="6" customFormat="1" x14ac:dyDescent="0.2">
      <c r="C59" s="7"/>
      <c r="D59" s="7"/>
      <c r="E59" s="7"/>
      <c r="F59" s="7"/>
      <c r="G59" s="7"/>
      <c r="H59" s="7"/>
      <c r="I59" s="7"/>
      <c r="J59" s="7"/>
    </row>
    <row r="60" spans="2:10" s="6" customFormat="1" x14ac:dyDescent="0.2">
      <c r="B60" s="6" t="s">
        <v>59</v>
      </c>
      <c r="C60" s="7"/>
      <c r="D60" s="7"/>
      <c r="E60" s="7"/>
      <c r="F60" s="7"/>
      <c r="G60" s="7">
        <v>-5810</v>
      </c>
      <c r="H60" s="7">
        <v>-5865</v>
      </c>
      <c r="I60" s="7">
        <v>-5340</v>
      </c>
      <c r="J60" s="7"/>
    </row>
    <row r="61" spans="2:10" s="6" customFormat="1" x14ac:dyDescent="0.2">
      <c r="B61" s="6" t="s">
        <v>60</v>
      </c>
      <c r="C61" s="7"/>
      <c r="D61" s="7"/>
      <c r="E61" s="7"/>
      <c r="F61" s="7"/>
      <c r="G61" s="7">
        <v>-1206</v>
      </c>
      <c r="H61" s="7">
        <v>-850</v>
      </c>
      <c r="I61" s="7">
        <v>-18719</v>
      </c>
      <c r="J61" s="7"/>
    </row>
    <row r="62" spans="2:10" s="6" customFormat="1" x14ac:dyDescent="0.2">
      <c r="B62" s="6" t="s">
        <v>61</v>
      </c>
      <c r="C62" s="7"/>
      <c r="D62" s="7"/>
      <c r="E62" s="7"/>
      <c r="F62" s="7"/>
      <c r="G62" s="7">
        <f>-10309+8862+5630</f>
        <v>4183</v>
      </c>
      <c r="H62" s="7">
        <f>-2505+5253+2895</f>
        <v>5643</v>
      </c>
      <c r="I62" s="7">
        <f>-8723+1099+16693</f>
        <v>9069</v>
      </c>
      <c r="J62" s="7"/>
    </row>
    <row r="63" spans="2:10" s="6" customFormat="1" x14ac:dyDescent="0.2">
      <c r="B63" s="6" t="s">
        <v>28</v>
      </c>
      <c r="C63" s="7"/>
      <c r="D63" s="7"/>
      <c r="E63" s="7"/>
      <c r="F63" s="7"/>
      <c r="G63" s="7">
        <v>-417</v>
      </c>
      <c r="H63" s="7">
        <v>-89</v>
      </c>
      <c r="I63" s="7">
        <v>-1181</v>
      </c>
      <c r="J63" s="7"/>
    </row>
    <row r="64" spans="2:10" s="6" customFormat="1" x14ac:dyDescent="0.2">
      <c r="B64" s="6" t="s">
        <v>58</v>
      </c>
      <c r="C64" s="7"/>
      <c r="D64" s="7"/>
      <c r="E64" s="7"/>
      <c r="F64" s="7"/>
      <c r="G64" s="7">
        <f t="shared" ref="G64:H64" si="26">SUM(G60:G63)</f>
        <v>-3250</v>
      </c>
      <c r="H64" s="7">
        <f t="shared" si="26"/>
        <v>-1161</v>
      </c>
      <c r="I64" s="7">
        <f>SUM(I60:I63)</f>
        <v>-16171</v>
      </c>
      <c r="J64" s="7"/>
    </row>
    <row r="66" spans="2:10" s="6" customFormat="1" x14ac:dyDescent="0.2">
      <c r="B66" s="6" t="s">
        <v>62</v>
      </c>
      <c r="C66" s="7"/>
      <c r="D66" s="7"/>
      <c r="E66" s="7"/>
      <c r="F66" s="7"/>
      <c r="G66" s="7">
        <v>0</v>
      </c>
      <c r="H66" s="7">
        <v>0</v>
      </c>
      <c r="I66" s="7">
        <v>0</v>
      </c>
      <c r="J66" s="7"/>
    </row>
    <row r="67" spans="2:10" s="6" customFormat="1" x14ac:dyDescent="0.2">
      <c r="B67" s="6" t="s">
        <v>63</v>
      </c>
      <c r="C67" s="7"/>
      <c r="D67" s="7"/>
      <c r="E67" s="7"/>
      <c r="F67" s="7"/>
      <c r="G67" s="7">
        <v>-4826</v>
      </c>
      <c r="H67" s="7">
        <v>0</v>
      </c>
      <c r="I67" s="7">
        <v>-4197</v>
      </c>
      <c r="J67" s="7"/>
    </row>
    <row r="68" spans="2:10" s="6" customFormat="1" x14ac:dyDescent="0.2">
      <c r="B68" s="6" t="s">
        <v>64</v>
      </c>
      <c r="C68" s="7"/>
      <c r="D68" s="7"/>
      <c r="E68" s="7"/>
      <c r="F68" s="7"/>
      <c r="G68" s="7">
        <f>612-7684</f>
        <v>-7072</v>
      </c>
      <c r="H68" s="7">
        <f>291-7433</f>
        <v>-7142</v>
      </c>
      <c r="I68" s="7">
        <f>477-8822</f>
        <v>-8345</v>
      </c>
      <c r="J68" s="7"/>
    </row>
    <row r="69" spans="2:10" s="6" customFormat="1" x14ac:dyDescent="0.2">
      <c r="B69" s="6" t="s">
        <v>65</v>
      </c>
      <c r="C69" s="7"/>
      <c r="D69" s="7"/>
      <c r="E69" s="7"/>
      <c r="F69" s="7"/>
      <c r="G69" s="7">
        <v>-4206</v>
      </c>
      <c r="H69" s="7">
        <v>-4652</v>
      </c>
      <c r="I69" s="7">
        <v>-4645</v>
      </c>
      <c r="J69" s="7"/>
    </row>
    <row r="70" spans="2:10" s="6" customFormat="1" x14ac:dyDescent="0.2">
      <c r="B70" s="6" t="s">
        <v>28</v>
      </c>
      <c r="C70" s="7"/>
      <c r="D70" s="7"/>
      <c r="E70" s="7"/>
      <c r="F70" s="7"/>
      <c r="G70" s="7">
        <v>-172</v>
      </c>
      <c r="H70" s="7">
        <v>-192</v>
      </c>
      <c r="I70" s="7">
        <v>-158</v>
      </c>
      <c r="J70" s="7"/>
    </row>
    <row r="71" spans="2:10" s="6" customFormat="1" x14ac:dyDescent="0.2">
      <c r="B71" s="6" t="s">
        <v>66</v>
      </c>
      <c r="C71" s="7"/>
      <c r="D71" s="7"/>
      <c r="E71" s="7"/>
      <c r="F71" s="7"/>
      <c r="G71" s="7">
        <f t="shared" ref="G71" si="27">SUM(G66:G70)</f>
        <v>-16276</v>
      </c>
      <c r="H71" s="7">
        <f>SUM(H66:H70)</f>
        <v>-11986</v>
      </c>
      <c r="I71" s="7">
        <f>SUM(I66:I70)</f>
        <v>-17345</v>
      </c>
      <c r="J71" s="7"/>
    </row>
    <row r="72" spans="2:10" x14ac:dyDescent="0.2">
      <c r="B72" s="6" t="s">
        <v>67</v>
      </c>
      <c r="G72" s="2">
        <v>-73</v>
      </c>
      <c r="H72" s="2">
        <v>106</v>
      </c>
      <c r="I72" s="2">
        <v>24</v>
      </c>
    </row>
    <row r="73" spans="2:10" x14ac:dyDescent="0.2">
      <c r="B73" s="6" t="s">
        <v>68</v>
      </c>
      <c r="G73" s="7">
        <f t="shared" ref="G73" si="28">G71+G72+G64+G58</f>
        <v>4941</v>
      </c>
      <c r="H73" s="7">
        <f>H71+H72+H64+H58</f>
        <v>1439</v>
      </c>
      <c r="I73" s="7">
        <f>I71+I72+I64+I58</f>
        <v>-8106</v>
      </c>
    </row>
    <row r="75" spans="2:10" x14ac:dyDescent="0.2">
      <c r="B75" s="6" t="s">
        <v>73</v>
      </c>
      <c r="G75" s="7">
        <f t="shared" ref="G75:H75" si="29">G58+G60</f>
        <v>18730</v>
      </c>
      <c r="H75" s="7">
        <f>H58+H60</f>
        <v>8615</v>
      </c>
      <c r="I75" s="7">
        <f t="shared" ref="I75" si="30">I58+I60</f>
        <v>20046</v>
      </c>
    </row>
    <row r="76" spans="2:10" x14ac:dyDescent="0.2">
      <c r="H76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2022-07-14T12:26:44Z</dcterms:created>
  <dcterms:modified xsi:type="dcterms:W3CDTF">2022-07-14T13:44:10Z</dcterms:modified>
</cp:coreProperties>
</file>