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E7CC435-EF6E-4C80-95F9-9BDE4A514245}" xr6:coauthVersionLast="47" xr6:coauthVersionMax="47" xr10:uidLastSave="{00000000-0000-0000-0000-000000000000}"/>
  <bookViews>
    <workbookView xWindow="78045" yWindow="1050" windowWidth="25035" windowHeight="19590" activeTab="1" xr2:uid="{B3F12390-B803-41F7-A0B1-65A97656B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K36" i="2"/>
  <c r="L36" i="2"/>
  <c r="M36" i="2"/>
  <c r="M56" i="2"/>
  <c r="M55" i="2"/>
  <c r="M54" i="2"/>
  <c r="M53" i="2"/>
  <c r="M52" i="2"/>
  <c r="M45" i="2"/>
  <c r="M40" i="2"/>
  <c r="M48" i="2" s="1"/>
  <c r="M25" i="2"/>
  <c r="M19" i="2"/>
  <c r="L84" i="2"/>
  <c r="L82" i="2"/>
  <c r="L81" i="2"/>
  <c r="L77" i="2"/>
  <c r="L72" i="2"/>
  <c r="M72" i="2" s="1"/>
  <c r="L71" i="2"/>
  <c r="M71" i="2" s="1"/>
  <c r="L70" i="2"/>
  <c r="M70" i="2" s="1"/>
  <c r="L68" i="2"/>
  <c r="L67" i="2"/>
  <c r="L69" i="2"/>
  <c r="L66" i="2"/>
  <c r="L65" i="2"/>
  <c r="L64" i="2"/>
  <c r="L55" i="2"/>
  <c r="L54" i="2"/>
  <c r="L53" i="2"/>
  <c r="L52" i="2"/>
  <c r="L45" i="2"/>
  <c r="L40" i="2"/>
  <c r="L48" i="2" s="1"/>
  <c r="L27" i="2"/>
  <c r="L25" i="2"/>
  <c r="L20" i="2"/>
  <c r="L19" i="2"/>
  <c r="Q2" i="2"/>
  <c r="R2" i="2"/>
  <c r="S2" i="2" s="1"/>
  <c r="T2" i="2" s="1"/>
  <c r="U2" i="2" s="1"/>
  <c r="V2" i="2" s="1"/>
  <c r="W2" i="2" s="1"/>
  <c r="X2" i="2" s="1"/>
  <c r="Y2" i="2" s="1"/>
  <c r="Z2" i="2" s="1"/>
  <c r="AA2" i="2" s="1"/>
  <c r="F25" i="2"/>
  <c r="F19" i="2"/>
  <c r="F21" i="2" s="1"/>
  <c r="G8" i="2"/>
  <c r="K8" i="2"/>
  <c r="K80" i="2"/>
  <c r="K83" i="2" s="1"/>
  <c r="K76" i="2"/>
  <c r="L76" i="2" s="1"/>
  <c r="K75" i="2"/>
  <c r="K73" i="2"/>
  <c r="K55" i="2"/>
  <c r="K54" i="2"/>
  <c r="K53" i="2"/>
  <c r="K52" i="2"/>
  <c r="K45" i="2"/>
  <c r="K40" i="2"/>
  <c r="J25" i="2"/>
  <c r="I25" i="2"/>
  <c r="H25" i="2"/>
  <c r="G25" i="2"/>
  <c r="K25" i="2"/>
  <c r="K19" i="2"/>
  <c r="K21" i="2" s="1"/>
  <c r="K37" i="2" s="1"/>
  <c r="J19" i="2"/>
  <c r="J21" i="2" s="1"/>
  <c r="J37" i="2" s="1"/>
  <c r="I19" i="2"/>
  <c r="I21" i="2" s="1"/>
  <c r="H19" i="2"/>
  <c r="H21" i="2" s="1"/>
  <c r="G19" i="2"/>
  <c r="G21" i="2" s="1"/>
  <c r="N4" i="1"/>
  <c r="N7" i="1" s="1"/>
  <c r="K78" i="2" l="1"/>
  <c r="M39" i="2"/>
  <c r="L61" i="2"/>
  <c r="L73" i="2"/>
  <c r="M34" i="2"/>
  <c r="M73" i="2"/>
  <c r="M21" i="2"/>
  <c r="M37" i="2" s="1"/>
  <c r="L80" i="2"/>
  <c r="L83" i="2" s="1"/>
  <c r="M61" i="2"/>
  <c r="L75" i="2"/>
  <c r="L78" i="2" s="1"/>
  <c r="L34" i="2"/>
  <c r="F26" i="2"/>
  <c r="F28" i="2" s="1"/>
  <c r="F30" i="2" s="1"/>
  <c r="F31" i="2" s="1"/>
  <c r="L21" i="2"/>
  <c r="L37" i="2" s="1"/>
  <c r="J34" i="2"/>
  <c r="L39" i="2"/>
  <c r="K39" i="2"/>
  <c r="K85" i="2"/>
  <c r="K34" i="2"/>
  <c r="K61" i="2"/>
  <c r="K26" i="2"/>
  <c r="K28" i="2" s="1"/>
  <c r="K30" i="2" s="1"/>
  <c r="K48" i="2"/>
  <c r="H26" i="2"/>
  <c r="H28" i="2" s="1"/>
  <c r="H30" i="2" s="1"/>
  <c r="H31" i="2" s="1"/>
  <c r="G26" i="2"/>
  <c r="G28" i="2" s="1"/>
  <c r="G30" i="2" s="1"/>
  <c r="G31" i="2" s="1"/>
  <c r="I26" i="2"/>
  <c r="I28" i="2" s="1"/>
  <c r="I30" i="2" s="1"/>
  <c r="I31" i="2" s="1"/>
  <c r="J26" i="2"/>
  <c r="J28" i="2" s="1"/>
  <c r="J30" i="2" s="1"/>
  <c r="J31" i="2" s="1"/>
  <c r="M26" i="2" l="1"/>
  <c r="M28" i="2" s="1"/>
  <c r="M30" i="2" s="1"/>
  <c r="M31" i="2"/>
  <c r="M63" i="2"/>
  <c r="L85" i="2"/>
  <c r="L26" i="2"/>
  <c r="L28" i="2" s="1"/>
  <c r="L30" i="2" s="1"/>
  <c r="K31" i="2"/>
  <c r="K63" i="2"/>
  <c r="L31" i="2" l="1"/>
  <c r="L63" i="2"/>
</calcChain>
</file>

<file path=xl/sharedStrings.xml><?xml version="1.0" encoding="utf-8"?>
<sst xmlns="http://schemas.openxmlformats.org/spreadsheetml/2006/main" count="119" uniqueCount="105">
  <si>
    <t>Price</t>
  </si>
  <si>
    <t>Shares</t>
  </si>
  <si>
    <t>MC</t>
  </si>
  <si>
    <t>Cash</t>
  </si>
  <si>
    <t>Debt</t>
  </si>
  <si>
    <t>EV</t>
  </si>
  <si>
    <t>Main</t>
  </si>
  <si>
    <t>Q122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</si>
  <si>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</si>
  <si>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</si>
  <si>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</si>
  <si>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</si>
  <si>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</si>
  <si>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</si>
  <si>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</si>
  <si>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</si>
  <si>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</si>
  <si>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</si>
  <si>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</si>
  <si>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Subscriptition</t>
  </si>
  <si>
    <t>Product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</si>
  <si>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</si>
  <si>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</si>
  <si>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</si>
  <si>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</si>
  <si>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</si>
  <si>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</si>
  <si>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</si>
  <si>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</si>
  <si>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</si>
  <si>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</si>
  <si>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</si>
  <si>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</si>
  <si>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</si>
  <si>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</si>
  <si>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Assets</t>
  </si>
  <si>
    <t>AR</t>
  </si>
  <si>
    <t>Prepaids</t>
  </si>
  <si>
    <t>PP&amp;E</t>
  </si>
  <si>
    <t>Lease</t>
  </si>
  <si>
    <t>Goodwill</t>
  </si>
  <si>
    <t>DT</t>
  </si>
  <si>
    <t>OA</t>
  </si>
  <si>
    <t>AP</t>
  </si>
  <si>
    <t>AE</t>
  </si>
  <si>
    <t>DR</t>
  </si>
  <si>
    <t>OL</t>
  </si>
  <si>
    <t>PIC</t>
  </si>
  <si>
    <t>Retained</t>
  </si>
  <si>
    <t>AOCI</t>
  </si>
  <si>
    <t>Treasury</t>
  </si>
  <si>
    <t>L+SE</t>
  </si>
  <si>
    <t>Net Cash</t>
  </si>
  <si>
    <t>Revenue y/y</t>
  </si>
  <si>
    <t>Model NI</t>
  </si>
  <si>
    <t>Reported NI</t>
  </si>
  <si>
    <t>D&amp;A</t>
  </si>
  <si>
    <t>SBC</t>
  </si>
  <si>
    <t>Investment</t>
  </si>
  <si>
    <t>Other</t>
  </si>
  <si>
    <t>WC</t>
  </si>
  <si>
    <t>CFFO</t>
  </si>
  <si>
    <t>Investments</t>
  </si>
  <si>
    <t>Acquisitions</t>
  </si>
  <si>
    <t>PPE</t>
  </si>
  <si>
    <t>CFFI</t>
  </si>
  <si>
    <t>Buyback</t>
  </si>
  <si>
    <t>CFFF</t>
  </si>
  <si>
    <t>FX</t>
  </si>
  <si>
    <t>CIC</t>
  </si>
  <si>
    <t>Gross Margin</t>
  </si>
  <si>
    <t>Digital Media</t>
  </si>
  <si>
    <t>Digital Experience</t>
  </si>
  <si>
    <t>USD</t>
  </si>
  <si>
    <t>Publishing</t>
  </si>
  <si>
    <t>Americas</t>
  </si>
  <si>
    <t>EMEA</t>
  </si>
  <si>
    <t>APAC</t>
  </si>
  <si>
    <t xml:space="preserve">  Creative Cloud</t>
  </si>
  <si>
    <t xml:space="preserve">  Document Cloud</t>
  </si>
  <si>
    <t>10/7/21: 1.24B acquisition of Frame.io</t>
  </si>
  <si>
    <t>Photoshop</t>
  </si>
  <si>
    <t>Illustrator</t>
  </si>
  <si>
    <t>Express</t>
  </si>
  <si>
    <t>Lightroom</t>
  </si>
  <si>
    <t>Premiere</t>
  </si>
  <si>
    <t>Stock</t>
  </si>
  <si>
    <t>Acrobat</t>
  </si>
  <si>
    <t>After Effects</t>
  </si>
  <si>
    <t>InDesign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</si>
  <si>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</si>
  <si>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</si>
  <si>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</si>
  <si>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</si>
  <si>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</si>
  <si>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</si>
  <si>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</si>
  <si>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</si>
  <si>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</si>
  <si>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</si>
  <si>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</si>
  <si>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CEO: Shantanu Narayen</t>
  </si>
  <si>
    <t>RPO</t>
  </si>
  <si>
    <t>Revenue cc</t>
  </si>
  <si>
    <t>RPO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</si>
</sst>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60764</xdr:colOff>
      <xdr:row>0</xdr:row>
      <xdr:rowOff>0</xdr:rowOff>
    </xdr:from>
    <xdr:to>
      <xdr:col>13</xdr:col>
      <xdr:colOff>60764</xdr:colOff>
      <xdr:row>88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3D2170-8042-5328-83CB-E2BE416C36F8}"/>
            </a:ext>
          </a:extLst>
        </xdr:cNvPr>
        <xdr:cNvCxnSpPr/>
      </xdr:nvCxnSpPr>
      <xdr:spPr>
        <a:xfrm>
          <a:off x="8173436" y="0"/>
          <a:ext cx="0" cy="1434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F0E-5644-4F51-A6BC-5804C047E9B5}">
  <dimension ref="B2:O14"/>
  <sheetViews>
    <sheetView zoomScale="160" zoomScaleNormal="160" workbookViewId="0">
      <selection activeCell="M10" sqref="M10"/>
    </sheetView>
  </sheetViews>
  <sheetFormatPr defaultRowHeight="12.75" x14ac:dyDescent="0.2"/>
  <cols>
    <col min="2" max="2" width="11.28515625" customWidth="1"/>
    <col min="9" max="9" width="5.28515625" customWidth="1"/>
    <col min="10" max="10" width="5.42578125" customWidth="1"/>
    <col min="11" max="11" width="5.85546875" customWidth="1"/>
    <col min="12" max="12" width="5" customWidth="1"/>
  </cols>
  <sheetData>
    <row r="2" spans="2:15" x14ac:dyDescent="0.2">
      <c r="B2" s="10" t="s">
        <v>20</v>
      </c>
      <c r="M2" t="s">
        <v>0</v>
      </c>
      <c r="N2" s="1">
        <v>393.84</v>
      </c>
    </row>
    <row r="3" spans="2:15" x14ac:dyDescent="0.2">
      <c r="B3" t="s">
        <v>81</v>
      </c>
      <c r="M3" t="s">
        <v>1</v>
      </c>
      <c r="N3" s="3">
        <v>472.5</v>
      </c>
      <c r="O3" s="4" t="s">
        <v>17</v>
      </c>
    </row>
    <row r="4" spans="2:15" x14ac:dyDescent="0.2">
      <c r="B4" t="s">
        <v>82</v>
      </c>
      <c r="M4" t="s">
        <v>2</v>
      </c>
      <c r="N4" s="3">
        <f>+N2*N3</f>
        <v>186089.4</v>
      </c>
    </row>
    <row r="5" spans="2:15" x14ac:dyDescent="0.2">
      <c r="B5" t="s">
        <v>83</v>
      </c>
      <c r="M5" t="s">
        <v>3</v>
      </c>
      <c r="N5" s="3">
        <v>5299</v>
      </c>
      <c r="O5" s="4" t="s">
        <v>17</v>
      </c>
    </row>
    <row r="6" spans="2:15" x14ac:dyDescent="0.2">
      <c r="B6" t="s">
        <v>84</v>
      </c>
      <c r="M6" t="s">
        <v>4</v>
      </c>
      <c r="N6" s="3">
        <v>4126</v>
      </c>
      <c r="O6" s="4" t="s">
        <v>17</v>
      </c>
    </row>
    <row r="7" spans="2:15" x14ac:dyDescent="0.2">
      <c r="B7" t="s">
        <v>85</v>
      </c>
      <c r="M7" t="s">
        <v>5</v>
      </c>
      <c r="N7" s="3">
        <f>+N4-N5+N6</f>
        <v>184916.4</v>
      </c>
    </row>
    <row r="8" spans="2:15" x14ac:dyDescent="0.2">
      <c r="B8" t="s">
        <v>86</v>
      </c>
    </row>
    <row r="9" spans="2:15" x14ac:dyDescent="0.2">
      <c r="B9" t="s">
        <v>87</v>
      </c>
      <c r="M9" t="s">
        <v>101</v>
      </c>
    </row>
    <row r="10" spans="2:15" x14ac:dyDescent="0.2">
      <c r="B10" t="s">
        <v>88</v>
      </c>
    </row>
    <row r="11" spans="2:15" x14ac:dyDescent="0.2">
      <c r="B11" t="s">
        <v>89</v>
      </c>
    </row>
    <row r="14" spans="2:15" x14ac:dyDescent="0.2">
      <c r="B14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1C3-CEF2-4D80-8F27-1C06F4DB1898}">
  <dimension ref="A1:AA85"/>
  <sheetViews>
    <sheetView tabSelected="1" zoomScale="145" zoomScaleNormal="145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N19" sqref="N19"/>
    </sheetView>
  </sheetViews>
  <sheetFormatPr defaultRowHeight="12.75" x14ac:dyDescent="0.2"/>
  <cols>
    <col min="1" max="1" width="5" bestFit="1" customWidth="1"/>
    <col min="2" max="2" width="18.140625" bestFit="1" customWidth="1"/>
    <col min="3" max="5" width="9" style="4" customWidth="1"/>
    <col min="6" max="6" width="8.85546875" style="4" customWidth="1"/>
    <col min="7" max="14" width="9" style="4" customWidth="1"/>
    <col min="17" max="27" width="9.5703125" customWidth="1"/>
  </cols>
  <sheetData>
    <row r="1" spans="1:27" x14ac:dyDescent="0.2">
      <c r="A1" s="2" t="s">
        <v>6</v>
      </c>
    </row>
    <row r="2" spans="1:27" s="11" customFormat="1" x14ac:dyDescent="0.2">
      <c r="C2" s="12"/>
      <c r="D2" s="12"/>
      <c r="E2" s="12"/>
      <c r="F2" s="12">
        <v>44162</v>
      </c>
      <c r="G2" s="12">
        <v>44260</v>
      </c>
      <c r="H2" s="12">
        <v>44351</v>
      </c>
      <c r="I2" s="12">
        <v>44442</v>
      </c>
      <c r="J2" s="12">
        <v>44533</v>
      </c>
      <c r="K2" s="12">
        <v>44624</v>
      </c>
      <c r="L2" s="12">
        <v>44715</v>
      </c>
      <c r="M2" s="12">
        <v>44806</v>
      </c>
      <c r="N2" s="12"/>
      <c r="Q2" s="11">
        <f>+F2</f>
        <v>44162</v>
      </c>
      <c r="R2" s="11">
        <f>+J2</f>
        <v>44533</v>
      </c>
      <c r="S2" s="11">
        <f>+R2+365</f>
        <v>44898</v>
      </c>
      <c r="T2" s="11">
        <f t="shared" ref="T2:AA2" si="0">+S2+365</f>
        <v>45263</v>
      </c>
      <c r="U2" s="11">
        <f t="shared" si="0"/>
        <v>45628</v>
      </c>
      <c r="V2" s="11">
        <f t="shared" si="0"/>
        <v>45993</v>
      </c>
      <c r="W2" s="11">
        <f t="shared" si="0"/>
        <v>46358</v>
      </c>
      <c r="X2" s="11">
        <f t="shared" si="0"/>
        <v>46723</v>
      </c>
      <c r="Y2" s="11">
        <f t="shared" si="0"/>
        <v>47088</v>
      </c>
      <c r="Z2" s="11">
        <f t="shared" si="0"/>
        <v>47453</v>
      </c>
      <c r="AA2" s="11">
        <f t="shared" si="0"/>
        <v>47818</v>
      </c>
    </row>
    <row r="3" spans="1:27" x14ac:dyDescent="0.2">
      <c r="B3" t="s">
        <v>73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7</v>
      </c>
      <c r="L3" s="4" t="s">
        <v>16</v>
      </c>
      <c r="M3" s="4" t="s">
        <v>17</v>
      </c>
      <c r="N3" s="4" t="s">
        <v>18</v>
      </c>
      <c r="Q3" s="4" t="s">
        <v>90</v>
      </c>
      <c r="R3" s="4" t="s">
        <v>91</v>
      </c>
      <c r="S3" s="4" t="s">
        <v>92</v>
      </c>
      <c r="T3" s="4" t="s">
        <v>93</v>
      </c>
      <c r="U3" s="4" t="s">
        <v>94</v>
      </c>
      <c r="V3" s="4" t="s">
        <v>95</v>
      </c>
      <c r="W3" s="4" t="s">
        <v>96</v>
      </c>
      <c r="X3" s="4" t="s">
        <v>97</v>
      </c>
      <c r="Y3" s="4" t="s">
        <v>98</v>
      </c>
      <c r="Z3" s="4" t="s">
        <v>99</v>
      </c>
      <c r="AA3" s="4" t="s">
        <v>100</v>
      </c>
    </row>
    <row r="4" spans="1:27" s="3" customFormat="1" x14ac:dyDescent="0.2">
      <c r="B4" s="3" t="s">
        <v>102</v>
      </c>
      <c r="C4" s="5"/>
      <c r="D4" s="5"/>
      <c r="E4" s="5"/>
      <c r="F4" s="5"/>
      <c r="G4" s="5">
        <v>11610</v>
      </c>
      <c r="H4" s="5">
        <v>12230</v>
      </c>
      <c r="I4" s="5">
        <v>12630</v>
      </c>
      <c r="J4" s="5">
        <v>13990</v>
      </c>
      <c r="K4" s="5">
        <v>13830</v>
      </c>
      <c r="L4" s="5">
        <v>13820</v>
      </c>
      <c r="M4" s="5">
        <v>14110</v>
      </c>
      <c r="N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B6" t="s">
        <v>74</v>
      </c>
      <c r="G6" s="4">
        <v>112</v>
      </c>
      <c r="H6" s="4">
        <v>110</v>
      </c>
      <c r="K6" s="4">
        <v>95</v>
      </c>
      <c r="L6" s="4">
        <v>91</v>
      </c>
    </row>
    <row r="7" spans="1:27" s="3" customFormat="1" x14ac:dyDescent="0.2">
      <c r="B7" s="3" t="s">
        <v>72</v>
      </c>
      <c r="C7" s="5"/>
      <c r="D7" s="5"/>
      <c r="E7" s="5"/>
      <c r="F7" s="5"/>
      <c r="G7" s="5">
        <v>934</v>
      </c>
      <c r="H7" s="5">
        <v>938</v>
      </c>
      <c r="I7" s="5">
        <v>981</v>
      </c>
      <c r="J7" s="5"/>
      <c r="K7" s="5">
        <v>1057</v>
      </c>
      <c r="L7" s="5">
        <v>1095</v>
      </c>
      <c r="M7" s="5">
        <v>1120</v>
      </c>
      <c r="N7" s="5"/>
    </row>
    <row r="8" spans="1:27" s="3" customFormat="1" x14ac:dyDescent="0.2">
      <c r="B8" s="3" t="s">
        <v>71</v>
      </c>
      <c r="C8" s="5"/>
      <c r="D8" s="5"/>
      <c r="E8" s="5"/>
      <c r="F8" s="5"/>
      <c r="G8" s="5">
        <f>SUM(G9:G10)</f>
        <v>2859</v>
      </c>
      <c r="H8" s="5">
        <v>2787</v>
      </c>
      <c r="I8" s="5"/>
      <c r="J8" s="5"/>
      <c r="K8" s="5">
        <f>SUM(K9:K10)</f>
        <v>3110</v>
      </c>
      <c r="L8" s="5">
        <v>3200</v>
      </c>
      <c r="M8" s="5">
        <v>3230</v>
      </c>
      <c r="N8" s="5"/>
    </row>
    <row r="9" spans="1:27" s="3" customFormat="1" x14ac:dyDescent="0.2">
      <c r="B9" s="3" t="s">
        <v>78</v>
      </c>
      <c r="C9" s="5"/>
      <c r="D9" s="5"/>
      <c r="E9" s="5"/>
      <c r="F9" s="5"/>
      <c r="G9" s="5">
        <v>2379</v>
      </c>
      <c r="H9" s="5">
        <v>2318</v>
      </c>
      <c r="I9" s="5"/>
      <c r="J9" s="5"/>
      <c r="K9" s="5">
        <v>2548</v>
      </c>
      <c r="L9" s="5">
        <v>2605</v>
      </c>
      <c r="M9" s="5">
        <v>2630</v>
      </c>
      <c r="N9" s="5"/>
    </row>
    <row r="10" spans="1:27" s="3" customFormat="1" x14ac:dyDescent="0.2">
      <c r="B10" s="3" t="s">
        <v>79</v>
      </c>
      <c r="C10" s="5"/>
      <c r="D10" s="5"/>
      <c r="E10" s="5"/>
      <c r="F10" s="5"/>
      <c r="G10" s="5">
        <v>480</v>
      </c>
      <c r="H10" s="5">
        <v>469</v>
      </c>
      <c r="I10" s="5"/>
      <c r="J10" s="5"/>
      <c r="K10" s="5">
        <v>562</v>
      </c>
      <c r="L10" s="5">
        <v>595</v>
      </c>
      <c r="M10" s="5">
        <v>607</v>
      </c>
      <c r="N10" s="5"/>
    </row>
    <row r="11" spans="1:27" s="3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7" s="3" customFormat="1" x14ac:dyDescent="0.2">
      <c r="B12" s="3" t="s">
        <v>75</v>
      </c>
      <c r="C12" s="5"/>
      <c r="D12" s="5"/>
      <c r="E12" s="5"/>
      <c r="F12" s="5"/>
      <c r="G12" s="5">
        <v>2224</v>
      </c>
      <c r="H12" s="5">
        <v>2185</v>
      </c>
      <c r="I12" s="5"/>
      <c r="J12" s="5"/>
      <c r="K12" s="5">
        <v>2446</v>
      </c>
      <c r="L12" s="5">
        <v>2524</v>
      </c>
      <c r="M12" s="5"/>
      <c r="N12" s="5"/>
    </row>
    <row r="13" spans="1:27" s="3" customFormat="1" x14ac:dyDescent="0.2">
      <c r="B13" s="3" t="s">
        <v>76</v>
      </c>
      <c r="C13" s="5"/>
      <c r="D13" s="5"/>
      <c r="E13" s="5"/>
      <c r="F13" s="5"/>
      <c r="G13" s="5">
        <v>1052</v>
      </c>
      <c r="H13" s="5">
        <v>1026</v>
      </c>
      <c r="I13" s="5"/>
      <c r="J13" s="5"/>
      <c r="K13" s="5">
        <v>1136</v>
      </c>
      <c r="L13" s="5">
        <v>1157</v>
      </c>
      <c r="M13" s="5"/>
      <c r="N13" s="5"/>
    </row>
    <row r="14" spans="1:27" s="3" customFormat="1" x14ac:dyDescent="0.2">
      <c r="B14" s="3" t="s">
        <v>77</v>
      </c>
      <c r="C14" s="5"/>
      <c r="D14" s="5"/>
      <c r="E14" s="5"/>
      <c r="F14" s="5"/>
      <c r="G14" s="5">
        <v>629</v>
      </c>
      <c r="H14" s="5">
        <v>624</v>
      </c>
      <c r="I14" s="5"/>
      <c r="J14" s="5"/>
      <c r="K14" s="5">
        <v>680</v>
      </c>
      <c r="L14" s="5">
        <v>705</v>
      </c>
      <c r="M14" s="5"/>
      <c r="N14" s="5"/>
    </row>
    <row r="16" spans="1:27" s="3" customFormat="1" x14ac:dyDescent="0.2">
      <c r="B16" s="3" t="s">
        <v>19</v>
      </c>
      <c r="C16" s="5"/>
      <c r="D16" s="5"/>
      <c r="E16" s="5"/>
      <c r="F16" s="5">
        <v>3115</v>
      </c>
      <c r="G16" s="5">
        <v>3584</v>
      </c>
      <c r="H16" s="5">
        <v>3520</v>
      </c>
      <c r="I16" s="5">
        <v>3657</v>
      </c>
      <c r="J16" s="5">
        <v>3812</v>
      </c>
      <c r="K16" s="5">
        <v>3958</v>
      </c>
      <c r="L16" s="5">
        <v>4070</v>
      </c>
      <c r="M16" s="5">
        <v>4128</v>
      </c>
      <c r="N16" s="5"/>
    </row>
    <row r="17" spans="2:14" s="3" customFormat="1" x14ac:dyDescent="0.2">
      <c r="B17" s="3" t="s">
        <v>20</v>
      </c>
      <c r="C17" s="5"/>
      <c r="D17" s="5"/>
      <c r="E17" s="5"/>
      <c r="F17" s="5">
        <v>127</v>
      </c>
      <c r="G17" s="5">
        <v>155</v>
      </c>
      <c r="H17" s="5">
        <v>153</v>
      </c>
      <c r="I17" s="5">
        <v>119</v>
      </c>
      <c r="J17" s="5">
        <v>128</v>
      </c>
      <c r="K17" s="5">
        <v>145</v>
      </c>
      <c r="L17" s="5">
        <v>146</v>
      </c>
      <c r="M17" s="5">
        <v>126</v>
      </c>
      <c r="N17" s="5"/>
    </row>
    <row r="18" spans="2:14" s="3" customFormat="1" x14ac:dyDescent="0.2">
      <c r="B18" s="3" t="s">
        <v>21</v>
      </c>
      <c r="C18" s="5"/>
      <c r="D18" s="5"/>
      <c r="E18" s="5"/>
      <c r="F18" s="5">
        <v>182</v>
      </c>
      <c r="G18" s="5">
        <v>166</v>
      </c>
      <c r="H18" s="5">
        <v>162</v>
      </c>
      <c r="I18" s="5">
        <v>159</v>
      </c>
      <c r="J18" s="5">
        <v>170</v>
      </c>
      <c r="K18" s="5">
        <v>159</v>
      </c>
      <c r="L18" s="5">
        <v>170</v>
      </c>
      <c r="M18" s="5">
        <v>179</v>
      </c>
      <c r="N18" s="5"/>
    </row>
    <row r="19" spans="2:14" s="6" customFormat="1" x14ac:dyDescent="0.2">
      <c r="B19" s="6" t="s">
        <v>22</v>
      </c>
      <c r="C19" s="7"/>
      <c r="D19" s="7"/>
      <c r="E19" s="7"/>
      <c r="F19" s="7">
        <f t="shared" ref="F19" si="1">SUM(F16:F18)</f>
        <v>3424</v>
      </c>
      <c r="G19" s="7">
        <f>SUM(G16:G18)</f>
        <v>3905</v>
      </c>
      <c r="H19" s="7">
        <f t="shared" ref="H19:N19" si="2">SUM(H16:H18)</f>
        <v>3835</v>
      </c>
      <c r="I19" s="7">
        <f t="shared" si="2"/>
        <v>3935</v>
      </c>
      <c r="J19" s="7">
        <f t="shared" si="2"/>
        <v>4110</v>
      </c>
      <c r="K19" s="7">
        <f t="shared" si="2"/>
        <v>4262</v>
      </c>
      <c r="L19" s="7">
        <f t="shared" si="2"/>
        <v>4386</v>
      </c>
      <c r="M19" s="7">
        <f t="shared" si="2"/>
        <v>4433</v>
      </c>
      <c r="N19" s="7">
        <f t="shared" si="2"/>
        <v>0</v>
      </c>
    </row>
    <row r="20" spans="2:14" s="3" customFormat="1" x14ac:dyDescent="0.2">
      <c r="B20" s="3" t="s">
        <v>23</v>
      </c>
      <c r="C20" s="5"/>
      <c r="D20" s="5"/>
      <c r="E20" s="5"/>
      <c r="F20" s="5">
        <v>428</v>
      </c>
      <c r="G20" s="5">
        <v>447</v>
      </c>
      <c r="H20" s="5">
        <v>444</v>
      </c>
      <c r="I20" s="5">
        <v>467</v>
      </c>
      <c r="J20" s="5">
        <v>507</v>
      </c>
      <c r="K20" s="5">
        <v>512</v>
      </c>
      <c r="L20" s="5">
        <f>539</f>
        <v>539</v>
      </c>
      <c r="M20" s="5">
        <v>546</v>
      </c>
      <c r="N20" s="5"/>
    </row>
    <row r="21" spans="2:14" s="3" customFormat="1" x14ac:dyDescent="0.2">
      <c r="B21" s="3" t="s">
        <v>24</v>
      </c>
      <c r="C21" s="5"/>
      <c r="D21" s="5"/>
      <c r="E21" s="5"/>
      <c r="F21" s="5">
        <f>F19-F20</f>
        <v>2996</v>
      </c>
      <c r="G21" s="5">
        <f>G19-G20</f>
        <v>3458</v>
      </c>
      <c r="H21" s="5">
        <f t="shared" ref="H21:K21" si="3">H19-H20</f>
        <v>3391</v>
      </c>
      <c r="I21" s="5">
        <f t="shared" si="3"/>
        <v>3468</v>
      </c>
      <c r="J21" s="5">
        <f t="shared" si="3"/>
        <v>3603</v>
      </c>
      <c r="K21" s="5">
        <f t="shared" si="3"/>
        <v>3750</v>
      </c>
      <c r="L21" s="5">
        <f>L19-L20</f>
        <v>3847</v>
      </c>
      <c r="M21" s="5">
        <f>+M19-M20</f>
        <v>3887</v>
      </c>
      <c r="N21" s="5"/>
    </row>
    <row r="22" spans="2:14" s="3" customFormat="1" x14ac:dyDescent="0.2">
      <c r="B22" s="3" t="s">
        <v>25</v>
      </c>
      <c r="C22" s="5"/>
      <c r="D22" s="5"/>
      <c r="E22" s="5"/>
      <c r="F22" s="5">
        <v>558</v>
      </c>
      <c r="G22" s="5">
        <v>620</v>
      </c>
      <c r="H22" s="5">
        <v>612</v>
      </c>
      <c r="I22" s="5">
        <v>651</v>
      </c>
      <c r="J22" s="5">
        <v>657</v>
      </c>
      <c r="K22" s="5">
        <v>701</v>
      </c>
      <c r="L22" s="5">
        <v>738</v>
      </c>
      <c r="M22" s="5">
        <v>775</v>
      </c>
      <c r="N22" s="5"/>
    </row>
    <row r="23" spans="2:14" s="3" customFormat="1" x14ac:dyDescent="0.2">
      <c r="B23" s="3" t="s">
        <v>26</v>
      </c>
      <c r="C23" s="5"/>
      <c r="D23" s="5"/>
      <c r="E23" s="5"/>
      <c r="F23" s="5">
        <v>941</v>
      </c>
      <c r="G23" s="5">
        <v>1049</v>
      </c>
      <c r="H23" s="5">
        <v>1073</v>
      </c>
      <c r="I23" s="5">
        <v>1068</v>
      </c>
      <c r="J23" s="5">
        <v>1131</v>
      </c>
      <c r="K23" s="5">
        <v>1158</v>
      </c>
      <c r="L23" s="5">
        <v>1247</v>
      </c>
      <c r="M23" s="5">
        <v>1266</v>
      </c>
      <c r="N23" s="5"/>
    </row>
    <row r="24" spans="2:14" s="3" customFormat="1" x14ac:dyDescent="0.2">
      <c r="B24" s="3" t="s">
        <v>27</v>
      </c>
      <c r="C24" s="5"/>
      <c r="D24" s="5"/>
      <c r="E24" s="5"/>
      <c r="F24" s="5">
        <v>243</v>
      </c>
      <c r="G24" s="5">
        <v>290</v>
      </c>
      <c r="H24" s="5">
        <v>256</v>
      </c>
      <c r="I24" s="5">
        <v>265</v>
      </c>
      <c r="J24" s="5">
        <v>274</v>
      </c>
      <c r="K24" s="5">
        <v>269</v>
      </c>
      <c r="L24" s="5">
        <v>291</v>
      </c>
      <c r="M24" s="5">
        <v>319</v>
      </c>
      <c r="N24" s="5"/>
    </row>
    <row r="25" spans="2:14" s="3" customFormat="1" x14ac:dyDescent="0.2">
      <c r="B25" s="3" t="s">
        <v>28</v>
      </c>
      <c r="C25" s="5"/>
      <c r="D25" s="5"/>
      <c r="E25" s="5"/>
      <c r="F25" s="5">
        <f t="shared" ref="F25" si="4">SUM(F22:F24)</f>
        <v>1742</v>
      </c>
      <c r="G25" s="5">
        <f t="shared" ref="G25:J25" si="5">SUM(G22:G24)</f>
        <v>1959</v>
      </c>
      <c r="H25" s="5">
        <f t="shared" si="5"/>
        <v>1941</v>
      </c>
      <c r="I25" s="5">
        <f t="shared" si="5"/>
        <v>1984</v>
      </c>
      <c r="J25" s="5">
        <f t="shared" si="5"/>
        <v>2062</v>
      </c>
      <c r="K25" s="5">
        <f>SUM(K22:K24)</f>
        <v>2128</v>
      </c>
      <c r="L25" s="5">
        <f t="shared" ref="L25:M25" si="6">SUM(L22:L24)</f>
        <v>2276</v>
      </c>
      <c r="M25" s="5">
        <f t="shared" si="6"/>
        <v>2360</v>
      </c>
      <c r="N25" s="5"/>
    </row>
    <row r="26" spans="2:14" s="3" customFormat="1" x14ac:dyDescent="0.2">
      <c r="B26" s="3" t="s">
        <v>29</v>
      </c>
      <c r="C26" s="5"/>
      <c r="D26" s="5"/>
      <c r="E26" s="5"/>
      <c r="F26" s="5">
        <f t="shared" ref="F26" si="7">F21-F25</f>
        <v>1254</v>
      </c>
      <c r="G26" s="5">
        <f t="shared" ref="G26:J26" si="8">G21-G25</f>
        <v>1499</v>
      </c>
      <c r="H26" s="5">
        <f t="shared" si="8"/>
        <v>1450</v>
      </c>
      <c r="I26" s="5">
        <f t="shared" si="8"/>
        <v>1484</v>
      </c>
      <c r="J26" s="5">
        <f t="shared" si="8"/>
        <v>1541</v>
      </c>
      <c r="K26" s="5">
        <f>K21-K25</f>
        <v>1622</v>
      </c>
      <c r="L26" s="5">
        <f t="shared" ref="L26:M26" si="9">L21-L25</f>
        <v>1571</v>
      </c>
      <c r="M26" s="5">
        <f t="shared" si="9"/>
        <v>1527</v>
      </c>
      <c r="N26" s="5"/>
    </row>
    <row r="27" spans="2:14" x14ac:dyDescent="0.2">
      <c r="B27" s="3" t="s">
        <v>30</v>
      </c>
      <c r="F27" s="4">
        <v>-27</v>
      </c>
      <c r="G27" s="4">
        <v>-30</v>
      </c>
      <c r="H27" s="4">
        <v>-28</v>
      </c>
      <c r="I27" s="4">
        <v>-23</v>
      </c>
      <c r="J27" s="4">
        <v>-28</v>
      </c>
      <c r="K27" s="4">
        <v>-28</v>
      </c>
      <c r="L27" s="4">
        <f>-28-1</f>
        <v>-29</v>
      </c>
      <c r="M27" s="4">
        <v>-28</v>
      </c>
    </row>
    <row r="28" spans="2:14" x14ac:dyDescent="0.2">
      <c r="B28" s="3" t="s">
        <v>31</v>
      </c>
      <c r="F28" s="5">
        <f>+F26+F27</f>
        <v>1227</v>
      </c>
      <c r="G28" s="5">
        <f>+G26+G27</f>
        <v>1469</v>
      </c>
      <c r="H28" s="5">
        <f t="shared" ref="H28:M28" si="10">+H26+H27</f>
        <v>1422</v>
      </c>
      <c r="I28" s="5">
        <f t="shared" si="10"/>
        <v>1461</v>
      </c>
      <c r="J28" s="5">
        <f t="shared" si="10"/>
        <v>1513</v>
      </c>
      <c r="K28" s="5">
        <f t="shared" si="10"/>
        <v>1594</v>
      </c>
      <c r="L28" s="5">
        <f t="shared" si="10"/>
        <v>1542</v>
      </c>
      <c r="M28" s="5">
        <f t="shared" si="10"/>
        <v>1499</v>
      </c>
    </row>
    <row r="29" spans="2:14" x14ac:dyDescent="0.2">
      <c r="B29" s="3" t="s">
        <v>32</v>
      </c>
      <c r="F29" s="4">
        <v>0</v>
      </c>
      <c r="G29" s="4">
        <v>172</v>
      </c>
      <c r="H29" s="4">
        <v>270</v>
      </c>
      <c r="I29" s="4">
        <v>206</v>
      </c>
      <c r="J29" s="4">
        <v>235</v>
      </c>
      <c r="K29" s="4">
        <v>277</v>
      </c>
      <c r="L29" s="4">
        <v>314</v>
      </c>
      <c r="M29" s="4">
        <v>320</v>
      </c>
    </row>
    <row r="30" spans="2:14" x14ac:dyDescent="0.2">
      <c r="B30" s="3" t="s">
        <v>33</v>
      </c>
      <c r="F30" s="5">
        <f>+F28-F29</f>
        <v>1227</v>
      </c>
      <c r="G30" s="5">
        <f>+G28-G29</f>
        <v>1297</v>
      </c>
      <c r="H30" s="5">
        <f t="shared" ref="H30:M30" si="11">+H28-H29</f>
        <v>1152</v>
      </c>
      <c r="I30" s="5">
        <f t="shared" si="11"/>
        <v>1255</v>
      </c>
      <c r="J30" s="5">
        <f t="shared" si="11"/>
        <v>1278</v>
      </c>
      <c r="K30" s="5">
        <f t="shared" si="11"/>
        <v>1317</v>
      </c>
      <c r="L30" s="5">
        <f t="shared" si="11"/>
        <v>1228</v>
      </c>
      <c r="M30" s="5">
        <f t="shared" si="11"/>
        <v>1179</v>
      </c>
    </row>
    <row r="31" spans="2:14" x14ac:dyDescent="0.2">
      <c r="B31" s="3" t="s">
        <v>34</v>
      </c>
      <c r="F31" s="8">
        <f t="shared" ref="F31" si="12">+F30/F32</f>
        <v>2.5351239669421486</v>
      </c>
      <c r="G31" s="8">
        <f>+G30/G32</f>
        <v>2.6853002070393375</v>
      </c>
      <c r="H31" s="8">
        <f t="shared" ref="H31:M31" si="13">+H30/H32</f>
        <v>2.3950103950103951</v>
      </c>
      <c r="I31" s="8">
        <f t="shared" si="13"/>
        <v>2.6091476091476093</v>
      </c>
      <c r="J31" s="8">
        <f t="shared" si="13"/>
        <v>2.6625000000000001</v>
      </c>
      <c r="K31" s="8">
        <f t="shared" si="13"/>
        <v>2.7726315789473683</v>
      </c>
      <c r="L31" s="8">
        <f t="shared" si="13"/>
        <v>2.5961945031712474</v>
      </c>
      <c r="M31" s="8">
        <f t="shared" si="13"/>
        <v>2.5138592750533051</v>
      </c>
    </row>
    <row r="32" spans="2:14" x14ac:dyDescent="0.2">
      <c r="B32" s="3" t="s">
        <v>1</v>
      </c>
      <c r="F32" s="4">
        <v>484</v>
      </c>
      <c r="G32" s="4">
        <v>483</v>
      </c>
      <c r="H32" s="4">
        <v>481</v>
      </c>
      <c r="I32" s="4">
        <v>481</v>
      </c>
      <c r="J32" s="4">
        <v>480</v>
      </c>
      <c r="K32" s="4">
        <v>475</v>
      </c>
      <c r="L32" s="4">
        <v>473</v>
      </c>
      <c r="M32" s="4">
        <v>469</v>
      </c>
    </row>
    <row r="34" spans="2:14" x14ac:dyDescent="0.2">
      <c r="B34" s="3" t="s">
        <v>53</v>
      </c>
      <c r="J34" s="9">
        <f t="shared" ref="J34" si="14">J19/F19-1</f>
        <v>0.20035046728971961</v>
      </c>
      <c r="K34" s="9">
        <f>K19/G19-1</f>
        <v>9.1421254801536511E-2</v>
      </c>
      <c r="L34" s="9">
        <f t="shared" ref="L34:M34" si="15">L19/H19-1</f>
        <v>0.14367666232073018</v>
      </c>
      <c r="M34" s="9">
        <f t="shared" si="15"/>
        <v>0.12655654383735704</v>
      </c>
    </row>
    <row r="35" spans="2:14" x14ac:dyDescent="0.2">
      <c r="B35" s="3" t="s">
        <v>103</v>
      </c>
      <c r="J35" s="9"/>
      <c r="K35" s="9"/>
      <c r="L35" s="9"/>
      <c r="M35" s="9">
        <v>0.15</v>
      </c>
    </row>
    <row r="36" spans="2:14" x14ac:dyDescent="0.2">
      <c r="B36" s="3" t="s">
        <v>104</v>
      </c>
      <c r="J36" s="9"/>
      <c r="K36" s="9">
        <f>K4/G4-1</f>
        <v>0.19121447028423777</v>
      </c>
      <c r="L36" s="9">
        <f>L4/H4-1</f>
        <v>0.13000817661488151</v>
      </c>
      <c r="M36" s="9">
        <f>M4/I4-1</f>
        <v>0.11718131433095813</v>
      </c>
    </row>
    <row r="37" spans="2:14" x14ac:dyDescent="0.2">
      <c r="B37" s="3" t="s">
        <v>70</v>
      </c>
      <c r="J37" s="9">
        <f t="shared" ref="J37" si="16">J21/J19</f>
        <v>0.87664233576642336</v>
      </c>
      <c r="K37" s="9">
        <f>K21/K19</f>
        <v>0.87986860628812769</v>
      </c>
      <c r="L37" s="9">
        <f t="shared" ref="L37:M37" si="17">L21/L19</f>
        <v>0.87710898312813501</v>
      </c>
      <c r="M37" s="9">
        <f t="shared" si="17"/>
        <v>0.87683284457478006</v>
      </c>
    </row>
    <row r="39" spans="2:14" s="3" customFormat="1" x14ac:dyDescent="0.2">
      <c r="B39" s="3" t="s">
        <v>52</v>
      </c>
      <c r="C39" s="5"/>
      <c r="D39" s="5"/>
      <c r="E39" s="5"/>
      <c r="F39" s="5"/>
      <c r="G39" s="5"/>
      <c r="H39" s="5"/>
      <c r="I39" s="5"/>
      <c r="J39" s="5"/>
      <c r="K39" s="5">
        <f>+K40-K52</f>
        <v>576</v>
      </c>
      <c r="L39" s="5">
        <f t="shared" ref="L39:M39" si="18">+L40-L52</f>
        <v>1173</v>
      </c>
      <c r="M39" s="5">
        <f t="shared" si="18"/>
        <v>1637</v>
      </c>
      <c r="N39" s="5"/>
    </row>
    <row r="40" spans="2:14" s="3" customFormat="1" x14ac:dyDescent="0.2">
      <c r="B40" s="3" t="s">
        <v>3</v>
      </c>
      <c r="C40" s="5"/>
      <c r="D40" s="5"/>
      <c r="E40" s="5"/>
      <c r="F40" s="5"/>
      <c r="G40" s="5"/>
      <c r="H40" s="5"/>
      <c r="I40" s="5"/>
      <c r="J40" s="5"/>
      <c r="K40" s="5">
        <f>2739+1962</f>
        <v>4701</v>
      </c>
      <c r="L40" s="5">
        <f>3365+1934</f>
        <v>5299</v>
      </c>
      <c r="M40" s="5">
        <f>3870+1894</f>
        <v>5764</v>
      </c>
      <c r="N40" s="5"/>
    </row>
    <row r="41" spans="2:14" s="3" customFormat="1" x14ac:dyDescent="0.2">
      <c r="B41" s="3" t="s">
        <v>36</v>
      </c>
      <c r="C41" s="5"/>
      <c r="D41" s="5"/>
      <c r="E41" s="5"/>
      <c r="F41" s="5"/>
      <c r="G41" s="5"/>
      <c r="H41" s="5"/>
      <c r="I41" s="5"/>
      <c r="J41" s="5"/>
      <c r="K41" s="5">
        <v>1685</v>
      </c>
      <c r="L41" s="5">
        <v>1588</v>
      </c>
      <c r="M41" s="5">
        <v>1723</v>
      </c>
      <c r="N41" s="5"/>
    </row>
    <row r="42" spans="2:14" s="3" customFormat="1" x14ac:dyDescent="0.2">
      <c r="B42" s="3" t="s">
        <v>37</v>
      </c>
      <c r="C42" s="5"/>
      <c r="D42" s="5"/>
      <c r="E42" s="5"/>
      <c r="F42" s="5"/>
      <c r="G42" s="5"/>
      <c r="H42" s="5"/>
      <c r="I42" s="5"/>
      <c r="J42" s="5"/>
      <c r="K42" s="5">
        <v>1090</v>
      </c>
      <c r="L42" s="5">
        <v>1021</v>
      </c>
      <c r="M42" s="5">
        <v>1002</v>
      </c>
      <c r="N42" s="5"/>
    </row>
    <row r="43" spans="2:14" s="3" customFormat="1" x14ac:dyDescent="0.2">
      <c r="B43" s="3" t="s">
        <v>38</v>
      </c>
      <c r="C43" s="5"/>
      <c r="D43" s="5"/>
      <c r="E43" s="5"/>
      <c r="F43" s="5"/>
      <c r="G43" s="5"/>
      <c r="H43" s="5"/>
      <c r="I43" s="5"/>
      <c r="J43" s="5"/>
      <c r="K43" s="5">
        <v>1703</v>
      </c>
      <c r="L43" s="5">
        <v>1790</v>
      </c>
      <c r="M43" s="5">
        <v>1858</v>
      </c>
      <c r="N43" s="5"/>
    </row>
    <row r="44" spans="2:14" s="3" customFormat="1" x14ac:dyDescent="0.2">
      <c r="B44" s="3" t="s">
        <v>39</v>
      </c>
      <c r="C44" s="5"/>
      <c r="D44" s="5"/>
      <c r="E44" s="5"/>
      <c r="F44" s="5"/>
      <c r="G44" s="5"/>
      <c r="H44" s="5"/>
      <c r="I44" s="5"/>
      <c r="J44" s="5"/>
      <c r="K44" s="5">
        <v>435</v>
      </c>
      <c r="L44" s="5">
        <v>430</v>
      </c>
      <c r="M44" s="5">
        <v>414</v>
      </c>
      <c r="N44" s="5"/>
    </row>
    <row r="45" spans="2:14" s="3" customFormat="1" x14ac:dyDescent="0.2">
      <c r="B45" s="3" t="s">
        <v>40</v>
      </c>
      <c r="C45" s="5"/>
      <c r="D45" s="5"/>
      <c r="E45" s="5"/>
      <c r="F45" s="5"/>
      <c r="G45" s="5"/>
      <c r="H45" s="5"/>
      <c r="I45" s="5"/>
      <c r="J45" s="5"/>
      <c r="K45" s="5">
        <f>12795+1743</f>
        <v>14538</v>
      </c>
      <c r="L45" s="5">
        <f>12801+1650</f>
        <v>14451</v>
      </c>
      <c r="M45" s="5">
        <f>12756+1548</f>
        <v>14304</v>
      </c>
      <c r="N45" s="5"/>
    </row>
    <row r="46" spans="2:14" s="3" customFormat="1" x14ac:dyDescent="0.2">
      <c r="B46" s="3" t="s">
        <v>41</v>
      </c>
      <c r="C46" s="5"/>
      <c r="D46" s="5"/>
      <c r="E46" s="5"/>
      <c r="F46" s="5"/>
      <c r="G46" s="5"/>
      <c r="H46" s="5"/>
      <c r="I46" s="5"/>
      <c r="J46" s="5"/>
      <c r="K46" s="5">
        <v>950</v>
      </c>
      <c r="L46" s="5">
        <v>882</v>
      </c>
      <c r="M46" s="5">
        <v>799</v>
      </c>
      <c r="N46" s="5"/>
    </row>
    <row r="47" spans="2:14" s="3" customFormat="1" x14ac:dyDescent="0.2">
      <c r="B47" s="3" t="s">
        <v>42</v>
      </c>
      <c r="C47" s="5"/>
      <c r="D47" s="5"/>
      <c r="E47" s="5"/>
      <c r="F47" s="5"/>
      <c r="G47" s="5"/>
      <c r="H47" s="5"/>
      <c r="I47" s="5"/>
      <c r="J47" s="5"/>
      <c r="K47" s="5">
        <v>874</v>
      </c>
      <c r="L47" s="5">
        <v>865</v>
      </c>
      <c r="M47" s="5">
        <v>880</v>
      </c>
      <c r="N47" s="5"/>
    </row>
    <row r="48" spans="2:14" s="3" customFormat="1" x14ac:dyDescent="0.2">
      <c r="B48" s="3" t="s">
        <v>35</v>
      </c>
      <c r="C48" s="5"/>
      <c r="D48" s="5"/>
      <c r="E48" s="5"/>
      <c r="F48" s="5"/>
      <c r="G48" s="5"/>
      <c r="H48" s="5"/>
      <c r="I48" s="5"/>
      <c r="J48" s="5"/>
      <c r="K48" s="5">
        <f>SUM(K40:K47)</f>
        <v>25976</v>
      </c>
      <c r="L48" s="5">
        <f t="shared" ref="L48:M48" si="19">SUM(L40:L47)</f>
        <v>26326</v>
      </c>
      <c r="M48" s="5">
        <f t="shared" si="19"/>
        <v>26744</v>
      </c>
      <c r="N48" s="5"/>
    </row>
    <row r="49" spans="2:14" s="3" customFormat="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s="3" customFormat="1" x14ac:dyDescent="0.2">
      <c r="B50" s="3" t="s">
        <v>43</v>
      </c>
      <c r="C50" s="5"/>
      <c r="D50" s="5"/>
      <c r="E50" s="5"/>
      <c r="F50" s="5"/>
      <c r="G50" s="5"/>
      <c r="H50" s="5"/>
      <c r="I50" s="5"/>
      <c r="J50" s="5"/>
      <c r="K50" s="5">
        <v>295</v>
      </c>
      <c r="L50" s="5">
        <v>366</v>
      </c>
      <c r="M50" s="5">
        <v>316</v>
      </c>
      <c r="N50" s="5"/>
    </row>
    <row r="51" spans="2:14" s="3" customFormat="1" x14ac:dyDescent="0.2">
      <c r="B51" s="3" t="s">
        <v>44</v>
      </c>
      <c r="C51" s="5"/>
      <c r="D51" s="5"/>
      <c r="E51" s="5"/>
      <c r="F51" s="5"/>
      <c r="G51" s="5"/>
      <c r="H51" s="5"/>
      <c r="I51" s="5"/>
      <c r="J51" s="5"/>
      <c r="K51" s="5">
        <v>1333</v>
      </c>
      <c r="L51" s="5">
        <v>1615</v>
      </c>
      <c r="M51" s="5">
        <v>1629</v>
      </c>
      <c r="N51" s="5"/>
    </row>
    <row r="52" spans="2:14" s="3" customFormat="1" x14ac:dyDescent="0.2">
      <c r="B52" s="3" t="s">
        <v>4</v>
      </c>
      <c r="C52" s="5"/>
      <c r="D52" s="5"/>
      <c r="E52" s="5"/>
      <c r="F52" s="5"/>
      <c r="G52" s="5"/>
      <c r="H52" s="5"/>
      <c r="I52" s="5"/>
      <c r="J52" s="5"/>
      <c r="K52" s="5">
        <f>499+3626</f>
        <v>4125</v>
      </c>
      <c r="L52" s="5">
        <f>499+3627</f>
        <v>4126</v>
      </c>
      <c r="M52" s="5">
        <f>500+3627</f>
        <v>4127</v>
      </c>
      <c r="N52" s="5"/>
    </row>
    <row r="53" spans="2:14" s="3" customFormat="1" x14ac:dyDescent="0.2">
      <c r="B53" s="3" t="s">
        <v>45</v>
      </c>
      <c r="C53" s="5"/>
      <c r="D53" s="5"/>
      <c r="E53" s="5"/>
      <c r="F53" s="5"/>
      <c r="G53" s="5"/>
      <c r="H53" s="5"/>
      <c r="I53" s="5"/>
      <c r="J53" s="5"/>
      <c r="K53" s="5">
        <f>4894+125</f>
        <v>5019</v>
      </c>
      <c r="L53" s="5">
        <f>4753+123</f>
        <v>4876</v>
      </c>
      <c r="M53" s="5">
        <f>4829+114</f>
        <v>4943</v>
      </c>
      <c r="N53" s="5"/>
    </row>
    <row r="54" spans="2:14" s="3" customFormat="1" x14ac:dyDescent="0.2">
      <c r="B54" s="3" t="s">
        <v>32</v>
      </c>
      <c r="C54" s="5"/>
      <c r="D54" s="5"/>
      <c r="E54" s="5"/>
      <c r="F54" s="5"/>
      <c r="G54" s="5"/>
      <c r="H54" s="5"/>
      <c r="I54" s="5"/>
      <c r="J54" s="5"/>
      <c r="K54" s="5">
        <f>83+540+4</f>
        <v>627</v>
      </c>
      <c r="L54" s="5">
        <f>62+503+4</f>
        <v>569</v>
      </c>
      <c r="M54" s="5">
        <f>76+510</f>
        <v>586</v>
      </c>
      <c r="N54" s="5"/>
    </row>
    <row r="55" spans="2:14" s="3" customFormat="1" x14ac:dyDescent="0.2">
      <c r="B55" s="3" t="s">
        <v>39</v>
      </c>
      <c r="C55" s="5"/>
      <c r="D55" s="5"/>
      <c r="E55" s="5"/>
      <c r="F55" s="5"/>
      <c r="G55" s="5"/>
      <c r="H55" s="5"/>
      <c r="I55" s="5"/>
      <c r="J55" s="5"/>
      <c r="K55" s="5">
        <f>93+447</f>
        <v>540</v>
      </c>
      <c r="L55" s="5">
        <f>90+442</f>
        <v>532</v>
      </c>
      <c r="M55" s="5">
        <f>88+426</f>
        <v>514</v>
      </c>
      <c r="N55" s="5"/>
    </row>
    <row r="56" spans="2:14" s="3" customFormat="1" x14ac:dyDescent="0.2">
      <c r="B56" s="3" t="s">
        <v>46</v>
      </c>
      <c r="C56" s="5"/>
      <c r="D56" s="5"/>
      <c r="E56" s="5"/>
      <c r="F56" s="5"/>
      <c r="G56" s="5"/>
      <c r="H56" s="5"/>
      <c r="I56" s="5"/>
      <c r="J56" s="5"/>
      <c r="K56" s="5">
        <v>262</v>
      </c>
      <c r="L56" s="5">
        <v>257</v>
      </c>
      <c r="M56" s="5">
        <f>253</f>
        <v>253</v>
      </c>
      <c r="N56" s="5"/>
    </row>
    <row r="57" spans="2:14" s="3" customFormat="1" x14ac:dyDescent="0.2">
      <c r="B57" s="3" t="s">
        <v>47</v>
      </c>
      <c r="C57" s="5"/>
      <c r="D57" s="5"/>
      <c r="E57" s="5"/>
      <c r="F57" s="5"/>
      <c r="G57" s="5"/>
      <c r="H57" s="5"/>
      <c r="I57" s="5"/>
      <c r="J57" s="5"/>
      <c r="K57" s="5">
        <v>8750</v>
      </c>
      <c r="L57" s="5">
        <v>9102</v>
      </c>
      <c r="M57" s="5">
        <v>9548</v>
      </c>
      <c r="N57" s="5"/>
    </row>
    <row r="58" spans="2:14" s="3" customFormat="1" x14ac:dyDescent="0.2">
      <c r="B58" s="3" t="s">
        <v>48</v>
      </c>
      <c r="C58" s="5"/>
      <c r="D58" s="5"/>
      <c r="E58" s="5"/>
      <c r="F58" s="5"/>
      <c r="G58" s="5"/>
      <c r="H58" s="5"/>
      <c r="I58" s="5"/>
      <c r="J58" s="5"/>
      <c r="K58" s="5">
        <v>24961</v>
      </c>
      <c r="L58" s="5">
        <v>26022</v>
      </c>
      <c r="M58" s="5">
        <v>27158</v>
      </c>
      <c r="N58" s="5"/>
    </row>
    <row r="59" spans="2:14" s="3" customFormat="1" x14ac:dyDescent="0.2">
      <c r="B59" s="3" t="s">
        <v>49</v>
      </c>
      <c r="C59" s="5"/>
      <c r="D59" s="5"/>
      <c r="E59" s="5"/>
      <c r="F59" s="5"/>
      <c r="G59" s="5"/>
      <c r="H59" s="5"/>
      <c r="I59" s="5"/>
      <c r="J59" s="5"/>
      <c r="K59" s="5">
        <v>-177</v>
      </c>
      <c r="L59" s="5">
        <v>-195</v>
      </c>
      <c r="M59" s="5">
        <v>-224</v>
      </c>
      <c r="N59" s="5"/>
    </row>
    <row r="60" spans="2:14" s="3" customFormat="1" x14ac:dyDescent="0.2">
      <c r="B60" s="3" t="s">
        <v>50</v>
      </c>
      <c r="C60" s="5"/>
      <c r="D60" s="5"/>
      <c r="E60" s="5"/>
      <c r="F60" s="5"/>
      <c r="G60" s="5"/>
      <c r="H60" s="5"/>
      <c r="I60" s="5"/>
      <c r="J60" s="5"/>
      <c r="K60" s="5">
        <v>-19759</v>
      </c>
      <c r="L60" s="5">
        <v>-20944</v>
      </c>
      <c r="M60" s="5">
        <v>-22109</v>
      </c>
      <c r="N60" s="5"/>
    </row>
    <row r="61" spans="2:14" s="3" customFormat="1" x14ac:dyDescent="0.2">
      <c r="B61" s="3" t="s">
        <v>51</v>
      </c>
      <c r="C61" s="5"/>
      <c r="D61" s="5"/>
      <c r="E61" s="5"/>
      <c r="F61" s="5"/>
      <c r="G61" s="5"/>
      <c r="H61" s="5"/>
      <c r="I61" s="5"/>
      <c r="J61" s="5"/>
      <c r="K61" s="5">
        <f>SUM(K50:K60)</f>
        <v>25976</v>
      </c>
      <c r="L61" s="5">
        <f t="shared" ref="L61:M61" si="20">SUM(L50:L60)</f>
        <v>26326</v>
      </c>
      <c r="M61" s="5">
        <f t="shared" si="20"/>
        <v>26741</v>
      </c>
      <c r="N61" s="5"/>
    </row>
    <row r="62" spans="2:14" s="3" customFormat="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s="3" customFormat="1" x14ac:dyDescent="0.2">
      <c r="B63" s="3" t="s">
        <v>54</v>
      </c>
      <c r="C63" s="5"/>
      <c r="D63" s="5"/>
      <c r="E63" s="5"/>
      <c r="F63" s="5"/>
      <c r="G63" s="5"/>
      <c r="H63" s="5"/>
      <c r="I63" s="5"/>
      <c r="J63" s="5"/>
      <c r="K63" s="5">
        <f>K30</f>
        <v>1317</v>
      </c>
      <c r="L63" s="5">
        <f>L30</f>
        <v>1228</v>
      </c>
      <c r="M63" s="5">
        <f>M30</f>
        <v>1179</v>
      </c>
      <c r="N63" s="5"/>
    </row>
    <row r="64" spans="2:14" s="3" customFormat="1" x14ac:dyDescent="0.2">
      <c r="B64" s="3" t="s">
        <v>55</v>
      </c>
      <c r="C64" s="5"/>
      <c r="D64" s="5"/>
      <c r="E64" s="5"/>
      <c r="F64" s="5"/>
      <c r="G64" s="5"/>
      <c r="H64" s="5"/>
      <c r="I64" s="5"/>
      <c r="J64" s="5"/>
      <c r="K64" s="5">
        <v>1266</v>
      </c>
      <c r="L64" s="5">
        <f>2444-K64</f>
        <v>1178</v>
      </c>
      <c r="M64" s="5">
        <v>1136</v>
      </c>
      <c r="N64" s="5"/>
    </row>
    <row r="65" spans="2:14" s="3" customFormat="1" x14ac:dyDescent="0.2">
      <c r="B65" s="3" t="s">
        <v>56</v>
      </c>
      <c r="C65" s="5"/>
      <c r="D65" s="5"/>
      <c r="E65" s="5"/>
      <c r="F65" s="5"/>
      <c r="G65" s="5"/>
      <c r="H65" s="5"/>
      <c r="I65" s="5"/>
      <c r="J65" s="5"/>
      <c r="K65" s="5">
        <v>213</v>
      </c>
      <c r="L65" s="5">
        <f>425-K65</f>
        <v>212</v>
      </c>
      <c r="M65" s="5">
        <v>216</v>
      </c>
      <c r="N65" s="5"/>
    </row>
    <row r="66" spans="2:14" s="3" customFormat="1" x14ac:dyDescent="0.2">
      <c r="B66" s="3" t="s">
        <v>57</v>
      </c>
      <c r="C66" s="5"/>
      <c r="D66" s="5"/>
      <c r="E66" s="5"/>
      <c r="F66" s="5"/>
      <c r="G66" s="5"/>
      <c r="H66" s="5"/>
      <c r="I66" s="5"/>
      <c r="J66" s="5"/>
      <c r="K66" s="5">
        <v>322</v>
      </c>
      <c r="L66" s="5">
        <f>674-K66</f>
        <v>352</v>
      </c>
      <c r="M66" s="5">
        <v>378</v>
      </c>
      <c r="N66" s="5"/>
    </row>
    <row r="67" spans="2:14" s="3" customFormat="1" x14ac:dyDescent="0.2">
      <c r="B67" s="3" t="s">
        <v>39</v>
      </c>
      <c r="C67" s="5"/>
      <c r="D67" s="5"/>
      <c r="E67" s="5"/>
      <c r="F67" s="5"/>
      <c r="G67" s="5"/>
      <c r="H67" s="5"/>
      <c r="I67" s="5"/>
      <c r="J67" s="5"/>
      <c r="K67" s="5">
        <v>0</v>
      </c>
      <c r="L67" s="5">
        <f>42-K67</f>
        <v>42</v>
      </c>
      <c r="M67" s="5">
        <v>0</v>
      </c>
      <c r="N67" s="5"/>
    </row>
    <row r="68" spans="2:14" s="3" customFormat="1" x14ac:dyDescent="0.2">
      <c r="B68" s="3" t="s">
        <v>41</v>
      </c>
      <c r="C68" s="5"/>
      <c r="D68" s="5"/>
      <c r="E68" s="5"/>
      <c r="F68" s="5"/>
      <c r="G68" s="5"/>
      <c r="H68" s="5"/>
      <c r="I68" s="5"/>
      <c r="J68" s="5"/>
      <c r="K68" s="5">
        <v>0</v>
      </c>
      <c r="L68" s="5">
        <f>197-K68</f>
        <v>197</v>
      </c>
      <c r="M68" s="5">
        <v>0</v>
      </c>
      <c r="N68" s="5"/>
    </row>
    <row r="69" spans="2:14" s="3" customFormat="1" x14ac:dyDescent="0.2">
      <c r="B69" s="3" t="s">
        <v>58</v>
      </c>
      <c r="C69" s="5"/>
      <c r="D69" s="5"/>
      <c r="E69" s="5"/>
      <c r="F69" s="5"/>
      <c r="G69" s="5"/>
      <c r="H69" s="5"/>
      <c r="I69" s="5"/>
      <c r="J69" s="5"/>
      <c r="K69" s="5">
        <v>17</v>
      </c>
      <c r="L69" s="5">
        <f>27-K69</f>
        <v>10</v>
      </c>
      <c r="M69" s="5">
        <v>6</v>
      </c>
      <c r="N69" s="5"/>
    </row>
    <row r="70" spans="2:14" s="3" customFormat="1" x14ac:dyDescent="0.2">
      <c r="B70" s="3" t="s">
        <v>59</v>
      </c>
      <c r="C70" s="5"/>
      <c r="D70" s="5"/>
      <c r="E70" s="5"/>
      <c r="F70" s="5"/>
      <c r="G70" s="5"/>
      <c r="H70" s="5"/>
      <c r="I70" s="5"/>
      <c r="J70" s="5"/>
      <c r="K70" s="5">
        <v>153</v>
      </c>
      <c r="L70" s="5">
        <f>2-K70</f>
        <v>-151</v>
      </c>
      <c r="M70" s="5">
        <f>112-L70-K70</f>
        <v>110</v>
      </c>
      <c r="N70" s="5"/>
    </row>
    <row r="71" spans="2:14" s="3" customFormat="1" x14ac:dyDescent="0.2">
      <c r="B71" s="3" t="s">
        <v>45</v>
      </c>
      <c r="C71" s="5"/>
      <c r="D71" s="5"/>
      <c r="E71" s="5"/>
      <c r="F71" s="5"/>
      <c r="G71" s="5"/>
      <c r="H71" s="5"/>
      <c r="I71" s="5"/>
      <c r="J71" s="5"/>
      <c r="K71" s="5">
        <v>141</v>
      </c>
      <c r="L71" s="5">
        <f>0-K71</f>
        <v>-141</v>
      </c>
      <c r="M71" s="5">
        <f>67-L71-K71</f>
        <v>67</v>
      </c>
      <c r="N71" s="5"/>
    </row>
    <row r="72" spans="2:14" s="3" customFormat="1" x14ac:dyDescent="0.2">
      <c r="B72" s="3" t="s">
        <v>60</v>
      </c>
      <c r="C72" s="5"/>
      <c r="D72" s="5"/>
      <c r="E72" s="5"/>
      <c r="F72" s="5"/>
      <c r="G72" s="5"/>
      <c r="H72" s="5"/>
      <c r="I72" s="5"/>
      <c r="J72" s="5"/>
      <c r="K72" s="5">
        <v>-343</v>
      </c>
      <c r="L72" s="5">
        <f>287-140+60-187-20-2-K72</f>
        <v>341</v>
      </c>
      <c r="M72" s="5">
        <f>-211-L72-K72</f>
        <v>-209</v>
      </c>
      <c r="N72" s="5"/>
    </row>
    <row r="73" spans="2:14" s="3" customFormat="1" x14ac:dyDescent="0.2">
      <c r="B73" s="3" t="s">
        <v>61</v>
      </c>
      <c r="C73" s="5"/>
      <c r="D73" s="5"/>
      <c r="E73" s="5"/>
      <c r="F73" s="5"/>
      <c r="G73" s="5"/>
      <c r="H73" s="5"/>
      <c r="I73" s="5"/>
      <c r="J73" s="5"/>
      <c r="K73" s="5">
        <f>SUM(K64:K72)</f>
        <v>1769</v>
      </c>
      <c r="L73" s="5">
        <f>SUM(L64:L72)</f>
        <v>2040</v>
      </c>
      <c r="M73" s="5">
        <f>SUM(M64:M72)</f>
        <v>1704</v>
      </c>
      <c r="N73" s="5"/>
    </row>
    <row r="74" spans="2:14" s="3" customFormat="1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2:14" s="3" customFormat="1" x14ac:dyDescent="0.2">
      <c r="B75" s="3" t="s">
        <v>62</v>
      </c>
      <c r="C75" s="5"/>
      <c r="D75" s="5"/>
      <c r="E75" s="5"/>
      <c r="F75" s="5"/>
      <c r="G75" s="5"/>
      <c r="H75" s="5"/>
      <c r="I75" s="5"/>
      <c r="J75" s="5"/>
      <c r="K75" s="5">
        <f>-288+208+54</f>
        <v>-26</v>
      </c>
      <c r="L75" s="5">
        <f>-524+349+159-K75-30</f>
        <v>-20</v>
      </c>
      <c r="M75" s="5"/>
      <c r="N75" s="5"/>
    </row>
    <row r="76" spans="2:14" s="3" customFormat="1" x14ac:dyDescent="0.2">
      <c r="B76" s="3" t="s">
        <v>63</v>
      </c>
      <c r="C76" s="5"/>
      <c r="D76" s="5"/>
      <c r="E76" s="5"/>
      <c r="F76" s="5"/>
      <c r="G76" s="5"/>
      <c r="H76" s="5"/>
      <c r="I76" s="5"/>
      <c r="J76" s="5"/>
      <c r="K76" s="5">
        <f>-106-28</f>
        <v>-134</v>
      </c>
      <c r="L76" s="5">
        <f>-126-K76</f>
        <v>8</v>
      </c>
      <c r="M76" s="5"/>
      <c r="N76" s="5"/>
    </row>
    <row r="77" spans="2:14" s="3" customFormat="1" x14ac:dyDescent="0.2">
      <c r="B77" s="3" t="s">
        <v>64</v>
      </c>
      <c r="C77" s="5"/>
      <c r="D77" s="5"/>
      <c r="E77" s="5"/>
      <c r="F77" s="5"/>
      <c r="G77" s="5"/>
      <c r="H77" s="5"/>
      <c r="I77" s="5"/>
      <c r="J77" s="5"/>
      <c r="K77" s="5">
        <v>-100</v>
      </c>
      <c r="L77" s="5">
        <f>-226-K77</f>
        <v>-126</v>
      </c>
      <c r="M77" s="5"/>
      <c r="N77" s="5"/>
    </row>
    <row r="78" spans="2:14" s="3" customFormat="1" x14ac:dyDescent="0.2">
      <c r="B78" s="3" t="s">
        <v>65</v>
      </c>
      <c r="C78" s="5"/>
      <c r="D78" s="5"/>
      <c r="E78" s="5"/>
      <c r="F78" s="5"/>
      <c r="G78" s="5"/>
      <c r="H78" s="5"/>
      <c r="I78" s="5"/>
      <c r="J78" s="5"/>
      <c r="K78" s="5">
        <f>SUM(K75:K77)</f>
        <v>-260</v>
      </c>
      <c r="L78" s="5">
        <f>SUM(L75:L77)</f>
        <v>-138</v>
      </c>
      <c r="M78" s="5"/>
      <c r="N78" s="5"/>
    </row>
    <row r="79" spans="2:14" s="3" customFormat="1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2:14" s="3" customFormat="1" x14ac:dyDescent="0.2">
      <c r="B80" s="3" t="s">
        <v>66</v>
      </c>
      <c r="C80" s="5"/>
      <c r="D80" s="5"/>
      <c r="E80" s="5"/>
      <c r="F80" s="5"/>
      <c r="G80" s="5"/>
      <c r="H80" s="5"/>
      <c r="I80" s="5"/>
      <c r="J80" s="5"/>
      <c r="K80" s="5">
        <f>-2400+91</f>
        <v>-2309</v>
      </c>
      <c r="L80" s="5">
        <f>-3600-K80+91</f>
        <v>-1200</v>
      </c>
      <c r="M80" s="5"/>
      <c r="N80" s="5"/>
    </row>
    <row r="81" spans="2:14" s="3" customFormat="1" x14ac:dyDescent="0.2">
      <c r="B81" s="3" t="s">
        <v>32</v>
      </c>
      <c r="C81" s="5"/>
      <c r="D81" s="5"/>
      <c r="E81" s="5"/>
      <c r="F81" s="5"/>
      <c r="G81" s="5"/>
      <c r="H81" s="5"/>
      <c r="I81" s="5"/>
      <c r="J81" s="5"/>
      <c r="K81" s="5">
        <v>-266</v>
      </c>
      <c r="L81" s="5">
        <f>-367-K81</f>
        <v>-101</v>
      </c>
      <c r="M81" s="5"/>
      <c r="N81" s="5"/>
    </row>
    <row r="82" spans="2:14" s="3" customFormat="1" x14ac:dyDescent="0.2">
      <c r="B82" s="3" t="s">
        <v>59</v>
      </c>
      <c r="C82" s="5"/>
      <c r="D82" s="5"/>
      <c r="E82" s="5"/>
      <c r="F82" s="5"/>
      <c r="G82" s="5"/>
      <c r="H82" s="5"/>
      <c r="I82" s="5"/>
      <c r="J82" s="5"/>
      <c r="K82" s="5">
        <v>-29</v>
      </c>
      <c r="L82" s="5">
        <f>22-K82</f>
        <v>51</v>
      </c>
      <c r="M82" s="5"/>
      <c r="N82" s="5"/>
    </row>
    <row r="83" spans="2:14" s="3" customFormat="1" x14ac:dyDescent="0.2">
      <c r="B83" s="3" t="s">
        <v>67</v>
      </c>
      <c r="C83" s="5"/>
      <c r="D83" s="5"/>
      <c r="E83" s="5"/>
      <c r="F83" s="5"/>
      <c r="G83" s="5"/>
      <c r="H83" s="5"/>
      <c r="I83" s="5"/>
      <c r="J83" s="5"/>
      <c r="K83" s="5">
        <f>SUM(K80:K82)</f>
        <v>-2604</v>
      </c>
      <c r="L83" s="5">
        <f>SUM(L80:L82)</f>
        <v>-1250</v>
      </c>
      <c r="M83" s="5"/>
      <c r="N83" s="5"/>
    </row>
    <row r="84" spans="2:14" s="3" customFormat="1" x14ac:dyDescent="0.2">
      <c r="B84" s="3" t="s">
        <v>68</v>
      </c>
      <c r="C84" s="5"/>
      <c r="D84" s="5"/>
      <c r="E84" s="5"/>
      <c r="F84" s="5"/>
      <c r="G84" s="5"/>
      <c r="H84" s="5"/>
      <c r="I84" s="5"/>
      <c r="J84" s="5"/>
      <c r="K84" s="5">
        <v>-10</v>
      </c>
      <c r="L84" s="5">
        <f>-36-K84</f>
        <v>-26</v>
      </c>
      <c r="M84" s="5"/>
      <c r="N84" s="5"/>
    </row>
    <row r="85" spans="2:14" x14ac:dyDescent="0.2">
      <c r="B85" s="3" t="s">
        <v>69</v>
      </c>
      <c r="K85" s="5">
        <f>K84+K83+K78+K73</f>
        <v>-1105</v>
      </c>
      <c r="L85" s="5">
        <f>L84+L83+L78+L73</f>
        <v>626</v>
      </c>
    </row>
  </sheetData>
  <phoneticPr fontId="4" type="noConversion"/>
  <hyperlinks>
    <hyperlink ref="A1" location="Main!A1" display="Main" xr:uid="{4CAEE359-505D-4C54-B805-898B3A68FAE2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2022-06-12T04:44:53Z</dcterms:created>
  <dcterms:modified xsi:type="dcterms:W3CDTF">2022-09-15T18:53:06Z</dcterms:modified>
</cp:coreProperties>
</file>