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808A7D0-3169-4D7D-8CCA-3A1FEEBD6A08}" xr6:coauthVersionLast="47" xr6:coauthVersionMax="47" xr10:uidLastSave="{00000000-0000-0000-0000-000000000000}"/>
  <bookViews>
    <workbookView xWindow="57270" yWindow="1410" windowWidth="25035" windowHeight="19590" activeTab="2" xr2:uid="{00000000-000D-0000-FFFF-FFFF00000000}"/>
  </bookViews>
  <sheets>
    <sheet name="Master" sheetId="23" r:id="rId1"/>
    <sheet name="Main" sheetId="1" r:id="rId2"/>
    <sheet name="Model" sheetId="6" r:id="rId3"/>
    <sheet name="Opdivo" sheetId="19" r:id="rId4"/>
    <sheet name="Orencia" sheetId="3" r:id="rId5"/>
    <sheet name="Yervoy" sheetId="10" r:id="rId6"/>
    <sheet name="Eliquis" sheetId="9" r:id="rId7"/>
    <sheet name="Empliciti" sheetId="22" r:id="rId8"/>
    <sheet name="Avapro" sheetId="17" r:id="rId9"/>
    <sheet name="Plavix" sheetId="2" r:id="rId10"/>
    <sheet name="Abilify" sheetId="11" r:id="rId11"/>
    <sheet name="Reyataz" sheetId="15" r:id="rId12"/>
    <sheet name="Sprycel" sheetId="8" r:id="rId13"/>
    <sheet name="Erbitux" sheetId="12" r:id="rId14"/>
    <sheet name="Onglyza" sheetId="18" r:id="rId15"/>
    <sheet name="Sustiva" sheetId="16" r:id="rId16"/>
    <sheet name="dapagliflozin" sheetId="13" r:id="rId17"/>
    <sheet name="ixabepilone" sheetId="7" r:id="rId18"/>
    <sheet name="790052" sheetId="14" r:id="rId19"/>
    <sheet name="Discontinuations" sheetId="5" r:id="rId20"/>
    <sheet name="brivanib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T92" i="6" l="1"/>
  <c r="BT116" i="6"/>
  <c r="BT104" i="6"/>
  <c r="DM17" i="6"/>
  <c r="DN17" i="6" s="1"/>
  <c r="DO17" i="6" s="1"/>
  <c r="DP17" i="6" s="1"/>
  <c r="DQ17" i="6" s="1"/>
  <c r="DR17" i="6" s="1"/>
  <c r="DS17" i="6" s="1"/>
  <c r="DN16" i="6"/>
  <c r="DO16" i="6" s="1"/>
  <c r="DP16" i="6" s="1"/>
  <c r="DQ16" i="6" s="1"/>
  <c r="DR16" i="6" s="1"/>
  <c r="DS16" i="6" s="1"/>
  <c r="DM16" i="6"/>
  <c r="DN15" i="6"/>
  <c r="DO15" i="6" s="1"/>
  <c r="DP15" i="6" s="1"/>
  <c r="DQ15" i="6" s="1"/>
  <c r="DR15" i="6" s="1"/>
  <c r="DS15" i="6" s="1"/>
  <c r="DM15" i="6"/>
  <c r="DN14" i="6"/>
  <c r="DO14" i="6" s="1"/>
  <c r="DP14" i="6" s="1"/>
  <c r="DQ14" i="6" s="1"/>
  <c r="DR14" i="6" s="1"/>
  <c r="DS14" i="6" s="1"/>
  <c r="DM14" i="6"/>
  <c r="DN13" i="6"/>
  <c r="DO13" i="6" s="1"/>
  <c r="DP13" i="6" s="1"/>
  <c r="DQ13" i="6" s="1"/>
  <c r="DR13" i="6" s="1"/>
  <c r="DS13" i="6" s="1"/>
  <c r="DM13" i="6"/>
  <c r="DS12" i="6"/>
  <c r="DQ12" i="6"/>
  <c r="DR12" i="6" s="1"/>
  <c r="DP12" i="6"/>
  <c r="DN12" i="6"/>
  <c r="DO12" i="6" s="1"/>
  <c r="DM12" i="6"/>
  <c r="DN9" i="6"/>
  <c r="DO9" i="6" s="1"/>
  <c r="DP9" i="6" s="1"/>
  <c r="DQ9" i="6" s="1"/>
  <c r="DR9" i="6" s="1"/>
  <c r="DS9" i="6" s="1"/>
  <c r="DM9" i="6"/>
  <c r="DS8" i="6"/>
  <c r="DR8" i="6"/>
  <c r="DN8" i="6"/>
  <c r="DO8" i="6" s="1"/>
  <c r="DP8" i="6" s="1"/>
  <c r="DQ8" i="6" s="1"/>
  <c r="DM8" i="6"/>
  <c r="DO3" i="6"/>
  <c r="DP3" i="6" s="1"/>
  <c r="DQ3" i="6" s="1"/>
  <c r="DR3" i="6" s="1"/>
  <c r="DS3" i="6" s="1"/>
  <c r="DO6" i="6"/>
  <c r="DP6" i="6" s="1"/>
  <c r="DQ6" i="6" s="1"/>
  <c r="DR6" i="6" s="1"/>
  <c r="DS6" i="6" s="1"/>
  <c r="DO5" i="6"/>
  <c r="DP5" i="6" s="1"/>
  <c r="DQ5" i="6" s="1"/>
  <c r="DR5" i="6" s="1"/>
  <c r="DS5" i="6" s="1"/>
  <c r="DO4" i="6"/>
  <c r="DP4" i="6" s="1"/>
  <c r="DQ4" i="6" s="1"/>
  <c r="DR4" i="6" s="1"/>
  <c r="DS4" i="6" s="1"/>
  <c r="DR7" i="6"/>
  <c r="DS7" i="6" s="1"/>
  <c r="DQ7" i="6"/>
  <c r="DP7" i="6"/>
  <c r="DO7" i="6"/>
  <c r="DN7" i="6"/>
  <c r="DM7" i="6"/>
  <c r="DL17" i="6"/>
  <c r="DL16" i="6"/>
  <c r="DL15" i="6"/>
  <c r="DL14" i="6"/>
  <c r="DL13" i="6"/>
  <c r="DL12" i="6"/>
  <c r="DK21" i="6"/>
  <c r="DK20" i="6"/>
  <c r="DK19" i="6"/>
  <c r="DK18" i="6"/>
  <c r="DK17" i="6"/>
  <c r="DK16" i="6"/>
  <c r="DK15" i="6"/>
  <c r="DK14" i="6"/>
  <c r="DK13" i="6"/>
  <c r="DK12" i="6"/>
  <c r="DL3" i="6"/>
  <c r="DK3" i="6"/>
  <c r="DL4" i="6"/>
  <c r="DK4" i="6"/>
  <c r="DL5" i="6"/>
  <c r="DK5" i="6"/>
  <c r="DL6" i="6"/>
  <c r="DK6" i="6"/>
  <c r="DL7" i="6"/>
  <c r="DK7" i="6"/>
  <c r="DL8" i="6"/>
  <c r="DK8" i="6"/>
  <c r="DL9" i="6"/>
  <c r="DK9" i="6"/>
  <c r="DL11" i="6"/>
  <c r="DK11" i="6"/>
  <c r="DM11" i="6"/>
  <c r="DN11" i="6" s="1"/>
  <c r="DO11" i="6" s="1"/>
  <c r="DP11" i="6" s="1"/>
  <c r="DQ11" i="6" s="1"/>
  <c r="DR11" i="6" s="1"/>
  <c r="DS11" i="6" s="1"/>
  <c r="DS18" i="6"/>
  <c r="DR18" i="6"/>
  <c r="DQ18" i="6"/>
  <c r="DS19" i="6"/>
  <c r="DS21" i="6"/>
  <c r="DS20" i="6"/>
  <c r="DN18" i="6"/>
  <c r="DO18" i="6" s="1"/>
  <c r="DP18" i="6" s="1"/>
  <c r="DM18" i="6"/>
  <c r="DM19" i="6"/>
  <c r="DN19" i="6" s="1"/>
  <c r="DO19" i="6" s="1"/>
  <c r="DP19" i="6" s="1"/>
  <c r="DQ19" i="6" s="1"/>
  <c r="DR19" i="6" s="1"/>
  <c r="DR21" i="6"/>
  <c r="DQ21" i="6"/>
  <c r="DP21" i="6"/>
  <c r="DO21" i="6"/>
  <c r="DN21" i="6"/>
  <c r="DM21" i="6"/>
  <c r="DL21" i="6"/>
  <c r="DJ21" i="6"/>
  <c r="DI21" i="6"/>
  <c r="BT99" i="6"/>
  <c r="BT93" i="6"/>
  <c r="BT102" i="6" s="1"/>
  <c r="BU70" i="6"/>
  <c r="BV66" i="6"/>
  <c r="BW66" i="6" s="1"/>
  <c r="BX66" i="6" s="1"/>
  <c r="BY66" i="6" s="1"/>
  <c r="BZ66" i="6" s="1"/>
  <c r="BV63" i="6"/>
  <c r="BZ57" i="6"/>
  <c r="BY57" i="6"/>
  <c r="BX57" i="6"/>
  <c r="BW57" i="6"/>
  <c r="BV57" i="6"/>
  <c r="BU66" i="6"/>
  <c r="BU63" i="6"/>
  <c r="BU60" i="6"/>
  <c r="BV60" i="6" s="1"/>
  <c r="BU57" i="6"/>
  <c r="BU72" i="6"/>
  <c r="BU8" i="6"/>
  <c r="BO84" i="6"/>
  <c r="BM84" i="6"/>
  <c r="BN57" i="6"/>
  <c r="BN55" i="6"/>
  <c r="BN58" i="6" s="1"/>
  <c r="BN53" i="6"/>
  <c r="BR55" i="6"/>
  <c r="BR58" i="6" s="1"/>
  <c r="BR54" i="6"/>
  <c r="BR84" i="6" s="1"/>
  <c r="BO55" i="6"/>
  <c r="BO57" i="6"/>
  <c r="BO53" i="6"/>
  <c r="BS53" i="6"/>
  <c r="BP57" i="6"/>
  <c r="BP55" i="6"/>
  <c r="BP53" i="6"/>
  <c r="BT57" i="6"/>
  <c r="BT58" i="6" s="1"/>
  <c r="BT55" i="6"/>
  <c r="BT53" i="6"/>
  <c r="BE52" i="6"/>
  <c r="BX4" i="6"/>
  <c r="BX71" i="6" s="1"/>
  <c r="BW4" i="6"/>
  <c r="BW71" i="6" s="1"/>
  <c r="BV4" i="6"/>
  <c r="BZ4" i="6" s="1"/>
  <c r="BZ71" i="6" s="1"/>
  <c r="BX3" i="6"/>
  <c r="BW3" i="6"/>
  <c r="BV3" i="6"/>
  <c r="BZ3" i="6" s="1"/>
  <c r="BU3" i="6"/>
  <c r="BY3" i="6" s="1"/>
  <c r="BU4" i="6"/>
  <c r="BU71" i="6" s="1"/>
  <c r="BX5" i="6"/>
  <c r="BW5" i="6"/>
  <c r="BV5" i="6"/>
  <c r="BZ5" i="6" s="1"/>
  <c r="BU5" i="6"/>
  <c r="BY5" i="6" s="1"/>
  <c r="BX6" i="6"/>
  <c r="BW6" i="6"/>
  <c r="BV6" i="6"/>
  <c r="BZ6" i="6" s="1"/>
  <c r="BU6" i="6"/>
  <c r="BY6" i="6" s="1"/>
  <c r="BX7" i="6"/>
  <c r="BW7" i="6"/>
  <c r="BV7" i="6"/>
  <c r="BZ7" i="6" s="1"/>
  <c r="BU7" i="6"/>
  <c r="BY7" i="6" s="1"/>
  <c r="BY8" i="6"/>
  <c r="BY70" i="6" s="1"/>
  <c r="BX8" i="6"/>
  <c r="BX70" i="6" s="1"/>
  <c r="BW8" i="6"/>
  <c r="BW70" i="6" s="1"/>
  <c r="BV8" i="6"/>
  <c r="BZ8" i="6" s="1"/>
  <c r="BZ70" i="6" s="1"/>
  <c r="BX9" i="6"/>
  <c r="BW9" i="6"/>
  <c r="BV9" i="6"/>
  <c r="BZ9" i="6" s="1"/>
  <c r="BU9" i="6"/>
  <c r="BY9" i="6" s="1"/>
  <c r="BW10" i="6"/>
  <c r="BX10" i="6" s="1"/>
  <c r="BY10" i="6" s="1"/>
  <c r="BZ10" i="6" s="1"/>
  <c r="BZ72" i="6" s="1"/>
  <c r="BU11" i="6"/>
  <c r="BV11" i="6" s="1"/>
  <c r="BW11" i="6" s="1"/>
  <c r="BX11" i="6" s="1"/>
  <c r="BY11" i="6" s="1"/>
  <c r="BZ11" i="6" s="1"/>
  <c r="BU12" i="6"/>
  <c r="BV12" i="6" s="1"/>
  <c r="BW12" i="6" s="1"/>
  <c r="BX12" i="6" s="1"/>
  <c r="BY12" i="6" s="1"/>
  <c r="BZ12" i="6" s="1"/>
  <c r="BU14" i="6"/>
  <c r="BV14" i="6" s="1"/>
  <c r="BW14" i="6" s="1"/>
  <c r="BX14" i="6" s="1"/>
  <c r="BY14" i="6" s="1"/>
  <c r="BZ14" i="6" s="1"/>
  <c r="BU13" i="6"/>
  <c r="BV13" i="6" s="1"/>
  <c r="BW13" i="6" s="1"/>
  <c r="BX13" i="6" s="1"/>
  <c r="BY13" i="6" s="1"/>
  <c r="BZ13" i="6" s="1"/>
  <c r="BU15" i="6"/>
  <c r="BV15" i="6" s="1"/>
  <c r="BW15" i="6" s="1"/>
  <c r="BX15" i="6" s="1"/>
  <c r="BY15" i="6" s="1"/>
  <c r="BZ15" i="6" s="1"/>
  <c r="BU16" i="6"/>
  <c r="BV16" i="6" s="1"/>
  <c r="BU17" i="6"/>
  <c r="BV17" i="6" s="1"/>
  <c r="BW17" i="6" s="1"/>
  <c r="BX17" i="6" s="1"/>
  <c r="BY17" i="6" s="1"/>
  <c r="BZ17" i="6" s="1"/>
  <c r="BU18" i="6"/>
  <c r="BV18" i="6" s="1"/>
  <c r="BU20" i="6"/>
  <c r="BV20" i="6" s="1"/>
  <c r="BW20" i="6" s="1"/>
  <c r="BX20" i="6" s="1"/>
  <c r="BY20" i="6" s="1"/>
  <c r="BZ20" i="6" s="1"/>
  <c r="BU19" i="6"/>
  <c r="BV19" i="6" s="1"/>
  <c r="BW19" i="6" s="1"/>
  <c r="DJ42" i="6"/>
  <c r="DI42" i="6"/>
  <c r="DJ22" i="6"/>
  <c r="DI22" i="6"/>
  <c r="DI20" i="6"/>
  <c r="DI19" i="6"/>
  <c r="DI18" i="6"/>
  <c r="DI17" i="6"/>
  <c r="DI16" i="6"/>
  <c r="DI15" i="6"/>
  <c r="DI14" i="6"/>
  <c r="DI13" i="6"/>
  <c r="DI12" i="6"/>
  <c r="DI11" i="6"/>
  <c r="DI3" i="6"/>
  <c r="DA4" i="6"/>
  <c r="DI4" i="6"/>
  <c r="DI5" i="6"/>
  <c r="DI6" i="6"/>
  <c r="DI7" i="6"/>
  <c r="DI8" i="6"/>
  <c r="DI9" i="6"/>
  <c r="DI10" i="6"/>
  <c r="BF52" i="6"/>
  <c r="BK53" i="6"/>
  <c r="BK60" i="6"/>
  <c r="BL71" i="6"/>
  <c r="BK71" i="6"/>
  <c r="BL70" i="6"/>
  <c r="BK70" i="6"/>
  <c r="BO72" i="6"/>
  <c r="BN72" i="6"/>
  <c r="BO71" i="6"/>
  <c r="BN71" i="6"/>
  <c r="BM71" i="6"/>
  <c r="BO70" i="6"/>
  <c r="BN70" i="6"/>
  <c r="BM70" i="6"/>
  <c r="BG60" i="6"/>
  <c r="BG58" i="6"/>
  <c r="BK58" i="6"/>
  <c r="BH60" i="6"/>
  <c r="BL60" i="6"/>
  <c r="BR72" i="6"/>
  <c r="BQ72" i="6"/>
  <c r="BP72" i="6"/>
  <c r="BR71" i="6"/>
  <c r="BQ71" i="6"/>
  <c r="BP71" i="6"/>
  <c r="BR70" i="6"/>
  <c r="BQ70" i="6"/>
  <c r="BP70" i="6"/>
  <c r="BR68" i="6"/>
  <c r="BH58" i="6"/>
  <c r="BL58" i="6"/>
  <c r="BT72" i="6"/>
  <c r="BT71" i="6"/>
  <c r="BT70" i="6"/>
  <c r="BM60" i="6"/>
  <c r="BM58" i="6"/>
  <c r="BQ60" i="6"/>
  <c r="BP52" i="6"/>
  <c r="BO52" i="6"/>
  <c r="BO54" i="6" s="1"/>
  <c r="BN52" i="6"/>
  <c r="BN54" i="6" s="1"/>
  <c r="BN84" i="6" s="1"/>
  <c r="BM52" i="6"/>
  <c r="BM54" i="6" s="1"/>
  <c r="BL52" i="6"/>
  <c r="BP68" i="6" s="1"/>
  <c r="BK52" i="6"/>
  <c r="BO68" i="6" s="1"/>
  <c r="BJ52" i="6"/>
  <c r="BN68" i="6" s="1"/>
  <c r="BI52" i="6"/>
  <c r="BM68" i="6" s="1"/>
  <c r="BH52" i="6"/>
  <c r="BL68" i="6" s="1"/>
  <c r="BG52" i="6"/>
  <c r="BK68" i="6" s="1"/>
  <c r="BT52" i="6"/>
  <c r="BT68" i="6" s="1"/>
  <c r="BS52" i="6"/>
  <c r="BR52" i="6"/>
  <c r="BQ52" i="6"/>
  <c r="BQ68" i="6" s="1"/>
  <c r="DJ20" i="6"/>
  <c r="DJ19" i="6"/>
  <c r="DJ18" i="6"/>
  <c r="DJ17" i="6"/>
  <c r="DJ16" i="6"/>
  <c r="DJ15" i="6"/>
  <c r="DJ14" i="6"/>
  <c r="DJ13" i="6"/>
  <c r="DJ12" i="6"/>
  <c r="DJ11" i="6"/>
  <c r="DJ10" i="6"/>
  <c r="DJ9" i="6"/>
  <c r="DJ8" i="6"/>
  <c r="DJ7" i="6"/>
  <c r="DJ6" i="6"/>
  <c r="DJ5" i="6"/>
  <c r="DJ4" i="6"/>
  <c r="DJ3" i="6"/>
  <c r="BS54" i="6"/>
  <c r="BS84" i="6" s="1"/>
  <c r="BQ54" i="6"/>
  <c r="BQ84" i="6" s="1"/>
  <c r="I27" i="6"/>
  <c r="H27" i="6"/>
  <c r="E27" i="6"/>
  <c r="K27" i="6"/>
  <c r="D27" i="6"/>
  <c r="C27" i="6"/>
  <c r="J27" i="6"/>
  <c r="U27" i="6"/>
  <c r="F27" i="6"/>
  <c r="G27" i="6"/>
  <c r="L27" i="6"/>
  <c r="M27" i="6"/>
  <c r="N27" i="6"/>
  <c r="O27" i="6"/>
  <c r="P27" i="6"/>
  <c r="Q27" i="6"/>
  <c r="R27" i="6"/>
  <c r="S27" i="6"/>
  <c r="T27" i="6"/>
  <c r="BS72" i="6"/>
  <c r="BS70" i="6"/>
  <c r="BS71" i="6"/>
  <c r="BQ58" i="6"/>
  <c r="BP58" i="6"/>
  <c r="BO58" i="6"/>
  <c r="BS58" i="6"/>
  <c r="AN58" i="6"/>
  <c r="AM58" i="6"/>
  <c r="AM59" i="6" s="1"/>
  <c r="AM61" i="6" s="1"/>
  <c r="AM64" i="6" s="1"/>
  <c r="AM65" i="6" s="1"/>
  <c r="AL58" i="6"/>
  <c r="AL59" i="6" s="1"/>
  <c r="AL61" i="6" s="1"/>
  <c r="AL64" i="6" s="1"/>
  <c r="AL65" i="6" s="1"/>
  <c r="AN52" i="6"/>
  <c r="AN54" i="6" s="1"/>
  <c r="AM52" i="6"/>
  <c r="AL52" i="6"/>
  <c r="AK104" i="6"/>
  <c r="AK93" i="6"/>
  <c r="AK92" i="6" s="1"/>
  <c r="AK109" i="6"/>
  <c r="AK99" i="6"/>
  <c r="AK73" i="6"/>
  <c r="AK74" i="6"/>
  <c r="AK75" i="6"/>
  <c r="AK76" i="6"/>
  <c r="AK77" i="6"/>
  <c r="AK78" i="6"/>
  <c r="AK79" i="6"/>
  <c r="AK80" i="6"/>
  <c r="AK81" i="6"/>
  <c r="AK82" i="6"/>
  <c r="AK58" i="6"/>
  <c r="AK36" i="6"/>
  <c r="AK52" i="6" s="1"/>
  <c r="AJ73" i="6"/>
  <c r="AJ74" i="6"/>
  <c r="AJ75" i="6"/>
  <c r="AJ76" i="6"/>
  <c r="AJ77" i="6"/>
  <c r="AJ78" i="6"/>
  <c r="AJ79" i="6"/>
  <c r="AJ80" i="6"/>
  <c r="AJ81" i="6"/>
  <c r="AJ82" i="6"/>
  <c r="AJ36" i="6"/>
  <c r="AJ52" i="6" s="1"/>
  <c r="AJ58" i="6"/>
  <c r="AI73" i="6"/>
  <c r="AI74" i="6"/>
  <c r="AI75" i="6"/>
  <c r="AI76" i="6"/>
  <c r="AI77" i="6"/>
  <c r="AI78" i="6"/>
  <c r="AI79" i="6"/>
  <c r="AI80" i="6"/>
  <c r="AI81" i="6"/>
  <c r="AI82" i="6"/>
  <c r="AI58" i="6"/>
  <c r="AI36" i="6"/>
  <c r="AI52" i="6" s="1"/>
  <c r="AH57" i="6"/>
  <c r="AH56" i="6"/>
  <c r="AH53" i="6"/>
  <c r="AH27" i="6"/>
  <c r="DA27" i="6" s="1"/>
  <c r="DB27" i="6" s="1"/>
  <c r="DC27" i="6" s="1"/>
  <c r="DD27" i="6" s="1"/>
  <c r="DE27" i="6" s="1"/>
  <c r="DF27" i="6" s="1"/>
  <c r="AH24" i="6"/>
  <c r="DA24" i="6" s="1"/>
  <c r="AH31" i="6"/>
  <c r="AH76" i="6" s="1"/>
  <c r="AH38" i="6"/>
  <c r="DA38" i="6" s="1"/>
  <c r="DB38" i="6" s="1"/>
  <c r="DC38" i="6" s="1"/>
  <c r="DD38" i="6" s="1"/>
  <c r="DE38" i="6" s="1"/>
  <c r="DF38" i="6" s="1"/>
  <c r="AH34" i="6"/>
  <c r="DA34" i="6" s="1"/>
  <c r="DB34" i="6" s="1"/>
  <c r="DC34" i="6" s="1"/>
  <c r="DD34" i="6" s="1"/>
  <c r="DE34" i="6" s="1"/>
  <c r="DF34" i="6" s="1"/>
  <c r="AH6" i="6"/>
  <c r="DA6" i="6" s="1"/>
  <c r="AH5" i="6"/>
  <c r="DA5" i="6" s="1"/>
  <c r="AH3" i="6"/>
  <c r="DA3" i="6" s="1"/>
  <c r="AH42" i="6"/>
  <c r="DA42" i="6" s="1"/>
  <c r="DB42" i="6" s="1"/>
  <c r="DC42" i="6" s="1"/>
  <c r="DD42" i="6" s="1"/>
  <c r="DE42" i="6" s="1"/>
  <c r="DF42" i="6" s="1"/>
  <c r="AH41" i="6"/>
  <c r="DA41" i="6" s="1"/>
  <c r="DB41" i="6" s="1"/>
  <c r="DC41" i="6" s="1"/>
  <c r="DD41" i="6" s="1"/>
  <c r="DE41" i="6" s="1"/>
  <c r="DF41" i="6" s="1"/>
  <c r="AH40" i="6"/>
  <c r="AH39" i="6"/>
  <c r="AH80" i="6" s="1"/>
  <c r="AH35" i="6"/>
  <c r="DA35" i="6" s="1"/>
  <c r="AG60" i="6"/>
  <c r="AG55" i="6"/>
  <c r="AG58" i="6" s="1"/>
  <c r="AG36" i="6"/>
  <c r="AH36" i="6" s="1"/>
  <c r="AF109" i="6"/>
  <c r="AF107" i="6"/>
  <c r="AF104" i="6"/>
  <c r="AF93" i="6"/>
  <c r="AF99" i="6"/>
  <c r="AF60" i="6"/>
  <c r="AF58" i="6"/>
  <c r="DE36" i="6"/>
  <c r="DF36" i="6" s="1"/>
  <c r="CZ6" i="6"/>
  <c r="AF52" i="6"/>
  <c r="AF85" i="6" s="1"/>
  <c r="CZ5" i="6"/>
  <c r="CP73" i="6"/>
  <c r="CR73" i="6"/>
  <c r="CS73" i="6"/>
  <c r="CZ63" i="6"/>
  <c r="DA63" i="6" s="1"/>
  <c r="DB63" i="6" s="1"/>
  <c r="DC63" i="6" s="1"/>
  <c r="DD63" i="6" s="1"/>
  <c r="DE63" i="6" s="1"/>
  <c r="DF63" i="6" s="1"/>
  <c r="DG63" i="6" s="1"/>
  <c r="DH63" i="6" s="1"/>
  <c r="DI63" i="6" s="1"/>
  <c r="DJ63" i="6" s="1"/>
  <c r="DK63" i="6" s="1"/>
  <c r="DL63" i="6" s="1"/>
  <c r="DM63" i="6" s="1"/>
  <c r="DN63" i="6" s="1"/>
  <c r="AH63" i="6"/>
  <c r="AE52" i="6"/>
  <c r="AE54" i="6" s="1"/>
  <c r="AF82" i="6"/>
  <c r="AD82" i="6"/>
  <c r="AC82" i="6"/>
  <c r="AB82" i="6"/>
  <c r="AA82" i="6"/>
  <c r="Z82" i="6"/>
  <c r="AE82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AG79" i="6"/>
  <c r="AF79" i="6"/>
  <c r="I79" i="6"/>
  <c r="H79" i="6"/>
  <c r="G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AF76" i="6"/>
  <c r="J76" i="6"/>
  <c r="I76" i="6"/>
  <c r="H76" i="6"/>
  <c r="G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AF74" i="6"/>
  <c r="AE73" i="6"/>
  <c r="AD73" i="6"/>
  <c r="CW63" i="6"/>
  <c r="CX66" i="6"/>
  <c r="CX63" i="6"/>
  <c r="CX62" i="6"/>
  <c r="CX57" i="6"/>
  <c r="CX56" i="6"/>
  <c r="CX55" i="6"/>
  <c r="CY66" i="6"/>
  <c r="CY63" i="6"/>
  <c r="CY62" i="6"/>
  <c r="CY57" i="6"/>
  <c r="CY56" i="6"/>
  <c r="CY55" i="6"/>
  <c r="CY53" i="6"/>
  <c r="CZ66" i="6"/>
  <c r="DA66" i="6" s="1"/>
  <c r="DB66" i="6" s="1"/>
  <c r="DC66" i="6" s="1"/>
  <c r="DD66" i="6" s="1"/>
  <c r="DE66" i="6" s="1"/>
  <c r="DF66" i="6" s="1"/>
  <c r="DG66" i="6" s="1"/>
  <c r="DH66" i="6" s="1"/>
  <c r="DI66" i="6" s="1"/>
  <c r="DJ66" i="6" s="1"/>
  <c r="DK66" i="6" s="1"/>
  <c r="DL66" i="6" s="1"/>
  <c r="DM66" i="6" s="1"/>
  <c r="DN66" i="6" s="1"/>
  <c r="CZ62" i="6"/>
  <c r="CZ57" i="6"/>
  <c r="CZ56" i="6"/>
  <c r="CZ55" i="6"/>
  <c r="DA55" i="6" s="1"/>
  <c r="DB55" i="6" s="1"/>
  <c r="CZ53" i="6"/>
  <c r="CZ27" i="6"/>
  <c r="CZ24" i="6"/>
  <c r="CZ34" i="6"/>
  <c r="CZ39" i="6"/>
  <c r="CZ38" i="6"/>
  <c r="CZ42" i="6"/>
  <c r="CZ41" i="6"/>
  <c r="CZ31" i="6"/>
  <c r="CZ3" i="6"/>
  <c r="CZ40" i="6"/>
  <c r="CZ35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I74" i="6"/>
  <c r="H74" i="6"/>
  <c r="G74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I73" i="6"/>
  <c r="H73" i="6"/>
  <c r="G73" i="6"/>
  <c r="AE109" i="6"/>
  <c r="AE107" i="6"/>
  <c r="AE104" i="6"/>
  <c r="AE93" i="6"/>
  <c r="AE99" i="6"/>
  <c r="AD92" i="6"/>
  <c r="AC92" i="6"/>
  <c r="AB92" i="6"/>
  <c r="Z92" i="6"/>
  <c r="Y92" i="6"/>
  <c r="CY35" i="6"/>
  <c r="CX35" i="6"/>
  <c r="AB60" i="6"/>
  <c r="AB58" i="6"/>
  <c r="AC60" i="6"/>
  <c r="AC58" i="6"/>
  <c r="Y52" i="6"/>
  <c r="Y85" i="6" s="1"/>
  <c r="Z52" i="6"/>
  <c r="Z87" i="6" s="1"/>
  <c r="Z60" i="6"/>
  <c r="AD60" i="6"/>
  <c r="AD58" i="6"/>
  <c r="AD52" i="6"/>
  <c r="AD87" i="6" s="1"/>
  <c r="AC52" i="6"/>
  <c r="AC87" i="6" s="1"/>
  <c r="AB52" i="6"/>
  <c r="AB54" i="6" s="1"/>
  <c r="AA52" i="6"/>
  <c r="AA86" i="6" s="1"/>
  <c r="AA60" i="6"/>
  <c r="AA58" i="6"/>
  <c r="AE60" i="6"/>
  <c r="AE58" i="6"/>
  <c r="AA107" i="6"/>
  <c r="AA109" i="6"/>
  <c r="AA104" i="6"/>
  <c r="AA99" i="6"/>
  <c r="AA93" i="6"/>
  <c r="X113" i="6"/>
  <c r="X104" i="6"/>
  <c r="X109" i="6"/>
  <c r="X93" i="6"/>
  <c r="X99" i="6"/>
  <c r="X60" i="6"/>
  <c r="X27" i="6"/>
  <c r="CY27" i="6" s="1"/>
  <c r="CX5" i="6"/>
  <c r="CX32" i="6"/>
  <c r="CX3" i="6"/>
  <c r="CX39" i="6"/>
  <c r="CX38" i="6"/>
  <c r="CX42" i="6"/>
  <c r="CX41" i="6"/>
  <c r="CX40" i="6"/>
  <c r="CX31" i="6"/>
  <c r="X58" i="6"/>
  <c r="CY5" i="6"/>
  <c r="CY3" i="6"/>
  <c r="CY39" i="6"/>
  <c r="CY42" i="6"/>
  <c r="V60" i="6"/>
  <c r="W52" i="6"/>
  <c r="W86" i="6" s="1"/>
  <c r="W60" i="6"/>
  <c r="W58" i="6"/>
  <c r="CX50" i="6"/>
  <c r="V45" i="6"/>
  <c r="V44" i="6"/>
  <c r="CX34" i="6"/>
  <c r="V33" i="6"/>
  <c r="V27" i="6" s="1"/>
  <c r="R50" i="6"/>
  <c r="S60" i="6"/>
  <c r="S58" i="6"/>
  <c r="U60" i="6"/>
  <c r="U58" i="6"/>
  <c r="T92" i="6"/>
  <c r="T60" i="6"/>
  <c r="T58" i="6"/>
  <c r="Q104" i="6"/>
  <c r="Q109" i="6"/>
  <c r="Q107" i="6"/>
  <c r="Q99" i="6"/>
  <c r="Q93" i="6"/>
  <c r="CH92" i="6"/>
  <c r="CG119" i="6"/>
  <c r="CH119" i="6"/>
  <c r="CD62" i="6"/>
  <c r="CD60" i="6"/>
  <c r="CG62" i="6"/>
  <c r="CG60" i="6"/>
  <c r="CH62" i="6"/>
  <c r="CH60" i="6"/>
  <c r="CH58" i="6"/>
  <c r="CG58" i="6"/>
  <c r="CF58" i="6"/>
  <c r="CE58" i="6"/>
  <c r="CD58" i="6"/>
  <c r="CH54" i="6"/>
  <c r="CH84" i="6" s="1"/>
  <c r="CG54" i="6"/>
  <c r="CG84" i="6" s="1"/>
  <c r="CF54" i="6"/>
  <c r="CE54" i="6"/>
  <c r="CE84" i="6" s="1"/>
  <c r="CD54" i="6"/>
  <c r="CD84" i="6" s="1"/>
  <c r="CW40" i="6"/>
  <c r="CW41" i="6"/>
  <c r="CW44" i="6"/>
  <c r="CW42" i="6"/>
  <c r="CW45" i="6"/>
  <c r="CW38" i="6"/>
  <c r="CW39" i="6"/>
  <c r="CW33" i="6"/>
  <c r="O50" i="6"/>
  <c r="P50" i="6"/>
  <c r="Q50" i="6"/>
  <c r="CW35" i="6"/>
  <c r="CW3" i="6"/>
  <c r="R55" i="6"/>
  <c r="CW55" i="6" s="1"/>
  <c r="R56" i="6"/>
  <c r="CW56" i="6" s="1"/>
  <c r="R57" i="6"/>
  <c r="P58" i="6"/>
  <c r="Q58" i="6"/>
  <c r="Q60" i="6"/>
  <c r="CW32" i="6"/>
  <c r="R51" i="6"/>
  <c r="CW51" i="6" s="1"/>
  <c r="R66" i="6"/>
  <c r="CW66" i="6" s="1"/>
  <c r="CW5" i="6"/>
  <c r="DD2" i="6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CV51" i="6"/>
  <c r="K50" i="6"/>
  <c r="L50" i="6"/>
  <c r="M50" i="6"/>
  <c r="N50" i="6"/>
  <c r="CV33" i="6"/>
  <c r="CV5" i="6"/>
  <c r="CV32" i="6"/>
  <c r="CV3" i="6"/>
  <c r="CV39" i="6"/>
  <c r="CV38" i="6"/>
  <c r="CV45" i="6"/>
  <c r="CV42" i="6"/>
  <c r="CV44" i="6"/>
  <c r="CV41" i="6"/>
  <c r="CV40" i="6"/>
  <c r="CV31" i="6"/>
  <c r="CV35" i="6"/>
  <c r="J50" i="6"/>
  <c r="I50" i="6"/>
  <c r="G50" i="6"/>
  <c r="F50" i="6"/>
  <c r="E50" i="6"/>
  <c r="D50" i="6"/>
  <c r="C50" i="6"/>
  <c r="H50" i="6"/>
  <c r="CU51" i="6"/>
  <c r="CU35" i="6"/>
  <c r="CU31" i="6"/>
  <c r="CU43" i="6"/>
  <c r="CU29" i="6"/>
  <c r="CU40" i="6"/>
  <c r="CU41" i="6"/>
  <c r="CU46" i="6"/>
  <c r="CU44" i="6"/>
  <c r="CU42" i="6"/>
  <c r="CU47" i="6"/>
  <c r="CU45" i="6"/>
  <c r="CU38" i="6"/>
  <c r="CU39" i="6"/>
  <c r="CU3" i="6"/>
  <c r="CU5" i="6"/>
  <c r="CU33" i="6"/>
  <c r="CT51" i="6"/>
  <c r="CT35" i="6"/>
  <c r="CT73" i="6" s="1"/>
  <c r="CT31" i="6"/>
  <c r="CT43" i="6"/>
  <c r="CT40" i="6"/>
  <c r="CT41" i="6"/>
  <c r="CT46" i="6"/>
  <c r="CT44" i="6"/>
  <c r="CT42" i="6"/>
  <c r="CT47" i="6"/>
  <c r="CT45" i="6"/>
  <c r="CT38" i="6"/>
  <c r="CT39" i="6"/>
  <c r="CT33" i="6"/>
  <c r="C58" i="6"/>
  <c r="C60" i="6"/>
  <c r="D58" i="6"/>
  <c r="D60" i="6"/>
  <c r="E58" i="6"/>
  <c r="E60" i="6"/>
  <c r="F58" i="6"/>
  <c r="F60" i="6"/>
  <c r="G58" i="6"/>
  <c r="G60" i="6"/>
  <c r="H60" i="6"/>
  <c r="L58" i="6"/>
  <c r="I60" i="6"/>
  <c r="I58" i="6"/>
  <c r="M58" i="6"/>
  <c r="M60" i="6"/>
  <c r="J58" i="6"/>
  <c r="J60" i="6"/>
  <c r="N58" i="6"/>
  <c r="N60" i="6"/>
  <c r="K58" i="6"/>
  <c r="K60" i="6"/>
  <c r="O58" i="6"/>
  <c r="O60" i="6"/>
  <c r="K4" i="1"/>
  <c r="C7" i="11"/>
  <c r="C6" i="11"/>
  <c r="CS52" i="6"/>
  <c r="CS84" i="6" s="1"/>
  <c r="CR52" i="6"/>
  <c r="CQ52" i="6"/>
  <c r="CQ84" i="6" s="1"/>
  <c r="H58" i="6"/>
  <c r="CW31" i="6"/>
  <c r="V58" i="6"/>
  <c r="CY38" i="6"/>
  <c r="CY41" i="6"/>
  <c r="CY31" i="6"/>
  <c r="CY32" i="6"/>
  <c r="CY40" i="6"/>
  <c r="CY34" i="6"/>
  <c r="Y58" i="6"/>
  <c r="Z58" i="6"/>
  <c r="AG73" i="6"/>
  <c r="AF73" i="6"/>
  <c r="AG76" i="6"/>
  <c r="AG82" i="6"/>
  <c r="AG74" i="6"/>
  <c r="AG75" i="6"/>
  <c r="AG77" i="6"/>
  <c r="BV72" i="6" l="1"/>
  <c r="DK10" i="6"/>
  <c r="DK52" i="6" s="1"/>
  <c r="DL10" i="6"/>
  <c r="BY4" i="6"/>
  <c r="BY71" i="6" s="1"/>
  <c r="BT54" i="6"/>
  <c r="BV70" i="6"/>
  <c r="DM3" i="6"/>
  <c r="DN3" i="6" s="1"/>
  <c r="DM5" i="6"/>
  <c r="DN5" i="6" s="1"/>
  <c r="DM6" i="6"/>
  <c r="DN6" i="6" s="1"/>
  <c r="BV71" i="6"/>
  <c r="BK54" i="6"/>
  <c r="BK84" i="6" s="1"/>
  <c r="BW72" i="6"/>
  <c r="BX72" i="6"/>
  <c r="BY72" i="6"/>
  <c r="BW63" i="6"/>
  <c r="BX63" i="6" s="1"/>
  <c r="BY63" i="6" s="1"/>
  <c r="BW60" i="6"/>
  <c r="BN59" i="6"/>
  <c r="BP54" i="6"/>
  <c r="BP84" i="6" s="1"/>
  <c r="O92" i="6"/>
  <c r="BX19" i="6"/>
  <c r="BY19" i="6" s="1"/>
  <c r="BZ19" i="6" s="1"/>
  <c r="BW18" i="6"/>
  <c r="BX18" i="6" s="1"/>
  <c r="BY18" i="6" s="1"/>
  <c r="BZ18" i="6" s="1"/>
  <c r="BG54" i="6"/>
  <c r="BG59" i="6" s="1"/>
  <c r="BG61" i="6" s="1"/>
  <c r="BG64" i="6" s="1"/>
  <c r="BG65" i="6" s="1"/>
  <c r="BL54" i="6"/>
  <c r="BL84" i="6" s="1"/>
  <c r="BH54" i="6"/>
  <c r="BM59" i="6"/>
  <c r="BM88" i="6" s="1"/>
  <c r="BW16" i="6"/>
  <c r="BX16" i="6" s="1"/>
  <c r="BY16" i="6" s="1"/>
  <c r="BZ16" i="6" s="1"/>
  <c r="BV52" i="6"/>
  <c r="BU52" i="6"/>
  <c r="BU55" i="6" s="1"/>
  <c r="BU58" i="6" s="1"/>
  <c r="BK59" i="6"/>
  <c r="BH59" i="6"/>
  <c r="BH61" i="6" s="1"/>
  <c r="BH64" i="6" s="1"/>
  <c r="BH65" i="6" s="1"/>
  <c r="BL59" i="6"/>
  <c r="BM61" i="6"/>
  <c r="BM64" i="6" s="1"/>
  <c r="BM65" i="6" s="1"/>
  <c r="DJ52" i="6"/>
  <c r="DM4" i="6"/>
  <c r="DN4" i="6" s="1"/>
  <c r="AN59" i="6"/>
  <c r="AN61" i="6" s="1"/>
  <c r="AN64" i="6" s="1"/>
  <c r="AN65" i="6" s="1"/>
  <c r="BS59" i="6"/>
  <c r="K7" i="1"/>
  <c r="BS68" i="6"/>
  <c r="BO59" i="6"/>
  <c r="BQ59" i="6"/>
  <c r="BR59" i="6"/>
  <c r="BP59" i="6"/>
  <c r="AE85" i="6"/>
  <c r="AH77" i="6"/>
  <c r="AE87" i="6"/>
  <c r="AB87" i="6"/>
  <c r="AB86" i="6"/>
  <c r="AH75" i="6"/>
  <c r="AF102" i="6"/>
  <c r="AB85" i="6"/>
  <c r="AH78" i="6"/>
  <c r="AA87" i="6"/>
  <c r="AA85" i="6"/>
  <c r="CX73" i="6"/>
  <c r="AJ86" i="6"/>
  <c r="AJ87" i="6"/>
  <c r="AJ85" i="6"/>
  <c r="AJ54" i="6"/>
  <c r="AJ59" i="6" s="1"/>
  <c r="AJ88" i="6" s="1"/>
  <c r="AK87" i="6"/>
  <c r="AK54" i="6"/>
  <c r="AK59" i="6" s="1"/>
  <c r="AK86" i="6"/>
  <c r="AK85" i="6"/>
  <c r="AK102" i="6"/>
  <c r="AF114" i="6"/>
  <c r="AF116" i="6" s="1"/>
  <c r="DA31" i="6"/>
  <c r="DB31" i="6" s="1"/>
  <c r="DC31" i="6" s="1"/>
  <c r="DD31" i="6" s="1"/>
  <c r="DE31" i="6" s="1"/>
  <c r="DF31" i="6" s="1"/>
  <c r="AH82" i="6"/>
  <c r="AE86" i="6"/>
  <c r="AI54" i="6"/>
  <c r="AI59" i="6" s="1"/>
  <c r="AI61" i="6" s="1"/>
  <c r="AI86" i="6"/>
  <c r="AI87" i="6"/>
  <c r="AI68" i="6"/>
  <c r="AI85" i="6"/>
  <c r="AA54" i="6"/>
  <c r="AA59" i="6" s="1"/>
  <c r="AE102" i="6"/>
  <c r="X102" i="6"/>
  <c r="AE59" i="6"/>
  <c r="AE61" i="6" s="1"/>
  <c r="AE89" i="6" s="1"/>
  <c r="X114" i="6"/>
  <c r="X116" i="6" s="1"/>
  <c r="AE84" i="6"/>
  <c r="CF59" i="6"/>
  <c r="CF61" i="6" s="1"/>
  <c r="CF64" i="6" s="1"/>
  <c r="CF65" i="6" s="1"/>
  <c r="AG52" i="6"/>
  <c r="AG86" i="6" s="1"/>
  <c r="CW73" i="6"/>
  <c r="Z85" i="6"/>
  <c r="CF84" i="6"/>
  <c r="AJ68" i="6"/>
  <c r="X92" i="6"/>
  <c r="Y87" i="6"/>
  <c r="Z54" i="6"/>
  <c r="Z84" i="6" s="1"/>
  <c r="Y54" i="6"/>
  <c r="Y59" i="6" s="1"/>
  <c r="Y88" i="6" s="1"/>
  <c r="X52" i="6"/>
  <c r="X54" i="6" s="1"/>
  <c r="Z86" i="6"/>
  <c r="W85" i="6"/>
  <c r="AE114" i="6"/>
  <c r="AE116" i="6" s="1"/>
  <c r="CE59" i="6"/>
  <c r="CE61" i="6" s="1"/>
  <c r="CE64" i="6" s="1"/>
  <c r="CE65" i="6" s="1"/>
  <c r="AH55" i="6"/>
  <c r="AH58" i="6" s="1"/>
  <c r="Y86" i="6"/>
  <c r="Q92" i="6"/>
  <c r="AF87" i="6"/>
  <c r="AF68" i="6"/>
  <c r="AF54" i="6"/>
  <c r="AF84" i="6" s="1"/>
  <c r="AF86" i="6"/>
  <c r="Q114" i="6"/>
  <c r="CX58" i="6"/>
  <c r="AD86" i="6"/>
  <c r="CY73" i="6"/>
  <c r="AC68" i="6"/>
  <c r="AH81" i="6"/>
  <c r="CZ60" i="6"/>
  <c r="CW50" i="6"/>
  <c r="CX60" i="6"/>
  <c r="AC85" i="6"/>
  <c r="AC86" i="6"/>
  <c r="AE68" i="6"/>
  <c r="CY58" i="6"/>
  <c r="AC54" i="6"/>
  <c r="AC84" i="6" s="1"/>
  <c r="CH59" i="6"/>
  <c r="CH61" i="6" s="1"/>
  <c r="CH64" i="6" s="1"/>
  <c r="CH65" i="6" s="1"/>
  <c r="CY60" i="6"/>
  <c r="AH79" i="6"/>
  <c r="AE92" i="6"/>
  <c r="DA73" i="6"/>
  <c r="AB59" i="6"/>
  <c r="AB88" i="6" s="1"/>
  <c r="AB84" i="6"/>
  <c r="AH52" i="6"/>
  <c r="CZ58" i="6"/>
  <c r="AH73" i="6"/>
  <c r="CV50" i="6"/>
  <c r="AD54" i="6"/>
  <c r="Q102" i="6"/>
  <c r="AF92" i="6"/>
  <c r="AD85" i="6"/>
  <c r="DA39" i="6"/>
  <c r="DB39" i="6" s="1"/>
  <c r="DC39" i="6" s="1"/>
  <c r="AD68" i="6"/>
  <c r="CZ73" i="6"/>
  <c r="CG59" i="6"/>
  <c r="CG61" i="6" s="1"/>
  <c r="CG64" i="6" s="1"/>
  <c r="CG65" i="6" s="1"/>
  <c r="V52" i="6"/>
  <c r="V85" i="6" s="1"/>
  <c r="CW60" i="6"/>
  <c r="CU50" i="6"/>
  <c r="CU73" i="6"/>
  <c r="CV73" i="6"/>
  <c r="CR68" i="6"/>
  <c r="CR84" i="6"/>
  <c r="DA40" i="6"/>
  <c r="AH74" i="6"/>
  <c r="AA102" i="6"/>
  <c r="AA92" i="6"/>
  <c r="CT50" i="6"/>
  <c r="W87" i="6"/>
  <c r="W54" i="6"/>
  <c r="AA68" i="6"/>
  <c r="CS68" i="6"/>
  <c r="AA114" i="6"/>
  <c r="AA116" i="6" s="1"/>
  <c r="CZ52" i="6"/>
  <c r="CY52" i="6"/>
  <c r="CW57" i="6"/>
  <c r="CW58" i="6" s="1"/>
  <c r="R58" i="6"/>
  <c r="R59" i="6" s="1"/>
  <c r="DC55" i="6"/>
  <c r="DB35" i="6"/>
  <c r="CD59" i="6"/>
  <c r="CD61" i="6" s="1"/>
  <c r="CD64" i="6" s="1"/>
  <c r="CD65" i="6" s="1"/>
  <c r="DM10" i="6" l="1"/>
  <c r="DL52" i="6"/>
  <c r="BQ61" i="6"/>
  <c r="BQ64" i="6" s="1"/>
  <c r="BQ65" i="6" s="1"/>
  <c r="BQ88" i="6"/>
  <c r="BN61" i="6"/>
  <c r="BN64" i="6" s="1"/>
  <c r="BN65" i="6" s="1"/>
  <c r="BN88" i="6"/>
  <c r="BS61" i="6"/>
  <c r="BS64" i="6" s="1"/>
  <c r="BS65" i="6" s="1"/>
  <c r="BS88" i="6"/>
  <c r="BR61" i="6"/>
  <c r="BR64" i="6" s="1"/>
  <c r="BR65" i="6" s="1"/>
  <c r="BR88" i="6"/>
  <c r="BO61" i="6"/>
  <c r="BO64" i="6" s="1"/>
  <c r="BO65" i="6" s="1"/>
  <c r="BO88" i="6"/>
  <c r="BK61" i="6"/>
  <c r="BK64" i="6" s="1"/>
  <c r="BK65" i="6" s="1"/>
  <c r="BK88" i="6"/>
  <c r="BL61" i="6"/>
  <c r="BL64" i="6" s="1"/>
  <c r="BL65" i="6" s="1"/>
  <c r="BL88" i="6"/>
  <c r="BU59" i="6"/>
  <c r="BP61" i="6"/>
  <c r="BP64" i="6" s="1"/>
  <c r="BP65" i="6" s="1"/>
  <c r="BP88" i="6"/>
  <c r="BT59" i="6"/>
  <c r="BT84" i="6"/>
  <c r="BW52" i="6"/>
  <c r="BV68" i="6"/>
  <c r="BV55" i="6"/>
  <c r="BV58" i="6" s="1"/>
  <c r="BV54" i="6"/>
  <c r="BV84" i="6" s="1"/>
  <c r="BZ63" i="6"/>
  <c r="BX60" i="6"/>
  <c r="BU68" i="6"/>
  <c r="BU54" i="6"/>
  <c r="BU84" i="6" s="1"/>
  <c r="DL19" i="6"/>
  <c r="BX52" i="6"/>
  <c r="DL18" i="6"/>
  <c r="BZ52" i="6"/>
  <c r="BY52" i="6"/>
  <c r="BY55" i="6" s="1"/>
  <c r="BY58" i="6" s="1"/>
  <c r="AF117" i="6"/>
  <c r="AE64" i="6"/>
  <c r="AE65" i="6" s="1"/>
  <c r="AJ61" i="6"/>
  <c r="AJ64" i="6" s="1"/>
  <c r="AJ65" i="6" s="1"/>
  <c r="X117" i="6"/>
  <c r="AA84" i="6"/>
  <c r="AA88" i="6"/>
  <c r="AA61" i="6"/>
  <c r="AA89" i="6" s="1"/>
  <c r="AK68" i="6"/>
  <c r="AG68" i="6"/>
  <c r="AE88" i="6"/>
  <c r="X85" i="6"/>
  <c r="X86" i="6"/>
  <c r="Y61" i="6"/>
  <c r="Y89" i="6" s="1"/>
  <c r="AG87" i="6"/>
  <c r="AG54" i="6"/>
  <c r="AG59" i="6" s="1"/>
  <c r="AG61" i="6" s="1"/>
  <c r="AG85" i="6"/>
  <c r="Q115" i="6"/>
  <c r="Q116" i="6" s="1"/>
  <c r="Z59" i="6"/>
  <c r="Z61" i="6" s="1"/>
  <c r="Z89" i="6" s="1"/>
  <c r="AB61" i="6"/>
  <c r="AB89" i="6" s="1"/>
  <c r="AH85" i="6"/>
  <c r="AH87" i="6"/>
  <c r="AH68" i="6"/>
  <c r="AC59" i="6"/>
  <c r="AC88" i="6" s="1"/>
  <c r="Y84" i="6"/>
  <c r="AI88" i="6"/>
  <c r="AE117" i="6"/>
  <c r="AB68" i="6"/>
  <c r="X87" i="6"/>
  <c r="Z68" i="6"/>
  <c r="V86" i="6"/>
  <c r="AF59" i="6"/>
  <c r="X84" i="6"/>
  <c r="X59" i="6"/>
  <c r="Q117" i="6"/>
  <c r="AD84" i="6"/>
  <c r="AD59" i="6"/>
  <c r="V87" i="6"/>
  <c r="AI89" i="6"/>
  <c r="AI64" i="6"/>
  <c r="AI65" i="6" s="1"/>
  <c r="AH54" i="6"/>
  <c r="AH59" i="6" s="1"/>
  <c r="AH86" i="6"/>
  <c r="AK61" i="6"/>
  <c r="AK88" i="6"/>
  <c r="V54" i="6"/>
  <c r="R61" i="6"/>
  <c r="W84" i="6"/>
  <c r="W59" i="6"/>
  <c r="CY86" i="6"/>
  <c r="CY85" i="6"/>
  <c r="CY54" i="6"/>
  <c r="CY59" i="6" s="1"/>
  <c r="CY61" i="6" s="1"/>
  <c r="CY64" i="6" s="1"/>
  <c r="AA117" i="6"/>
  <c r="DC35" i="6"/>
  <c r="DB73" i="6"/>
  <c r="DD55" i="6"/>
  <c r="DD39" i="6"/>
  <c r="DB40" i="6"/>
  <c r="DA52" i="6"/>
  <c r="CZ85" i="6"/>
  <c r="CZ54" i="6"/>
  <c r="CZ86" i="6"/>
  <c r="CZ87" i="6"/>
  <c r="CZ68" i="6"/>
  <c r="DN10" i="6" l="1"/>
  <c r="DM52" i="6"/>
  <c r="BU61" i="6"/>
  <c r="BU62" i="6" s="1"/>
  <c r="BU64" i="6" s="1"/>
  <c r="BU65" i="6" s="1"/>
  <c r="BU88" i="6"/>
  <c r="BT61" i="6"/>
  <c r="BT64" i="6" s="1"/>
  <c r="BT65" i="6" s="1"/>
  <c r="BT88" i="6"/>
  <c r="BX68" i="6"/>
  <c r="BX55" i="6"/>
  <c r="BX58" i="6" s="1"/>
  <c r="BX54" i="6"/>
  <c r="BX84" i="6" s="1"/>
  <c r="BV53" i="6"/>
  <c r="BV59" i="6"/>
  <c r="BZ68" i="6"/>
  <c r="BZ54" i="6"/>
  <c r="BZ84" i="6" s="1"/>
  <c r="BZ55" i="6"/>
  <c r="BZ58" i="6" s="1"/>
  <c r="BW68" i="6"/>
  <c r="BW55" i="6"/>
  <c r="BW58" i="6" s="1"/>
  <c r="BW54" i="6"/>
  <c r="BW84" i="6" s="1"/>
  <c r="BY60" i="6"/>
  <c r="BY68" i="6"/>
  <c r="BY54" i="6"/>
  <c r="BY84" i="6" s="1"/>
  <c r="BU53" i="6"/>
  <c r="DL20" i="6"/>
  <c r="DM20" i="6" s="1"/>
  <c r="DN20" i="6" s="1"/>
  <c r="DO20" i="6" s="1"/>
  <c r="AJ89" i="6"/>
  <c r="AA64" i="6"/>
  <c r="AA65" i="6" s="1"/>
  <c r="Y64" i="6"/>
  <c r="Y65" i="6" s="1"/>
  <c r="AG88" i="6"/>
  <c r="Z64" i="6"/>
  <c r="Z65" i="6" s="1"/>
  <c r="AC61" i="6"/>
  <c r="AC64" i="6" s="1"/>
  <c r="AC65" i="6" s="1"/>
  <c r="AB64" i="6"/>
  <c r="AB65" i="6" s="1"/>
  <c r="Z88" i="6"/>
  <c r="AF88" i="6"/>
  <c r="AF61" i="6"/>
  <c r="V59" i="6"/>
  <c r="V61" i="6" s="1"/>
  <c r="V84" i="6"/>
  <c r="X88" i="6"/>
  <c r="X61" i="6"/>
  <c r="AH88" i="6"/>
  <c r="AH61" i="6"/>
  <c r="AH89" i="6" s="1"/>
  <c r="AK64" i="6"/>
  <c r="AK65" i="6" s="1"/>
  <c r="AK89" i="6"/>
  <c r="AD61" i="6"/>
  <c r="AD88" i="6"/>
  <c r="DE55" i="6"/>
  <c r="W61" i="6"/>
  <c r="W88" i="6"/>
  <c r="CY65" i="6"/>
  <c r="AG64" i="6"/>
  <c r="AG65" i="6" s="1"/>
  <c r="AG89" i="6"/>
  <c r="CZ59" i="6"/>
  <c r="CZ84" i="6"/>
  <c r="R62" i="6"/>
  <c r="DC73" i="6"/>
  <c r="DD35" i="6"/>
  <c r="DA54" i="6"/>
  <c r="DA53" i="6" s="1"/>
  <c r="DA85" i="6"/>
  <c r="DA68" i="6"/>
  <c r="DA87" i="6"/>
  <c r="DA56" i="6"/>
  <c r="DC40" i="6"/>
  <c r="DB52" i="6"/>
  <c r="DE39" i="6"/>
  <c r="BZ59" i="6" l="1"/>
  <c r="BZ88" i="6" s="1"/>
  <c r="DO10" i="6"/>
  <c r="DN52" i="6"/>
  <c r="DP20" i="6"/>
  <c r="BX53" i="6"/>
  <c r="BZ53" i="6"/>
  <c r="BW53" i="6"/>
  <c r="BW59" i="6"/>
  <c r="BV61" i="6"/>
  <c r="BV88" i="6"/>
  <c r="BY59" i="6"/>
  <c r="BY88" i="6" s="1"/>
  <c r="BX59" i="6"/>
  <c r="BZ60" i="6"/>
  <c r="BZ61" i="6" s="1"/>
  <c r="BY53" i="6"/>
  <c r="AC89" i="6"/>
  <c r="V88" i="6"/>
  <c r="AF64" i="6"/>
  <c r="AF65" i="6" s="1"/>
  <c r="AF89" i="6"/>
  <c r="X89" i="6"/>
  <c r="X64" i="6"/>
  <c r="X65" i="6" s="1"/>
  <c r="AH64" i="6"/>
  <c r="AH65" i="6" s="1"/>
  <c r="AD89" i="6"/>
  <c r="AD64" i="6"/>
  <c r="AD65" i="6" s="1"/>
  <c r="W89" i="6"/>
  <c r="W64" i="6"/>
  <c r="W65" i="6" s="1"/>
  <c r="V64" i="6"/>
  <c r="V65" i="6" s="1"/>
  <c r="V89" i="6"/>
  <c r="CW62" i="6"/>
  <c r="R89" i="6"/>
  <c r="DA58" i="6"/>
  <c r="DA59" i="6" s="1"/>
  <c r="DA88" i="6" s="1"/>
  <c r="DA86" i="6"/>
  <c r="DF39" i="6"/>
  <c r="DF55" i="6"/>
  <c r="R64" i="6"/>
  <c r="CZ88" i="6"/>
  <c r="CZ61" i="6"/>
  <c r="DB54" i="6"/>
  <c r="DB53" i="6" s="1"/>
  <c r="DB68" i="6"/>
  <c r="DB87" i="6"/>
  <c r="DB56" i="6"/>
  <c r="DB85" i="6"/>
  <c r="DD40" i="6"/>
  <c r="DC52" i="6"/>
  <c r="DE35" i="6"/>
  <c r="DD73" i="6"/>
  <c r="DP10" i="6" l="1"/>
  <c r="DO52" i="6"/>
  <c r="DQ20" i="6"/>
  <c r="BX88" i="6"/>
  <c r="BX61" i="6"/>
  <c r="BX62" i="6" s="1"/>
  <c r="BX64" i="6" s="1"/>
  <c r="BX65" i="6" s="1"/>
  <c r="BV62" i="6"/>
  <c r="BV64" i="6" s="1"/>
  <c r="BV65" i="6" s="1"/>
  <c r="BY61" i="6"/>
  <c r="BY62" i="6" s="1"/>
  <c r="BY64" i="6" s="1"/>
  <c r="BY65" i="6" s="1"/>
  <c r="BW88" i="6"/>
  <c r="BW61" i="6"/>
  <c r="BZ62" i="6"/>
  <c r="BZ64" i="6" s="1"/>
  <c r="BZ65" i="6" s="1"/>
  <c r="DB86" i="6"/>
  <c r="DB58" i="6"/>
  <c r="DB59" i="6" s="1"/>
  <c r="DB88" i="6" s="1"/>
  <c r="DG55" i="6"/>
  <c r="DC54" i="6"/>
  <c r="DC68" i="6"/>
  <c r="DC56" i="6"/>
  <c r="DC87" i="6"/>
  <c r="DC85" i="6"/>
  <c r="CZ89" i="6"/>
  <c r="CZ64" i="6"/>
  <c r="R65" i="6"/>
  <c r="R92" i="6"/>
  <c r="DE40" i="6"/>
  <c r="DD52" i="6"/>
  <c r="DE73" i="6"/>
  <c r="DF35" i="6"/>
  <c r="DQ10" i="6" l="1"/>
  <c r="DP52" i="6"/>
  <c r="DR20" i="6"/>
  <c r="BW62" i="6"/>
  <c r="BW64" i="6" s="1"/>
  <c r="BW65" i="6" s="1"/>
  <c r="DD54" i="6"/>
  <c r="DD53" i="6" s="1"/>
  <c r="DD87" i="6"/>
  <c r="DD68" i="6"/>
  <c r="DD56" i="6"/>
  <c r="DD85" i="6"/>
  <c r="DH55" i="6"/>
  <c r="CZ65" i="6"/>
  <c r="DC53" i="6"/>
  <c r="DF40" i="6"/>
  <c r="DE52" i="6"/>
  <c r="DF73" i="6"/>
  <c r="DC86" i="6"/>
  <c r="DC58" i="6"/>
  <c r="DC59" i="6" s="1"/>
  <c r="DC88" i="6" s="1"/>
  <c r="DR10" i="6" l="1"/>
  <c r="DQ52" i="6"/>
  <c r="DD86" i="6"/>
  <c r="DD58" i="6"/>
  <c r="DD59" i="6" s="1"/>
  <c r="DD88" i="6" s="1"/>
  <c r="DG73" i="6"/>
  <c r="DE87" i="6"/>
  <c r="DE54" i="6"/>
  <c r="DE53" i="6" s="1"/>
  <c r="DE68" i="6"/>
  <c r="DE56" i="6"/>
  <c r="DE85" i="6"/>
  <c r="DF52" i="6"/>
  <c r="DS10" i="6" l="1"/>
  <c r="DS52" i="6" s="1"/>
  <c r="DR52" i="6"/>
  <c r="DH73" i="6"/>
  <c r="DF54" i="6"/>
  <c r="DF53" i="6" s="1"/>
  <c r="DF87" i="6"/>
  <c r="DF68" i="6"/>
  <c r="DF56" i="6"/>
  <c r="DF85" i="6"/>
  <c r="DG52" i="6"/>
  <c r="DE86" i="6"/>
  <c r="DE58" i="6"/>
  <c r="DE59" i="6" s="1"/>
  <c r="DE88" i="6" s="1"/>
  <c r="DH52" i="6" l="1"/>
  <c r="DF86" i="6"/>
  <c r="DF58" i="6"/>
  <c r="DF59" i="6" s="1"/>
  <c r="DF88" i="6" s="1"/>
  <c r="DG56" i="6"/>
  <c r="DG87" i="6"/>
  <c r="DG54" i="6"/>
  <c r="DG68" i="6"/>
  <c r="DG85" i="6"/>
  <c r="DI73" i="6"/>
  <c r="DG53" i="6" l="1"/>
  <c r="DG86" i="6"/>
  <c r="DG58" i="6"/>
  <c r="DG59" i="6" s="1"/>
  <c r="DG88" i="6" s="1"/>
  <c r="DH56" i="6"/>
  <c r="DH68" i="6"/>
  <c r="DH87" i="6"/>
  <c r="DH54" i="6"/>
  <c r="DH53" i="6" s="1"/>
  <c r="DH85" i="6"/>
  <c r="DJ73" i="6"/>
  <c r="DI52" i="6"/>
  <c r="DK73" i="6" l="1"/>
  <c r="DH86" i="6"/>
  <c r="DH58" i="6"/>
  <c r="DH59" i="6" s="1"/>
  <c r="DH88" i="6" s="1"/>
  <c r="DI87" i="6"/>
  <c r="DI68" i="6"/>
  <c r="DI85" i="6"/>
  <c r="DJ68" i="6" l="1"/>
  <c r="DJ87" i="6"/>
  <c r="DJ85" i="6"/>
  <c r="DI86" i="6"/>
  <c r="DI58" i="6"/>
  <c r="DI59" i="6" s="1"/>
  <c r="DI88" i="6" s="1"/>
  <c r="DL73" i="6"/>
  <c r="DK87" i="6" l="1"/>
  <c r="DK68" i="6"/>
  <c r="DK85" i="6"/>
  <c r="DM73" i="6"/>
  <c r="DN73" i="6"/>
  <c r="DJ86" i="6"/>
  <c r="DJ58" i="6"/>
  <c r="DJ59" i="6" s="1"/>
  <c r="DJ88" i="6" s="1"/>
  <c r="DK86" i="6" l="1"/>
  <c r="DK58" i="6"/>
  <c r="DK59" i="6" s="1"/>
  <c r="DK88" i="6" s="1"/>
  <c r="DL68" i="6"/>
  <c r="DL87" i="6"/>
  <c r="DL85" i="6"/>
  <c r="DL86" i="6" l="1"/>
  <c r="DL58" i="6"/>
  <c r="DL59" i="6" s="1"/>
  <c r="DL88" i="6" s="1"/>
  <c r="DM68" i="6"/>
  <c r="DM87" i="6"/>
  <c r="DM85" i="6"/>
  <c r="DN87" i="6"/>
  <c r="DN68" i="6"/>
  <c r="DN85" i="6"/>
  <c r="DM86" i="6" l="1"/>
  <c r="DM58" i="6"/>
  <c r="DM59" i="6" s="1"/>
  <c r="DM88" i="6" s="1"/>
  <c r="DN86" i="6"/>
  <c r="DN58" i="6"/>
  <c r="DN59" i="6" s="1"/>
  <c r="DN88" i="6" s="1"/>
  <c r="L52" i="6" l="1"/>
  <c r="L54" i="6" s="1"/>
  <c r="L59" i="6" l="1"/>
  <c r="L84" i="6"/>
  <c r="L86" i="6"/>
  <c r="L85" i="6"/>
  <c r="L87" i="6"/>
  <c r="L61" i="6" l="1"/>
  <c r="L88" i="6"/>
  <c r="L64" i="6" l="1"/>
  <c r="L65" i="6" s="1"/>
  <c r="L89" i="6"/>
  <c r="T52" i="6"/>
  <c r="X68" i="6" s="1"/>
  <c r="T54" i="6" l="1"/>
  <c r="T59" i="6" s="1"/>
  <c r="T87" i="6"/>
  <c r="T61" i="6"/>
  <c r="T88" i="6"/>
  <c r="T84" i="6"/>
  <c r="T85" i="6"/>
  <c r="T86" i="6"/>
  <c r="T64" i="6" l="1"/>
  <c r="T65" i="6" s="1"/>
  <c r="T89" i="6"/>
  <c r="S52" i="6"/>
  <c r="S85" i="6" s="1"/>
  <c r="W90" i="6" l="1"/>
  <c r="W68" i="6"/>
  <c r="S54" i="6"/>
  <c r="S86" i="6"/>
  <c r="S87" i="6"/>
  <c r="S59" i="6" l="1"/>
  <c r="S84" i="6"/>
  <c r="S61" i="6" l="1"/>
  <c r="S88" i="6"/>
  <c r="S89" i="6" l="1"/>
  <c r="S64" i="6"/>
  <c r="S65" i="6" s="1"/>
  <c r="R52" i="6"/>
  <c r="R85" i="6" s="1"/>
  <c r="R53" i="6" l="1"/>
  <c r="V90" i="6"/>
  <c r="V68" i="6"/>
  <c r="R87" i="6"/>
  <c r="R88" i="6"/>
  <c r="R84" i="6"/>
  <c r="R86" i="6"/>
  <c r="Q52" i="6"/>
  <c r="Q85" i="6" s="1"/>
  <c r="Q87" i="6" l="1"/>
  <c r="Q54" i="6"/>
  <c r="Q86" i="6"/>
  <c r="Q59" i="6" l="1"/>
  <c r="Q84" i="6"/>
  <c r="Q88" i="6" l="1"/>
  <c r="Q61" i="6"/>
  <c r="Q64" i="6" l="1"/>
  <c r="Q65" i="6" s="1"/>
  <c r="Q89" i="6"/>
  <c r="P52" i="6"/>
  <c r="P68" i="6" s="1"/>
  <c r="P90" i="6" l="1"/>
  <c r="P54" i="6"/>
  <c r="P84" i="6" s="1"/>
  <c r="P85" i="6"/>
  <c r="T90" i="6"/>
  <c r="P87" i="6"/>
  <c r="P59" i="6"/>
  <c r="P86" i="6"/>
  <c r="T68" i="6"/>
  <c r="P88" i="6" l="1"/>
  <c r="P61" i="6"/>
  <c r="P89" i="6" l="1"/>
  <c r="P64" i="6"/>
  <c r="P65" i="6" l="1"/>
  <c r="P92" i="6"/>
  <c r="O52" i="6"/>
  <c r="O87" i="6" s="1"/>
  <c r="CW27" i="6"/>
  <c r="CW52" i="6" s="1"/>
  <c r="O54" i="6" l="1"/>
  <c r="O86" i="6"/>
  <c r="O85" i="6"/>
  <c r="S90" i="6"/>
  <c r="S68" i="6"/>
  <c r="O59" i="6" l="1"/>
  <c r="CW54" i="6"/>
  <c r="O84" i="6"/>
  <c r="CW84" i="6" l="1"/>
  <c r="CW59" i="6"/>
  <c r="CW61" i="6" s="1"/>
  <c r="CW64" i="6" s="1"/>
  <c r="CW65" i="6" s="1"/>
  <c r="CW53" i="6"/>
  <c r="O88" i="6"/>
  <c r="O61" i="6"/>
  <c r="O64" i="6" l="1"/>
  <c r="O65" i="6" s="1"/>
  <c r="O89" i="6"/>
  <c r="N52" i="6"/>
  <c r="N86" i="6" s="1"/>
  <c r="R68" i="6" l="1"/>
  <c r="N54" i="6"/>
  <c r="N87" i="6"/>
  <c r="N85" i="6"/>
  <c r="R90" i="6"/>
  <c r="N59" i="6" l="1"/>
  <c r="N84" i="6"/>
  <c r="N61" i="6" l="1"/>
  <c r="N88" i="6"/>
  <c r="N89" i="6" l="1"/>
  <c r="N64" i="6"/>
  <c r="N65" i="6" s="1"/>
  <c r="M52" i="6"/>
  <c r="M87" i="6" s="1"/>
  <c r="Q90" i="6" l="1"/>
  <c r="M86" i="6"/>
  <c r="M54" i="6"/>
  <c r="M85" i="6"/>
  <c r="Q68" i="6"/>
  <c r="M84" i="6" l="1"/>
  <c r="M59" i="6"/>
  <c r="M88" i="6" l="1"/>
  <c r="M61" i="6"/>
  <c r="M89" i="6" l="1"/>
  <c r="M64" i="6"/>
  <c r="M65" i="6" s="1"/>
  <c r="G52" i="6"/>
  <c r="G54" i="6" s="1"/>
  <c r="F52" i="6"/>
  <c r="F54" i="6" s="1"/>
  <c r="G84" i="6" l="1"/>
  <c r="G59" i="6"/>
  <c r="G61" i="6" s="1"/>
  <c r="G64" i="6" s="1"/>
  <c r="G65" i="6" s="1"/>
  <c r="F59" i="6"/>
  <c r="F61" i="6" s="1"/>
  <c r="F64" i="6" s="1"/>
  <c r="F65" i="6" s="1"/>
  <c r="F84" i="6"/>
  <c r="CX27" i="6"/>
  <c r="CX52" i="6" s="1"/>
  <c r="U52" i="6"/>
  <c r="U90" i="6" s="1"/>
  <c r="Y68" i="6" l="1"/>
  <c r="U68" i="6"/>
  <c r="CX85" i="6"/>
  <c r="CX68" i="6"/>
  <c r="CX86" i="6"/>
  <c r="CY68" i="6"/>
  <c r="U86" i="6"/>
  <c r="U87" i="6"/>
  <c r="U54" i="6"/>
  <c r="U85" i="6"/>
  <c r="U59" i="6" l="1"/>
  <c r="U84" i="6"/>
  <c r="CX54" i="6"/>
  <c r="CX84" i="6" l="1"/>
  <c r="CX59" i="6"/>
  <c r="CX61" i="6" s="1"/>
  <c r="CX64" i="6" s="1"/>
  <c r="CX53" i="6"/>
  <c r="U61" i="6"/>
  <c r="U88" i="6"/>
  <c r="CX92" i="6" l="1"/>
  <c r="CY92" i="6" s="1"/>
  <c r="CZ92" i="6" s="1"/>
  <c r="CX65" i="6"/>
  <c r="U64" i="6"/>
  <c r="U65" i="6" s="1"/>
  <c r="U89" i="6"/>
  <c r="DA60" i="6" l="1"/>
  <c r="DA61" i="6" s="1"/>
  <c r="DA62" i="6" l="1"/>
  <c r="DA89" i="6" s="1"/>
  <c r="DA64" i="6" l="1"/>
  <c r="DA65" i="6"/>
  <c r="DA92" i="6"/>
  <c r="DB60" i="6" l="1"/>
  <c r="DB61" i="6" s="1"/>
  <c r="DB62" i="6" l="1"/>
  <c r="DB89" i="6" s="1"/>
  <c r="DB64" i="6" l="1"/>
  <c r="DB92" i="6" s="1"/>
  <c r="DB65" i="6"/>
  <c r="DC60" i="6" l="1"/>
  <c r="DC61" i="6" s="1"/>
  <c r="DC62" i="6" l="1"/>
  <c r="DC89" i="6" s="1"/>
  <c r="DC64" i="6" l="1"/>
  <c r="DC92" i="6" s="1"/>
  <c r="DC65" i="6" l="1"/>
  <c r="DD60" i="6"/>
  <c r="DD61" i="6" s="1"/>
  <c r="DD62" i="6" l="1"/>
  <c r="DD89" i="6" s="1"/>
  <c r="DD64" i="6"/>
  <c r="DD65" i="6" l="1"/>
  <c r="DD92" i="6"/>
  <c r="DE60" i="6" l="1"/>
  <c r="DE61" i="6" s="1"/>
  <c r="DE62" i="6" l="1"/>
  <c r="DE89" i="6" s="1"/>
  <c r="DE64" i="6" l="1"/>
  <c r="DE92" i="6" s="1"/>
  <c r="DE65" i="6"/>
  <c r="DF60" i="6" l="1"/>
  <c r="DF61" i="6" s="1"/>
  <c r="DF62" i="6" l="1"/>
  <c r="DF89" i="6" s="1"/>
  <c r="DF64" i="6" l="1"/>
  <c r="DF65" i="6" l="1"/>
  <c r="DG64" i="6"/>
  <c r="DF92" i="6"/>
  <c r="DG65" i="6" l="1"/>
  <c r="DH64" i="6"/>
  <c r="DG60" i="6"/>
  <c r="DG61" i="6" s="1"/>
  <c r="DG62" i="6" s="1"/>
  <c r="DG89" i="6" s="1"/>
  <c r="DG92" i="6"/>
  <c r="DH60" i="6" l="1"/>
  <c r="DH61" i="6" s="1"/>
  <c r="DH62" i="6" s="1"/>
  <c r="DH89" i="6" s="1"/>
  <c r="DH92" i="6"/>
  <c r="DH65" i="6"/>
  <c r="DI61" i="6" l="1"/>
  <c r="DI89" i="6" s="1"/>
  <c r="DI92" i="6"/>
  <c r="DI65" i="6"/>
  <c r="DJ65" i="6" l="1"/>
  <c r="DJ61" i="6"/>
  <c r="DJ89" i="6" s="1"/>
  <c r="DJ92" i="6"/>
  <c r="DK61" i="6" l="1"/>
  <c r="DK89" i="6" s="1"/>
  <c r="DK92" i="6"/>
  <c r="DK65" i="6"/>
  <c r="DL92" i="6" l="1"/>
  <c r="DL61" i="6"/>
  <c r="DL89" i="6" s="1"/>
  <c r="DL65" i="6"/>
  <c r="DM65" i="6" l="1"/>
  <c r="DM92" i="6"/>
  <c r="DM61" i="6"/>
  <c r="DM89" i="6" s="1"/>
  <c r="DN92" i="6" l="1"/>
  <c r="DN61" i="6"/>
  <c r="DN89" i="6" s="1"/>
  <c r="DN65" i="6"/>
  <c r="J52" i="6"/>
  <c r="J54" i="6" s="1"/>
  <c r="J84" i="6" l="1"/>
  <c r="J59" i="6"/>
  <c r="J61" i="6" s="1"/>
  <c r="J64" i="6" s="1"/>
  <c r="J65" i="6" s="1"/>
  <c r="N90" i="6"/>
  <c r="J68" i="6"/>
  <c r="N68" i="6"/>
  <c r="J90" i="6"/>
  <c r="C52" i="6"/>
  <c r="G90" i="6" s="1"/>
  <c r="C54" i="6" l="1"/>
  <c r="G68" i="6"/>
  <c r="C59" i="6" l="1"/>
  <c r="C61" i="6" s="1"/>
  <c r="C64" i="6" s="1"/>
  <c r="C65" i="6" s="1"/>
  <c r="C84" i="6"/>
  <c r="D52" i="6"/>
  <c r="D54" i="6" s="1"/>
  <c r="D59" i="6" l="1"/>
  <c r="D61" i="6" s="1"/>
  <c r="D64" i="6" s="1"/>
  <c r="D65" i="6" s="1"/>
  <c r="D84" i="6"/>
  <c r="K52" i="6"/>
  <c r="O68" i="6" s="1"/>
  <c r="CV27" i="6"/>
  <c r="CV52" i="6" s="1"/>
  <c r="CW68" i="6" l="1"/>
  <c r="CV54" i="6"/>
  <c r="CV84" i="6" s="1"/>
  <c r="K86" i="6"/>
  <c r="O90" i="6"/>
  <c r="K54" i="6"/>
  <c r="K87" i="6"/>
  <c r="K85" i="6"/>
  <c r="K68" i="6"/>
  <c r="K90" i="6"/>
  <c r="K84" i="6" l="1"/>
  <c r="K59" i="6"/>
  <c r="CV53" i="6"/>
  <c r="K88" i="6" l="1"/>
  <c r="K61" i="6"/>
  <c r="K64" i="6" l="1"/>
  <c r="K65" i="6" s="1"/>
  <c r="K89" i="6"/>
  <c r="CT27" i="6"/>
  <c r="CT52" i="6" s="1"/>
  <c r="E52" i="6"/>
  <c r="E54" i="6" s="1"/>
  <c r="E59" i="6" l="1"/>
  <c r="E61" i="6" s="1"/>
  <c r="E64" i="6" s="1"/>
  <c r="E65" i="6" s="1"/>
  <c r="E84" i="6"/>
  <c r="CT68" i="6"/>
  <c r="CT84" i="6"/>
  <c r="H52" i="6"/>
  <c r="L68" i="6" s="1"/>
  <c r="H54" i="6" l="1"/>
  <c r="H59" i="6" s="1"/>
  <c r="H61" i="6" s="1"/>
  <c r="H64" i="6" s="1"/>
  <c r="H65" i="6" s="1"/>
  <c r="L90" i="6"/>
  <c r="H68" i="6"/>
  <c r="H90" i="6"/>
  <c r="I52" i="6"/>
  <c r="M90" i="6" s="1"/>
  <c r="CU27" i="6"/>
  <c r="CU52" i="6" s="1"/>
  <c r="H84" i="6" l="1"/>
  <c r="CU84" i="6"/>
  <c r="CV68" i="6"/>
  <c r="CU68" i="6"/>
  <c r="CV90" i="6"/>
  <c r="I54" i="6"/>
  <c r="I68" i="6"/>
  <c r="M68" i="6"/>
  <c r="I90" i="6"/>
  <c r="I59" i="6" l="1"/>
  <c r="I61" i="6" s="1"/>
  <c r="I64" i="6" s="1"/>
  <c r="I65" i="6" s="1"/>
  <c r="I8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tc={DF0CA8EA-E15D-4DCF-8A89-D3F0E51858A5}</author>
    <author>tc={DFDA0432-9884-4EBE-96B3-87B7B5D4D515}</author>
    <author>tc={1727F93D-8F9D-4AF0-A375-BADEA5A4BCDB}</author>
    <author>tc={946EE862-FE62-45E3-9122-A9E70C0AF3D7}</author>
    <author>tc={59AADAB3-7D26-4862-B979-01EC18E461EC}</author>
    <author>Martin</author>
    <author>Martin Shkreli</author>
    <author>Dean Wagner</author>
    <author>MSMB</author>
  </authors>
  <commentList>
    <comment ref="DK10" authorId="0" shapeId="0" xr:uid="{DF0CA8EA-E15D-4DCF-8A89-D3F0E51858A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call: 9.0B-9.5B</t>
      </text>
    </comment>
    <comment ref="BT13" authorId="1" shapeId="0" xr:uid="{DFDA0432-9884-4EBE-96B3-87B7B5D4D51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demand &gt; supply</t>
      </text>
    </comment>
    <comment ref="DR18" authorId="2" shapeId="0" xr:uid="{1727F93D-8F9D-4AF0-A375-BADEA5A4BCDB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4B peak sales</t>
      </text>
    </comment>
    <comment ref="DR20" authorId="3" shapeId="0" xr:uid="{946EE862-FE62-45E3-9122-A9E70C0AF3D7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3B peak sales?</t>
      </text>
    </comment>
    <comment ref="DR21" authorId="4" shapeId="0" xr:uid="{59AADAB3-7D26-4862-B979-01EC18E461E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&gt;4B by 2029</t>
      </text>
    </comment>
    <comment ref="AF31" authorId="5" shapeId="0" xr:uid="{00000000-0006-0000-02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A31" authorId="5" shapeId="0" xr:uid="{00000000-0006-0000-02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J34" authorId="5" shapeId="0" xr:uid="{00000000-0006-0000-02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2/16/21</t>
        </r>
      </text>
    </comment>
    <comment ref="AF35" authorId="5" shapeId="0" xr:uid="{00000000-0006-0000-02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Mylan launched in May</t>
        </r>
      </text>
    </comment>
    <comment ref="DD39" authorId="5" shapeId="0" xr:uid="{00000000-0006-0000-02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April 20th, 2015
Orange book has 5006528 expiring</t>
        </r>
      </text>
    </comment>
    <comment ref="DC40" authorId="6" shapeId="0" xr:uid="{00000000-0006-0000-02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How will Atripla (Sustiva+Truvada) change Sustiva revenue?</t>
        </r>
      </text>
    </comment>
    <comment ref="DF41" authorId="5" shapeId="0" xr:uid="{00000000-0006-0000-02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has 6/17 or 12/18</t>
        </r>
      </text>
    </comment>
    <comment ref="DD42" authorId="5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2/21/15</t>
        </r>
      </text>
    </comment>
    <comment ref="J51" authorId="6" shapeId="0" xr:uid="{00000000-0006-0000-02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K51" authorId="6" shapeId="0" xr:uid="{00000000-0006-0000-0200-00000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N51" authorId="6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O51" authorId="6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AG55" authorId="7" shapeId="0" xr:uid="{00000000-0006-0000-0200-00000D000000}">
      <text>
        <r>
          <rPr>
            <b/>
            <sz val="9"/>
            <color indexed="81"/>
            <rFont val="Tahoma"/>
            <family val="2"/>
          </rPr>
          <t>Dean Wagner:</t>
        </r>
        <r>
          <rPr>
            <sz val="9"/>
            <color indexed="81"/>
            <rFont val="Tahoma"/>
            <family val="2"/>
          </rPr>
          <t xml:space="preserve">
includes 1830mm of impairment charge for BMS-986094
</t>
        </r>
      </text>
    </comment>
    <comment ref="CV55" authorId="6" shapeId="0" xr:uid="{00000000-0006-0000-02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CV56" authorId="6" shapeId="0" xr:uid="{00000000-0006-0000-02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CV57" authorId="6" shapeId="0" xr:uid="{00000000-0006-0000-0200-00001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USD+</t>
        </r>
      </text>
    </comment>
    <comment ref="CY65" authorId="8" shapeId="0" xr:uid="{00000000-0006-0000-02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2.10-2.20</t>
        </r>
      </text>
    </comment>
    <comment ref="DA65" authorId="5" shapeId="0" xr:uid="{00000000-0006-0000-02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Q212: 1.90-2.00 guidance
Q112: 1.90-2.00 guidance</t>
        </r>
      </text>
    </comment>
    <comment ref="DB65" authorId="8" shapeId="0" xr:uid="{00000000-0006-0000-0200-00001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1.95</t>
        </r>
      </text>
    </comment>
    <comment ref="CV84" authorId="6" shapeId="0" xr:uid="{00000000-0006-0000-0200-00001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68.7+</t>
        </r>
      </text>
    </comment>
    <comment ref="CV90" authorId="6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increase mid-upper single digit</t>
        </r>
      </text>
    </comment>
  </commentList>
</comments>
</file>

<file path=xl/sharedStrings.xml><?xml version="1.0" encoding="utf-8"?>
<sst xmlns="http://schemas.openxmlformats.org/spreadsheetml/2006/main" count="1329" uniqueCount="688">
  <si>
    <t>Name</t>
  </si>
  <si>
    <t>Indication</t>
  </si>
  <si>
    <t>Rights</t>
  </si>
  <si>
    <t>Competition</t>
  </si>
  <si>
    <t>IP</t>
  </si>
  <si>
    <t>Phase</t>
  </si>
  <si>
    <t>Plavix</t>
  </si>
  <si>
    <t>Pravachol</t>
  </si>
  <si>
    <t>Abilify</t>
  </si>
  <si>
    <t>Reyataz</t>
  </si>
  <si>
    <t>Erbitux</t>
  </si>
  <si>
    <t>SNY</t>
  </si>
  <si>
    <t>HBV</t>
  </si>
  <si>
    <t>Zyprexa, Seroquel, Risperdal</t>
  </si>
  <si>
    <t>65%/Otsuka</t>
  </si>
  <si>
    <t>Bristol and Plavix innovator Sanofi-Aventis vs. Apotex (private Candian co) and Dr. Reddy's Labs</t>
  </si>
  <si>
    <t>Patent 4,847,265 in question. SNY has said additional Orange Book patents irrelevant</t>
  </si>
  <si>
    <t>Is Plavix novel? (validity)</t>
  </si>
  <si>
    <t>Was the patent appropriately acquired? (enforceability)</t>
  </si>
  <si>
    <t>Racemic mix patent (4,529,596)</t>
  </si>
  <si>
    <t>Single isomer patent ('265)</t>
  </si>
  <si>
    <t>Single isomer acts differently from '596.</t>
  </si>
  <si>
    <t>No prior art kept from patent examiner, so inequitable conduct argument is weak.</t>
  </si>
  <si>
    <t>Single isomer precedents?</t>
  </si>
  <si>
    <t>Levaquin upheld vs. Mylan</t>
  </si>
  <si>
    <t>Judge Stein ruled against Purdue and for Endo before--but Endo waited for launch because the case wasn’t clear--treble damages.</t>
  </si>
  <si>
    <t>Same thing could happen here. FDA definition of when the 180-day window starts will confuse this further.</t>
  </si>
  <si>
    <t>MEDX</t>
  </si>
  <si>
    <t>Melanoma</t>
  </si>
  <si>
    <t>40% of patients fail TNF</t>
  </si>
  <si>
    <t>IV infusion requires an office visit as opposed to self-administered sc</t>
  </si>
  <si>
    <t>mCRC</t>
  </si>
  <si>
    <t>HIV</t>
  </si>
  <si>
    <t>Schizophrenia</t>
  </si>
  <si>
    <t>semi-synthesis creates a minor difference</t>
  </si>
  <si>
    <t>p2 in indolent and mantle cell lymphoma with no more than 4 prior lines of therapy, n=18</t>
  </si>
  <si>
    <t>qw for 3-4 wks, n=12 eval, 1 CR, 1 PR</t>
  </si>
  <si>
    <t>significant grade 3-4 hematological toxicity</t>
  </si>
  <si>
    <t>Glivec-resistant CML and Ph+ ALL patients</t>
  </si>
  <si>
    <t>grade 3/4 myelosuppression and pleural effusion</t>
  </si>
  <si>
    <t>28-52% of patients had dose reductions</t>
  </si>
  <si>
    <t>p2 START trial in Glivec-refractory CML- ASH 2005</t>
  </si>
  <si>
    <t>Sprycel (dasatinib)</t>
  </si>
  <si>
    <t>Orencia (abatacept)</t>
  </si>
  <si>
    <t>mBC</t>
  </si>
  <si>
    <t>III</t>
  </si>
  <si>
    <t>40% complete cytogenic response for patients who are Gleevec-refractory</t>
  </si>
  <si>
    <t>Gleevec IRIS showed 83% of patients on low-dose Gleevec remain stable after 5 years.</t>
  </si>
  <si>
    <t>6/7/2006 - BOFA estimates 525m in 2010</t>
  </si>
  <si>
    <t>90% CHR and 51% MCyR vs 90%/45% at ASH</t>
  </si>
  <si>
    <t>17% pleural effusion, 33% GI. 63% had dose interruptions</t>
  </si>
  <si>
    <t>35% response vs 29% for Gleevec. Complete repsonse 21% vs 8%</t>
  </si>
  <si>
    <t>18% discontinued Gleevec vs 7% for Sprycel</t>
  </si>
  <si>
    <t>neutropenia and neuropathy previously seen in</t>
  </si>
  <si>
    <t>drug has a distinct binding mode to tubulin, may be less susceptible to resistance</t>
  </si>
  <si>
    <t>trial 081 in triple refractory mBC - 18%/11% ORR - investigator/central</t>
  </si>
  <si>
    <t>5.7 duration of response and mPFS 3.1mo, MOS 8.6mo</t>
  </si>
  <si>
    <t>studying in RCC, CLL, prostate, pancreatic</t>
  </si>
  <si>
    <t>325m in 2010 - b of a</t>
  </si>
  <si>
    <t>CML/Ph+ALL is 4,800 patients/year. Bear says 45% become resistant. Assume 50k cost of therapy.</t>
  </si>
  <si>
    <t>combo with Gleevec might be useful</t>
  </si>
  <si>
    <t>AMN-107 is competition</t>
  </si>
  <si>
    <t>CML</t>
  </si>
  <si>
    <t>Main</t>
  </si>
  <si>
    <t>Brand Name</t>
  </si>
  <si>
    <t>Generic Name</t>
  </si>
  <si>
    <t>abatacept</t>
  </si>
  <si>
    <t>Manufacturing</t>
  </si>
  <si>
    <t>Complex - BMY's first internal biologic</t>
  </si>
  <si>
    <t>Administration</t>
  </si>
  <si>
    <t>Clinical Studies</t>
  </si>
  <si>
    <t>p3 AIM (abatacept in Inadequate responders to Methotrexate)</t>
  </si>
  <si>
    <t>54% achieved ACR50 at year 1 and 56% achieved ACR50 responses in year 2.</t>
  </si>
  <si>
    <t>Orencia+MTX for two years, 82% achieved ACR20 at year 1 and 80% achieved ACR20 in year 2.</t>
  </si>
  <si>
    <t>32% achieved ACR70 at year 1 and 34% achieved ACR70 responses in year 2.</t>
  </si>
  <si>
    <t>Sales Force</t>
  </si>
  <si>
    <t>150 reps, 2/3 have TNF selling experience</t>
  </si>
  <si>
    <t>dasatinib</t>
  </si>
  <si>
    <t>Price</t>
  </si>
  <si>
    <t>head-to-head against 800mg Gleevec in patients who have failed low-dose - data at ASH 2007??? - p2/3??</t>
  </si>
  <si>
    <t>1L CML p2 single-arm study ongoing with larger SWOG trial vs gleevec being planned. 1L data at ASCO 2007?</t>
  </si>
  <si>
    <t>AMN-107 TOP study suspended following 6 deaths</t>
  </si>
  <si>
    <t>IV</t>
  </si>
  <si>
    <t>Admin</t>
  </si>
  <si>
    <t>Baraclude (entecavir)</t>
  </si>
  <si>
    <t>Oral</t>
  </si>
  <si>
    <t>expires 5/17/2012</t>
  </si>
  <si>
    <t>Monopril</t>
  </si>
  <si>
    <t>Coumadin</t>
  </si>
  <si>
    <t>Other Cardio</t>
  </si>
  <si>
    <t>Sustiva</t>
  </si>
  <si>
    <t>Zerit</t>
  </si>
  <si>
    <t>Other Infectious</t>
  </si>
  <si>
    <t>Cefzil</t>
  </si>
  <si>
    <t>Other Virology</t>
  </si>
  <si>
    <t>Taxol</t>
  </si>
  <si>
    <t>Other Onc</t>
  </si>
  <si>
    <t>Other CNS</t>
  </si>
  <si>
    <t>Other Pharma</t>
  </si>
  <si>
    <t>Nutritionals</t>
  </si>
  <si>
    <t>Other HC</t>
  </si>
  <si>
    <t>COGS</t>
  </si>
  <si>
    <t>A&amp;P</t>
  </si>
  <si>
    <t>R&amp;D</t>
  </si>
  <si>
    <t>Other</t>
  </si>
  <si>
    <t>Pretax</t>
  </si>
  <si>
    <t>Taxes</t>
  </si>
  <si>
    <t>Minority</t>
  </si>
  <si>
    <t>EPS</t>
  </si>
  <si>
    <t>Shares</t>
  </si>
  <si>
    <t>Approved</t>
  </si>
  <si>
    <t>Factor Xa inhibitor</t>
  </si>
  <si>
    <t>Anti-EGFR antibody</t>
  </si>
  <si>
    <t>Atypical Antipsychotic</t>
  </si>
  <si>
    <t>Kinase Inhibitor</t>
  </si>
  <si>
    <t>Nucleoside polymerase</t>
  </si>
  <si>
    <t>Protease Inhibitor</t>
  </si>
  <si>
    <t>Anticoagulant</t>
  </si>
  <si>
    <t>Sprycel, BMS-354825</t>
  </si>
  <si>
    <t>CA180031 - Japan Phase I/II in CML-Resistant/Intolerant to Imatinib patients.</t>
  </si>
  <si>
    <t>CA180018 Phase I/II Children/Adolescent R/R Leukemia</t>
  </si>
  <si>
    <t>CA180-005 START-A Phase II: Patients with CML in Accelerated Phaes that is Imatinib-Resistant or Intolerant</t>
  </si>
  <si>
    <t>Sprycel in pts with Previously Untreated CML in Chronic Phase</t>
  </si>
  <si>
    <t>Safety</t>
  </si>
  <si>
    <t>Pleural Effusion</t>
  </si>
  <si>
    <t>Gleevec-resistant/intolerant CML - approved</t>
  </si>
  <si>
    <t>Dosage</t>
  </si>
  <si>
    <t>50mg or 70mg BID, 100mg or 140mg QD</t>
  </si>
  <si>
    <t>CA180-034 - Sprycel in CML in Chronic Phase Resistant or Intolerant to Imatinib</t>
  </si>
  <si>
    <t>START-L: CA180-015: Sprycel in PH+ ALL who are Imatinib Resistant or Intolerant.</t>
  </si>
  <si>
    <t>START-C: Chronic CML Patients who have failed Gleevec - Updated at ASH 2006</t>
  </si>
  <si>
    <t>START-R (CA180-017): Sprycel vs Higher-Dose Imatinib in Chronic Phase CML patients resistant to Imatinib.</t>
  </si>
  <si>
    <t>Sprycel in patients who are in Lymphoid or Myeloid Blast Phase of CML and are Imatinib-Resistant or Intolerant</t>
  </si>
  <si>
    <t>CA-180-035: Sprycel 140mg QD vs 70mg BID in Advanced Phase CML or Ph+ ALL who are resistant or intolerant to Imatinib</t>
  </si>
  <si>
    <t>Tasigna: Sprycel likely more effective but less tolerable.</t>
  </si>
  <si>
    <t>$47k based on 70mg bid/140mg qd. 30% higher in EU.</t>
  </si>
  <si>
    <t>Q406</t>
  </si>
  <si>
    <t>Q306</t>
  </si>
  <si>
    <t>Q206</t>
  </si>
  <si>
    <t>apixaban</t>
  </si>
  <si>
    <t>Clinical Trials</t>
  </si>
  <si>
    <t>Mechanism</t>
  </si>
  <si>
    <t>Phase II data n=1217 - ASH 2006</t>
  </si>
  <si>
    <t>Apixaban had 8.6% VTE+death vs 15.6% for enoxaparin and 26.6% for warfarin.</t>
  </si>
  <si>
    <t>0%-3% major bleeding for apixaban vs 0% bleeding for control groups.</t>
  </si>
  <si>
    <t>ADVANCE-1 Phase III</t>
  </si>
  <si>
    <t>ADVANCE-2 Phase III</t>
  </si>
  <si>
    <t>ADVANCE-3 Phase III</t>
  </si>
  <si>
    <t>ARISTOTLE Phase III n=15,000</t>
  </si>
  <si>
    <t>warfarin, BAY-59-7939</t>
  </si>
  <si>
    <t>ipilimumab</t>
  </si>
  <si>
    <t>Economics</t>
  </si>
  <si>
    <t>Phase I/II mixed leukemias/lymphomas n=17 single-dose, dose-escalation</t>
  </si>
  <si>
    <t>1 NHL patient had ongoing CR, 1 MCL with PR</t>
  </si>
  <si>
    <t>Phase I/II relapsed/refractory follicular lymphoma n=12</t>
  </si>
  <si>
    <t>1 patient with a PR</t>
  </si>
  <si>
    <t>CTLA4 antibody</t>
  </si>
  <si>
    <t>2L melanoma</t>
  </si>
  <si>
    <t>Type 2 Diabetes</t>
  </si>
  <si>
    <t>DPPIV inhibitor</t>
  </si>
  <si>
    <t>AZN</t>
  </si>
  <si>
    <t>II</t>
  </si>
  <si>
    <t>SGLT2 inhibitor</t>
  </si>
  <si>
    <t>January 22nd 2007: Plavix trial begins</t>
  </si>
  <si>
    <t>Q107</t>
  </si>
  <si>
    <t>Q207</t>
  </si>
  <si>
    <t>Gross Margin</t>
  </si>
  <si>
    <t>Case began 1/22/2007. '265 patent likely valid &amp; enforceable - comments from Judge Stein</t>
  </si>
  <si>
    <t>Revenue</t>
  </si>
  <si>
    <t>Q106</t>
  </si>
  <si>
    <t>Q405</t>
  </si>
  <si>
    <t>prevention of DVT in patients undergoing knee replacement surgery. VTE prevention following orthopedic surgery and prevention of stroke and systemic embolism in AF. ACS</t>
  </si>
  <si>
    <t>Phase II ACS</t>
  </si>
  <si>
    <t>Phase III ACS - to start in 2007</t>
  </si>
  <si>
    <t>VTE, DVT, AF, ACS</t>
  </si>
  <si>
    <t>BMS-690514</t>
  </si>
  <si>
    <t>Cancer</t>
  </si>
  <si>
    <t>I</t>
  </si>
  <si>
    <t>Epothilone</t>
  </si>
  <si>
    <t>BMS-488043</t>
  </si>
  <si>
    <t>BMS-587101</t>
  </si>
  <si>
    <t>LFA-1 antagonist</t>
  </si>
  <si>
    <t>BMS-582949</t>
  </si>
  <si>
    <t>Oral?</t>
  </si>
  <si>
    <t>RA, Psoriasis</t>
  </si>
  <si>
    <t>I/II</t>
  </si>
  <si>
    <t>BMS-562086</t>
  </si>
  <si>
    <t>ixabepilone</t>
  </si>
  <si>
    <t>Metastatic Breast Cancer</t>
  </si>
  <si>
    <t>Novel analog of epothilone B</t>
  </si>
  <si>
    <t>BMS-247550</t>
  </si>
  <si>
    <t>Phase 3 for mBC - hoping for 2h07 filing</t>
  </si>
  <si>
    <t>5.8m PFS for ixabepilone, 4.2m for capecitabine</t>
  </si>
  <si>
    <t>MC</t>
  </si>
  <si>
    <t>Cash</t>
  </si>
  <si>
    <t>Debt</t>
  </si>
  <si>
    <t>EV</t>
  </si>
  <si>
    <t>Rx</t>
  </si>
  <si>
    <t>NRx</t>
  </si>
  <si>
    <t>TRx</t>
  </si>
  <si>
    <t>Prasugrel, AZD6140, SCH530348</t>
  </si>
  <si>
    <t>Market</t>
  </si>
  <si>
    <t>Drug-eluting stent panic may increase duration of Plavix use.</t>
  </si>
  <si>
    <t>Prasugrel.</t>
  </si>
  <si>
    <t>Antiplatelet that inhibits the aggregation of platelets, suppressing the formation of blood clots.</t>
  </si>
  <si>
    <t>Antithrombotic mostly used in patients with heart attack, stroke, PAD or in conjunction with stenting. Chronic use for prevention of chronic heart disease.</t>
  </si>
  <si>
    <t xml:space="preserve">  Aspirin inhibits the thromboxane-A synthase pathway. Plavix inhibits adenosine diphosphate (ADP).</t>
  </si>
  <si>
    <t>Q307</t>
  </si>
  <si>
    <t>Q407</t>
  </si>
  <si>
    <t>pexacerfont</t>
  </si>
  <si>
    <t>Ixempra (ixabepilone)</t>
  </si>
  <si>
    <t>BMS-626531</t>
  </si>
  <si>
    <t>RA</t>
  </si>
  <si>
    <t>brivanib</t>
  </si>
  <si>
    <t>p38</t>
  </si>
  <si>
    <t xml:space="preserve">  European at-risk filer Schweizerhall -- Germany -- different salt form.</t>
  </si>
  <si>
    <t>Q108</t>
  </si>
  <si>
    <t>ASCO 2008: Erbitux FLEX results.</t>
  </si>
  <si>
    <t>PFE</t>
  </si>
  <si>
    <t>cetuximab</t>
  </si>
  <si>
    <t>ImClone</t>
  </si>
  <si>
    <t>Failed PFS but OS data forthcoming.</t>
  </si>
  <si>
    <t>Phase III BMS099 - NSCLC - ASCO 2008?</t>
  </si>
  <si>
    <t>Erbitux (cetuximab)</t>
  </si>
  <si>
    <t>Phase II prostate study - data available ASCO 2008</t>
  </si>
  <si>
    <t>Potential competition to CGRB MDVN etc?</t>
  </si>
  <si>
    <t>Mid 08: File saxagliptin (was 1H?)</t>
  </si>
  <si>
    <t>Phase IIB 12-week study vs metformin</t>
  </si>
  <si>
    <t>A1C reductions similar to metformin.</t>
  </si>
  <si>
    <t>Q208</t>
  </si>
  <si>
    <t>Q308</t>
  </si>
  <si>
    <t>Q408</t>
  </si>
  <si>
    <t>1.2 month benefit shown. 1.4 months seen in Caucasians. Adenocarcinoma saw 1.8 month benefit.</t>
  </si>
  <si>
    <t>Cisplatin+Vinorelbine+-Erbitux in 1L mNSCLC</t>
  </si>
  <si>
    <t>Phase III FLEX study - 1L NSCLC - Presented ASCO 2008</t>
  </si>
  <si>
    <t>Phase III CRYSTAL mCRC - Full survival data in 2H08</t>
  </si>
  <si>
    <t xml:space="preserve">  Large benefit seen in KRAS wild-type (non-mutant) patients.</t>
  </si>
  <si>
    <t>8.9 month PFS vs 8.0 month for placebo p&lt;0.05. HR=0.85.</t>
  </si>
  <si>
    <t>Enfamil</t>
  </si>
  <si>
    <t>Gross Profit</t>
  </si>
  <si>
    <t>Total Revenues</t>
  </si>
  <si>
    <t>MS&amp;A</t>
  </si>
  <si>
    <t>Q305</t>
  </si>
  <si>
    <t>Q205</t>
  </si>
  <si>
    <t>Q105</t>
  </si>
  <si>
    <t>Thrombosis</t>
  </si>
  <si>
    <t>Operating Income</t>
  </si>
  <si>
    <t>Operating Expenses</t>
  </si>
  <si>
    <t>saxagliptin</t>
  </si>
  <si>
    <t>BMS-741672</t>
  </si>
  <si>
    <t>Neuropathic Pain</t>
  </si>
  <si>
    <t>CCR2 antagonist</t>
  </si>
  <si>
    <t>Onglyza (saxaglipitin)</t>
  </si>
  <si>
    <t>August 1 2008: Sold Convatec.</t>
  </si>
  <si>
    <t>CTLA4</t>
  </si>
  <si>
    <t>Organ transplant rejection</t>
  </si>
  <si>
    <t>BMS-790052</t>
  </si>
  <si>
    <t>HCV</t>
  </si>
  <si>
    <t>NS5A inhibitor</t>
  </si>
  <si>
    <t>Single-dose in HCV</t>
  </si>
  <si>
    <t>1.8log, 3.2log and 3.3log up to 100mg</t>
  </si>
  <si>
    <t>atazanavir</t>
  </si>
  <si>
    <t>Reyataz (atazanavir)</t>
  </si>
  <si>
    <t>Chemistry</t>
  </si>
  <si>
    <t>Azahexane derivative.</t>
  </si>
  <si>
    <t>5849911 - Antivirally active heterocyclic azahexane derivatives. 12/15/1998 issuance.</t>
  </si>
  <si>
    <t>Developer</t>
  </si>
  <si>
    <t>Originally developed by NVS?</t>
  </si>
  <si>
    <t>Kaletra (ABT), Lexiva (GSK), Prezista (JNJ).</t>
  </si>
  <si>
    <t>Sustiva (efavirenz)</t>
  </si>
  <si>
    <t>efavirenz</t>
  </si>
  <si>
    <t>NNRTI</t>
  </si>
  <si>
    <t>9/17/98 first approval.</t>
  </si>
  <si>
    <t>Expiring 2013.</t>
  </si>
  <si>
    <t>Plavix (clopidogrel)</t>
  </si>
  <si>
    <t>clopidogrel</t>
  </si>
  <si>
    <t>2011-2012</t>
  </si>
  <si>
    <t>Avapro (irbesartan)</t>
  </si>
  <si>
    <t>Hypertension</t>
  </si>
  <si>
    <t>ARB</t>
  </si>
  <si>
    <t>Attachment Inhibitor</t>
  </si>
  <si>
    <t>bevirimat (PANC)</t>
  </si>
  <si>
    <t>NCE</t>
  </si>
  <si>
    <t>BMS-767778</t>
  </si>
  <si>
    <t>DPPIV inhibitor?</t>
  </si>
  <si>
    <t>Hepatitis C</t>
  </si>
  <si>
    <t>Muraglitizar</t>
  </si>
  <si>
    <t>Discontinuations</t>
  </si>
  <si>
    <t>tanespimycin</t>
  </si>
  <si>
    <t>2014-2015</t>
  </si>
  <si>
    <t>Abilify (aripiprazole)</t>
  </si>
  <si>
    <t>irbesartan</t>
  </si>
  <si>
    <t>I-PRESERVE Phase III - dHF</t>
  </si>
  <si>
    <t>No beneficial effect.</t>
  </si>
  <si>
    <t>Antibody</t>
  </si>
  <si>
    <t>Protein</t>
  </si>
  <si>
    <t>1989: B-M merges with Squibb.</t>
  </si>
  <si>
    <t>Captopril (ACE inhibitor) - Capoten, Capozide</t>
  </si>
  <si>
    <t>pravastatin (Statin) - Pravachol</t>
  </si>
  <si>
    <t>nalodol (beta blocker) - Corgard, Corzide</t>
  </si>
  <si>
    <t>cholestyramine (anti-cholesterol) - Questran</t>
  </si>
  <si>
    <t>sotalol (beta blocker) - Sotacor</t>
  </si>
  <si>
    <t>fosinopril (ACE inhibitor) - Monopril, K-Lyte</t>
  </si>
  <si>
    <t>cefadroxil (cephalosporin) - Duricef</t>
  </si>
  <si>
    <t>amikacin (aminoglycoside) - Cefzil</t>
  </si>
  <si>
    <t>didanosine (ARV) - Videx</t>
  </si>
  <si>
    <t>penicillin - Polycillin, Polymox</t>
  </si>
  <si>
    <t>cefatrizine (cephalosporin) - Cefaperos, Zanitrin</t>
  </si>
  <si>
    <t>etoposide (cancer) - Vepesid</t>
  </si>
  <si>
    <t>carboplatin (cancer) - Paraplatin</t>
  </si>
  <si>
    <t>paclitaxel (cancer) - Taxol, Platinol</t>
  </si>
  <si>
    <t>Buspar - anti-anixety</t>
  </si>
  <si>
    <t>Desyrel - anti-depression</t>
  </si>
  <si>
    <t>Stadol - pain</t>
  </si>
  <si>
    <t>Isovue - cardiology imaging</t>
  </si>
  <si>
    <t>Prohance - MRI imaging</t>
  </si>
  <si>
    <t>Lac-Hydrin - dry skin</t>
  </si>
  <si>
    <t>Dovonex - vitamin D for psoriasis</t>
  </si>
  <si>
    <t>Ovcon - oral contraceptive</t>
  </si>
  <si>
    <t>Estrace - estrogen</t>
  </si>
  <si>
    <t>Orthopedics - Zimmer</t>
  </si>
  <si>
    <t>Enfamil, Prosobee, Gerber , Nutramigen, Lactofree - Baby Formulas</t>
  </si>
  <si>
    <t>Excedrin</t>
  </si>
  <si>
    <t>Sales Growth</t>
  </si>
  <si>
    <t xml:space="preserve">  Volume</t>
  </si>
  <si>
    <t xml:space="preserve">  Pricing</t>
  </si>
  <si>
    <t xml:space="preserve">  Currency</t>
  </si>
  <si>
    <t>Capoten</t>
  </si>
  <si>
    <t>A/R</t>
  </si>
  <si>
    <t>Inventories</t>
  </si>
  <si>
    <t>D/T</t>
  </si>
  <si>
    <t>Prepaid</t>
  </si>
  <si>
    <t>PP&amp;E</t>
  </si>
  <si>
    <t>G/I</t>
  </si>
  <si>
    <t>OA</t>
  </si>
  <si>
    <t>Total</t>
  </si>
  <si>
    <t>A/P</t>
  </si>
  <si>
    <t>Accrued</t>
  </si>
  <si>
    <t>Deferred Income</t>
  </si>
  <si>
    <t>Accrued Rebates</t>
  </si>
  <si>
    <t>Dividends</t>
  </si>
  <si>
    <t>Litigation</t>
  </si>
  <si>
    <t>Pension</t>
  </si>
  <si>
    <t>Shareholder's Equity</t>
  </si>
  <si>
    <t>Tangible Book Value</t>
  </si>
  <si>
    <t>Avapro, Avalide (combination with HCTZ)</t>
  </si>
  <si>
    <t>JV with Sanofi.</t>
  </si>
  <si>
    <t>Hypertension, Diabetic Nephropathy</t>
  </si>
  <si>
    <t>Q109</t>
  </si>
  <si>
    <t>Phase IIB 12-week add-on study vs control</t>
  </si>
  <si>
    <t>-0.6 to -0.7% reduction in A1C after 12 weeks versus +0.1% for control.</t>
  </si>
  <si>
    <t>4.4kg weight loss versus 1.9kg for control.</t>
  </si>
  <si>
    <t>n=71 in each arm, large # of genital tract infections.</t>
  </si>
  <si>
    <t>Phase III metformin add-on - To be presented at EASD (September 2009)</t>
  </si>
  <si>
    <t>24-week placebo-subtracted decline -0.4 to -0.5%. S.S. decreases in weight.</t>
  </si>
  <si>
    <t>Genital fungal infections higher.</t>
  </si>
  <si>
    <t>Onglyza</t>
  </si>
  <si>
    <t>Timeline</t>
  </si>
  <si>
    <t>July 30th 2009: Onglyza PDUFA.</t>
  </si>
  <si>
    <t>Q209</t>
  </si>
  <si>
    <t>Q309</t>
  </si>
  <si>
    <t>Q409</t>
  </si>
  <si>
    <t>-</t>
  </si>
  <si>
    <t>August 30th 2009: ESC meeting with Plavix results.</t>
  </si>
  <si>
    <t>CURRENT OASIS 7</t>
  </si>
  <si>
    <t>n=18,000 High dose vs low dose Plavix.</t>
  </si>
  <si>
    <t>EU filed 7/08, EU CHMP recommendation 6/09. Approved in the US 7/31/2009.</t>
  </si>
  <si>
    <t>BMS-708163</t>
  </si>
  <si>
    <t>Alzheimer's</t>
  </si>
  <si>
    <t>Gamma-secretase</t>
  </si>
  <si>
    <t>Q110</t>
  </si>
  <si>
    <t>Q210</t>
  </si>
  <si>
    <t>Q310</t>
  </si>
  <si>
    <t>Q410</t>
  </si>
  <si>
    <t>MS&amp;A %</t>
  </si>
  <si>
    <t>A&amp;P %</t>
  </si>
  <si>
    <t>R&amp;D %</t>
  </si>
  <si>
    <t>10mg QD/60mg QD RVR of 92%/83%. cEVR 83%/83% (42% placebo). eRVR 83%/75% (8% placebo).</t>
  </si>
  <si>
    <t>PROVE RVR/EVR of 69-81% and 68%-80%.</t>
  </si>
  <si>
    <t>Phase IIa n=48 tx-naïve g1 HCV reported at EASL 2010</t>
  </si>
  <si>
    <t>necitumumab</t>
  </si>
  <si>
    <t>LLY</t>
  </si>
  <si>
    <t>EGFr antibody</t>
  </si>
  <si>
    <t>61%-/LLY</t>
  </si>
  <si>
    <t>2010: Ipilimumab results.</t>
  </si>
  <si>
    <t>Phase III</t>
  </si>
  <si>
    <t>Phase III comparing gp100, ipi+gp100 vs ipi alone</t>
  </si>
  <si>
    <t>Ipi-alone and Ipi+gp100 both S.S. vs. gp100 (HR=0.66, 0.68). 10.0, 10.1 and 6.4 months for Ipi, ipi+gp100 and gp100.</t>
  </si>
  <si>
    <t>NCE.</t>
  </si>
  <si>
    <t>Phase III DASISION vs Gleevec in newly diagnosed Chronic Phase CML</t>
  </si>
  <si>
    <t>Superior MMR/cytogenetic response. 77% vs 66%.</t>
  </si>
  <si>
    <t>Phase III AVERROES n=5600 vs Aspirin in Afib patients intolerant to warfarin</t>
  </si>
  <si>
    <t>Stopped early 6/2010 due to benefit.</t>
  </si>
  <si>
    <t>Tax Rate</t>
  </si>
  <si>
    <t>BMS-824393</t>
  </si>
  <si>
    <t>Operating Margin</t>
  </si>
  <si>
    <t>L+SE</t>
  </si>
  <si>
    <t>Liabilities</t>
  </si>
  <si>
    <t>Net Cash</t>
  </si>
  <si>
    <t>Q111</t>
  </si>
  <si>
    <t>Q211</t>
  </si>
  <si>
    <t>Q311</t>
  </si>
  <si>
    <t>Q411</t>
  </si>
  <si>
    <t>Q112</t>
  </si>
  <si>
    <t>6/29/12: Acquires Amylin.</t>
  </si>
  <si>
    <t>Eliquis (apixaban)</t>
  </si>
  <si>
    <t>Rheumatoid Arthritis</t>
  </si>
  <si>
    <t>Nulojix (belatacept)</t>
  </si>
  <si>
    <t>BMS-936558</t>
  </si>
  <si>
    <t>Ono</t>
  </si>
  <si>
    <t>Anti-PD-1 Antibody</t>
  </si>
  <si>
    <t>Ono has Japanese rights.</t>
  </si>
  <si>
    <t>Phase I "Study 301" n=296 in all cancers</t>
  </si>
  <si>
    <t>n=104 melanoma, n=122 NSCLC, n=34 RCC, n=17 CRPC, n=19 CRC</t>
  </si>
  <si>
    <t>Phase III NSCLC versus Taxotere n=264</t>
  </si>
  <si>
    <t>Primary endpoint: ORR/OS</t>
  </si>
  <si>
    <t>Yervoy (ipilimumab)</t>
  </si>
  <si>
    <t>elotuzumab</t>
  </si>
  <si>
    <t>Myeloma</t>
  </si>
  <si>
    <t>Q212</t>
  </si>
  <si>
    <t>Q312</t>
  </si>
  <si>
    <t>Q412</t>
  </si>
  <si>
    <t>Nulojix</t>
  </si>
  <si>
    <t>daclatasvir</t>
  </si>
  <si>
    <t>asunaprevir (BMS-650032)</t>
  </si>
  <si>
    <t>NS3 Protease Inhibitor</t>
  </si>
  <si>
    <t>peg-interferon lambda 1A</t>
  </si>
  <si>
    <t>SQ</t>
  </si>
  <si>
    <t>Interferon</t>
  </si>
  <si>
    <t>2/12: Acquires Inhibitex for 2.5bn.</t>
  </si>
  <si>
    <t>IPF</t>
  </si>
  <si>
    <t>BMS-986202/AM152</t>
  </si>
  <si>
    <t>Failed in December 2011.</t>
  </si>
  <si>
    <t>BMS-777607</t>
  </si>
  <si>
    <t>MET Inhibitor</t>
  </si>
  <si>
    <t>100%/Aslan</t>
  </si>
  <si>
    <t>BMS-795311</t>
  </si>
  <si>
    <t>Dyslipidemia</t>
  </si>
  <si>
    <t>100%/Simcere</t>
  </si>
  <si>
    <t>CETP</t>
  </si>
  <si>
    <t>Revenue y/y</t>
  </si>
  <si>
    <t>Plavix y/y</t>
  </si>
  <si>
    <t>Sustiva y/y</t>
  </si>
  <si>
    <t>Net Income</t>
  </si>
  <si>
    <t>Orenica (abatacept - Protein)</t>
  </si>
  <si>
    <t>Orencia y/y</t>
  </si>
  <si>
    <t>Avapro y/y</t>
  </si>
  <si>
    <t>Reyataz y/y</t>
  </si>
  <si>
    <t>Baraclude y/y</t>
  </si>
  <si>
    <t>Erbitux (cetuximab - Protein)</t>
  </si>
  <si>
    <t>Yervoy (ipilimumab - Protein)</t>
  </si>
  <si>
    <t>Eliquis (apixaban - ??)</t>
  </si>
  <si>
    <t>Erbitux y/y</t>
  </si>
  <si>
    <t>Abilify y/y</t>
  </si>
  <si>
    <t>Sprycel y/y</t>
  </si>
  <si>
    <t>Onglyza y/y</t>
  </si>
  <si>
    <t>Plavix (clopidogrel - 97-12)</t>
  </si>
  <si>
    <t>Abilify (aripiprazole - 02-15)</t>
  </si>
  <si>
    <t>Sustiva (efavirenz - 98-??)</t>
  </si>
  <si>
    <t>Reyataz (atazanavir - 03-17)</t>
  </si>
  <si>
    <t>Baraclude (entecavir - 05-15)</t>
  </si>
  <si>
    <t>Sprycel (dasatinib - 06-20)</t>
  </si>
  <si>
    <t>Onglyza (saxagliptin - 09-21)</t>
  </si>
  <si>
    <t>Avapro (irbesartan - 97-12)</t>
  </si>
  <si>
    <t>Phase III lupus</t>
  </si>
  <si>
    <t>Failed: 79.7% new flares versus 82.5% in placebo.</t>
  </si>
  <si>
    <t>Phase III versus Sorafenib n=1050 ("BRISK FL")</t>
  </si>
  <si>
    <t>Phase III TACE Adjuvant HCC versus placebo n=870 "BRISK TA"</t>
  </si>
  <si>
    <t>Phase III HCC post-sorafenib n=414 versus placebo ("BRISK PS")</t>
  </si>
  <si>
    <t>Phase III HCC Asian patients post-sorafenib "BRISK APS" n=252</t>
  </si>
  <si>
    <t>dapagliflozin</t>
  </si>
  <si>
    <t>CRL, EU Positive in Q112</t>
  </si>
  <si>
    <t>Mead Johnson</t>
  </si>
  <si>
    <t>Forxiga</t>
  </si>
  <si>
    <t>4/19/12 EMEA summary of opinion positive. FDA gave CRL, AdCom voted 6-9 for approval based on safety issues.</t>
  </si>
  <si>
    <t>SGLT2 inhibitor - blocks glucose reabsorption in the kidney. Class plagued by UTIs. Dapa also has cancer signal: 0.4% of women got breast cancer versus 0.1% in placebo.</t>
  </si>
  <si>
    <t>Liver toxicity</t>
  </si>
  <si>
    <t>7 bladder cancer cases versus 0 in control. 207/100,000 for dapa versus 53/100,000 for placebo.</t>
  </si>
  <si>
    <t>9 breast cancer (0.4% of women) versus 0.0% or 0.1% in placebo.</t>
  </si>
  <si>
    <t>canagliflozin</t>
  </si>
  <si>
    <t>Phase 3</t>
  </si>
  <si>
    <t>NDA</t>
  </si>
  <si>
    <t>9/52 response rate in melanoma</t>
  </si>
  <si>
    <t>2/17 in RCC</t>
  </si>
  <si>
    <t>5/49 in NSCLC</t>
  </si>
  <si>
    <t>1/17 in ovarian cancer</t>
  </si>
  <si>
    <t>8/16 responses lasted longer than 1 year</t>
  </si>
  <si>
    <t>Dose ranging from 0.3mg/kg to 10.0mg/kg</t>
  </si>
  <si>
    <t>Phase III n=640 Revlimid+dex+-elotuzumab</t>
  </si>
  <si>
    <t>Primary endpoint is PFS</t>
  </si>
  <si>
    <t>Phase II n=73 Revlimid+dex+elotuzumab 10mg or 20mg</t>
  </si>
  <si>
    <t>92% ORR in 10mg and 73% ORR in 20mg</t>
  </si>
  <si>
    <t>All patients had previously failed 1-3 prior therapies.</t>
  </si>
  <si>
    <t>Multiple Myeloma</t>
  </si>
  <si>
    <t>Status</t>
  </si>
  <si>
    <t>Discontinued - No Longer in Pipeline as of 7/19/12</t>
  </si>
  <si>
    <t>Generalized Anxiety Disorder</t>
  </si>
  <si>
    <t>Irritable Bowel Syndrome</t>
  </si>
  <si>
    <t>Major Depressive Disorder</t>
  </si>
  <si>
    <t>II/III</t>
  </si>
  <si>
    <t>CRF-1 antagonist</t>
  </si>
  <si>
    <t>Results</t>
  </si>
  <si>
    <t>Failed</t>
  </si>
  <si>
    <t>Q312: Refile Eliquis?</t>
  </si>
  <si>
    <t>Q113: Eliquis PDUFA?</t>
  </si>
  <si>
    <t>Megace</t>
  </si>
  <si>
    <t>alvespimycin</t>
  </si>
  <si>
    <t>KOS-1022</t>
  </si>
  <si>
    <t>Discontinued????</t>
  </si>
  <si>
    <t>Breast Cancer</t>
  </si>
  <si>
    <t>Study Terminated</t>
  </si>
  <si>
    <t>apixiban</t>
  </si>
  <si>
    <t>Protocol</t>
  </si>
  <si>
    <t>Filed at FDA, CRL</t>
  </si>
  <si>
    <t>Acute Coronary Syndrome</t>
  </si>
  <si>
    <t>Dates</t>
  </si>
  <si>
    <t>n=1715 placebo-controlled</t>
  </si>
  <si>
    <t>2006-2008</t>
  </si>
  <si>
    <t>Eliquis</t>
  </si>
  <si>
    <t>Unclear</t>
  </si>
  <si>
    <t>n=4</t>
  </si>
  <si>
    <t>Study Withdrawn</t>
  </si>
  <si>
    <t>Terminated?</t>
  </si>
  <si>
    <t>n=0 versus peg/ribavirin</t>
  </si>
  <si>
    <t>Orencia, fka BMS-188667</t>
  </si>
  <si>
    <t>Ongoing</t>
  </si>
  <si>
    <t>n=4816 placebo-controlled</t>
  </si>
  <si>
    <t>2008-2013</t>
  </si>
  <si>
    <t>DVT/PE</t>
  </si>
  <si>
    <t>n=6524 vs. enox</t>
  </si>
  <si>
    <t>2007-2011</t>
  </si>
  <si>
    <t>Acute Medical Illness "ADOPT"</t>
  </si>
  <si>
    <t>BMS-779788</t>
  </si>
  <si>
    <t>Completed</t>
  </si>
  <si>
    <t>MAD</t>
  </si>
  <si>
    <t>Unknown</t>
  </si>
  <si>
    <t>Unknown/Atherosclerosis</t>
  </si>
  <si>
    <t>BMS-833923/XL139</t>
  </si>
  <si>
    <t>Exelixis</t>
  </si>
  <si>
    <t>Gastric Cancers</t>
  </si>
  <si>
    <t>n=36 combo chemo</t>
  </si>
  <si>
    <t>2009-2012</t>
  </si>
  <si>
    <t>Forthcoming</t>
  </si>
  <si>
    <t>Smoothened/Hedgehog</t>
  </si>
  <si>
    <t>2011-2013</t>
  </si>
  <si>
    <t>n=108 Gem+Cis</t>
  </si>
  <si>
    <t>NSCLC</t>
  </si>
  <si>
    <t>PD1</t>
  </si>
  <si>
    <t>BMS-823778</t>
  </si>
  <si>
    <t>2012-2013</t>
  </si>
  <si>
    <t>n=271 vs placebo</t>
  </si>
  <si>
    <t>Hypertension, Obesity, Dyslipidemia</t>
  </si>
  <si>
    <t>BMS-582664</t>
  </si>
  <si>
    <t>Terminated</t>
  </si>
  <si>
    <t>Cancers</t>
  </si>
  <si>
    <t>VEGFR2</t>
  </si>
  <si>
    <t>n=0</t>
  </si>
  <si>
    <t>n=725</t>
  </si>
  <si>
    <t>2012-2014</t>
  </si>
  <si>
    <t>BMS-650032</t>
  </si>
  <si>
    <t>asunaprevir</t>
  </si>
  <si>
    <t>Seattle Genetics???</t>
  </si>
  <si>
    <t>MDX-060</t>
  </si>
  <si>
    <t>Hodgkin's Disease</t>
  </si>
  <si>
    <t>Anti-CD30 Antibody</t>
  </si>
  <si>
    <t>n=74</t>
  </si>
  <si>
    <t>2005-2009</t>
  </si>
  <si>
    <t>n=89</t>
  </si>
  <si>
    <t>2006-2009</t>
  </si>
  <si>
    <t>EGF/VEGF Kinase (Oral)</t>
  </si>
  <si>
    <t>n=1-40 processed</t>
  </si>
  <si>
    <t>Q114</t>
  </si>
  <si>
    <t>Q113</t>
  </si>
  <si>
    <t>Q213</t>
  </si>
  <si>
    <t>Q313</t>
  </si>
  <si>
    <t>Q413</t>
  </si>
  <si>
    <t>Q214</t>
  </si>
  <si>
    <t>Farxiga (dapagliflozin)</t>
  </si>
  <si>
    <t>Byetta/Bydureon</t>
  </si>
  <si>
    <t>Q314</t>
  </si>
  <si>
    <t>Q414</t>
  </si>
  <si>
    <t>Q115</t>
  </si>
  <si>
    <t>Q215</t>
  </si>
  <si>
    <t>Q315</t>
  </si>
  <si>
    <t>Q415</t>
  </si>
  <si>
    <t>Diabetes Alliance</t>
  </si>
  <si>
    <t>Q122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</si>
  <si>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</si>
  <si>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</si>
  <si>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</si>
  <si>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</si>
  <si>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</si>
  <si>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</si>
  <si>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</si>
  <si>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</si>
  <si>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</si>
  <si>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</si>
  <si>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</si>
  <si>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</si>
  <si>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</si>
  <si>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</si>
  <si>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</si>
  <si>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</si>
  <si>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</si>
  <si>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</si>
  <si>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</si>
  <si>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</si>
  <si>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</si>
  <si>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</si>
  <si>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</si>
  <si>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</si>
  <si>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</si>
  <si>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</si>
  <si>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</si>
  <si>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Opdivo (nivolumab - Protein)</t>
  </si>
  <si>
    <t>Q123</t>
  </si>
  <si>
    <t>Q223</t>
  </si>
  <si>
    <t>Q323</t>
  </si>
  <si>
    <t>Q423</t>
  </si>
  <si>
    <t>Pomalyst (</t>
  </si>
  <si>
    <t>Revlimid (lenalidomide)</t>
  </si>
  <si>
    <t>Mature Products</t>
  </si>
  <si>
    <t>Reblozyl</t>
  </si>
  <si>
    <t>Abecma</t>
  </si>
  <si>
    <t>Zeposia</t>
  </si>
  <si>
    <t>Breyanzi</t>
  </si>
  <si>
    <t>Inrebic</t>
  </si>
  <si>
    <t>Onureg</t>
  </si>
  <si>
    <t>Opdualag</t>
  </si>
  <si>
    <t>Abraxane</t>
  </si>
  <si>
    <t>Opdivo y/y</t>
  </si>
  <si>
    <t>Eliquis y/y</t>
  </si>
  <si>
    <t>Revlimid y/y</t>
  </si>
  <si>
    <t>Reblozyl (luspatercept)</t>
  </si>
  <si>
    <t>MRK</t>
  </si>
  <si>
    <t>Opdivo, fka BMS-936558</t>
  </si>
  <si>
    <t>Opdivo (nivolumab)</t>
  </si>
  <si>
    <t>7/26/19: Positive CHMP opinion for Empliciti</t>
  </si>
  <si>
    <t>Empliciti (elotuzumab)</t>
  </si>
  <si>
    <t>ABBV co-development, BMY solely responsible for commercial activities</t>
  </si>
  <si>
    <t>ABBV</t>
  </si>
  <si>
    <t>Phase II "ELOQUENT-3" pom+dex+-elotuzumab n=113 3L+ lenalidomide-refractory</t>
  </si>
  <si>
    <t>CS1/SLAMF7 mab</t>
  </si>
  <si>
    <t>Empliciti fka HuLuc63</t>
  </si>
  <si>
    <t>SLAMF7 mab</t>
  </si>
  <si>
    <t>PD-1 mab</t>
  </si>
  <si>
    <t>CTLA4 mab</t>
  </si>
  <si>
    <t>Pomalyst (pomalidomide)</t>
  </si>
  <si>
    <t>VEGFR inhibitor, FGFR2?</t>
  </si>
  <si>
    <t>Camzyos</t>
  </si>
  <si>
    <t>Vidaza</t>
  </si>
  <si>
    <t>200</t>
  </si>
  <si>
    <t>20</t>
  </si>
  <si>
    <t>150</t>
  </si>
  <si>
    <t>Revenue lc</t>
  </si>
  <si>
    <t>Approval</t>
  </si>
  <si>
    <t>Opdualag (relatlimab/nivolumab)</t>
  </si>
  <si>
    <t>Breyanzi (lisocabtagene maraleucel)</t>
  </si>
  <si>
    <t>Zeposia (ozanimod)</t>
  </si>
  <si>
    <t>Multiple Sclerosis</t>
  </si>
  <si>
    <t>CEO: Giovanni Caforio</t>
  </si>
  <si>
    <t>CD19 CART</t>
  </si>
  <si>
    <t>PROTAC</t>
  </si>
  <si>
    <t>GDF</t>
  </si>
  <si>
    <t>LAG3</t>
  </si>
  <si>
    <t>iberdomide</t>
  </si>
  <si>
    <t>mezigdomide</t>
  </si>
  <si>
    <t>Psoriasis</t>
  </si>
  <si>
    <t>Beta Thalassemia, MDS</t>
  </si>
  <si>
    <t>SC</t>
  </si>
  <si>
    <t>CFO: David Elkins</t>
  </si>
  <si>
    <t>CMO: Samit Hirawat</t>
  </si>
  <si>
    <t>CCO: Chris Boerner</t>
  </si>
  <si>
    <t>repotrectinib</t>
  </si>
  <si>
    <t>ROS1 inhibitor</t>
  </si>
  <si>
    <t>deucrava</t>
  </si>
  <si>
    <t>Camzyos (mavacamten)</t>
  </si>
  <si>
    <t>oHCM</t>
  </si>
  <si>
    <t>myosin inhibitor</t>
  </si>
  <si>
    <t>milvexian</t>
  </si>
  <si>
    <t>FXIa inhibitor</t>
  </si>
  <si>
    <t>S1P agonist</t>
  </si>
  <si>
    <t>TYK2</t>
  </si>
  <si>
    <t>cendakimab</t>
  </si>
  <si>
    <t>IL-13 mab</t>
  </si>
  <si>
    <t>EoE, AD</t>
  </si>
  <si>
    <t>BCMA CART</t>
  </si>
  <si>
    <t>Sotyktu (deucravacitinib)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</si>
</sst>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0" fillId="2" borderId="2" xfId="0" applyFill="1" applyBorder="1"/>
    <xf numFmtId="14" fontId="0" fillId="2" borderId="0" xfId="0" applyNumberFormat="1" applyFill="1" applyAlignment="1">
      <alignment horizontal="center"/>
    </xf>
    <xf numFmtId="0" fontId="4" fillId="2" borderId="0" xfId="0" applyFont="1" applyFill="1"/>
    <xf numFmtId="0" fontId="5" fillId="2" borderId="5" xfId="0" applyFont="1" applyFill="1" applyBorder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3" fontId="0" fillId="2" borderId="0" xfId="0" applyNumberFormat="1" applyFill="1" applyAlignment="1">
      <alignment horizontal="center"/>
    </xf>
    <xf numFmtId="0" fontId="3" fillId="2" borderId="0" xfId="0" applyFont="1" applyFill="1"/>
    <xf numFmtId="0" fontId="9" fillId="2" borderId="0" xfId="0" applyFont="1" applyFill="1"/>
    <xf numFmtId="2" fontId="0" fillId="2" borderId="0" xfId="0" applyNumberFormat="1" applyFill="1"/>
    <xf numFmtId="3" fontId="0" fillId="2" borderId="0" xfId="0" applyNumberFormat="1" applyFill="1"/>
    <xf numFmtId="0" fontId="9" fillId="2" borderId="0" xfId="0" applyFont="1" applyFill="1" applyAlignment="1">
      <alignment horizontal="center"/>
    </xf>
    <xf numFmtId="9" fontId="9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0" borderId="0" xfId="1" applyAlignment="1" applyProtection="1"/>
    <xf numFmtId="3" fontId="0" fillId="2" borderId="0" xfId="0" applyNumberFormat="1" applyFill="1" applyAlignment="1">
      <alignment horizontal="right"/>
    </xf>
    <xf numFmtId="0" fontId="9" fillId="2" borderId="0" xfId="0" quotePrefix="1" applyFont="1" applyFill="1"/>
    <xf numFmtId="0" fontId="9" fillId="0" borderId="0" xfId="0" applyFont="1"/>
    <xf numFmtId="0" fontId="9" fillId="2" borderId="0" xfId="0" applyFont="1" applyFill="1" applyAlignment="1">
      <alignment horizontal="right"/>
    </xf>
    <xf numFmtId="0" fontId="10" fillId="2" borderId="0" xfId="0" applyFont="1" applyFill="1"/>
    <xf numFmtId="3" fontId="9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0" fillId="0" borderId="4" xfId="0" applyBorder="1"/>
    <xf numFmtId="3" fontId="9" fillId="2" borderId="0" xfId="0" applyNumberFormat="1" applyFont="1" applyFill="1"/>
    <xf numFmtId="14" fontId="9" fillId="2" borderId="0" xfId="0" applyNumberFormat="1" applyFont="1" applyFill="1" applyAlignment="1">
      <alignment horizontal="center"/>
    </xf>
    <xf numFmtId="0" fontId="9" fillId="2" borderId="4" xfId="0" applyFont="1" applyFill="1" applyBorder="1"/>
    <xf numFmtId="0" fontId="4" fillId="0" borderId="0" xfId="0" applyFont="1"/>
    <xf numFmtId="0" fontId="0" fillId="3" borderId="0" xfId="0" applyFill="1" applyAlignment="1">
      <alignment horizontal="right"/>
    </xf>
    <xf numFmtId="0" fontId="9" fillId="3" borderId="0" xfId="0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3" fontId="5" fillId="3" borderId="0" xfId="0" applyNumberFormat="1" applyFont="1" applyFill="1" applyAlignment="1">
      <alignment horizontal="right"/>
    </xf>
    <xf numFmtId="4" fontId="5" fillId="3" borderId="0" xfId="0" applyNumberFormat="1" applyFont="1" applyFill="1" applyAlignment="1">
      <alignment horizontal="right"/>
    </xf>
    <xf numFmtId="9" fontId="5" fillId="3" borderId="0" xfId="0" applyNumberFormat="1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5" fillId="3" borderId="0" xfId="0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9" fillId="3" borderId="0" xfId="0" applyNumberFormat="1" applyFont="1" applyFill="1" applyAlignment="1">
      <alignment horizontal="right"/>
    </xf>
    <xf numFmtId="9" fontId="9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3" fontId="0" fillId="4" borderId="0" xfId="0" applyNumberFormat="1" applyFill="1" applyAlignment="1">
      <alignment horizontal="right"/>
    </xf>
    <xf numFmtId="3" fontId="9" fillId="4" borderId="0" xfId="0" applyNumberFormat="1" applyFon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4" fontId="5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right"/>
    </xf>
    <xf numFmtId="9" fontId="5" fillId="4" borderId="0" xfId="0" applyNumberFormat="1" applyFont="1" applyFill="1" applyAlignment="1">
      <alignment horizontal="right"/>
    </xf>
    <xf numFmtId="9" fontId="9" fillId="4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0" fontId="9" fillId="2" borderId="4" xfId="1" applyFont="1" applyFill="1" applyBorder="1" applyAlignment="1" applyProtection="1"/>
    <xf numFmtId="0" fontId="13" fillId="2" borderId="0" xfId="0" applyFont="1" applyFill="1"/>
    <xf numFmtId="0" fontId="13" fillId="2" borderId="0" xfId="0" applyFont="1" applyFill="1" applyAlignment="1">
      <alignment horizontal="right"/>
    </xf>
    <xf numFmtId="9" fontId="13" fillId="2" borderId="0" xfId="0" applyNumberFormat="1" applyFont="1" applyFill="1" applyAlignment="1">
      <alignment horizontal="right"/>
    </xf>
    <xf numFmtId="9" fontId="13" fillId="3" borderId="0" xfId="0" applyNumberFormat="1" applyFont="1" applyFill="1" applyAlignment="1">
      <alignment horizontal="right"/>
    </xf>
    <xf numFmtId="9" fontId="13" fillId="4" borderId="0" xfId="0" applyNumberFormat="1" applyFont="1" applyFill="1" applyAlignment="1">
      <alignment horizontal="right"/>
    </xf>
    <xf numFmtId="3" fontId="13" fillId="2" borderId="0" xfId="0" applyNumberFormat="1" applyFont="1" applyFill="1" applyAlignment="1">
      <alignment horizontal="right"/>
    </xf>
    <xf numFmtId="0" fontId="14" fillId="2" borderId="0" xfId="0" applyFont="1" applyFill="1" applyAlignment="1">
      <alignment horizontal="right"/>
    </xf>
    <xf numFmtId="0" fontId="13" fillId="3" borderId="0" xfId="0" applyFont="1" applyFill="1" applyAlignment="1">
      <alignment horizontal="right"/>
    </xf>
    <xf numFmtId="0" fontId="13" fillId="4" borderId="0" xfId="0" applyFont="1" applyFill="1" applyAlignment="1">
      <alignment horizontal="right"/>
    </xf>
    <xf numFmtId="9" fontId="14" fillId="2" borderId="0" xfId="0" applyNumberFormat="1" applyFont="1" applyFill="1" applyAlignment="1">
      <alignment horizontal="right"/>
    </xf>
    <xf numFmtId="4" fontId="13" fillId="2" borderId="0" xfId="0" applyNumberFormat="1" applyFont="1" applyFill="1" applyAlignment="1">
      <alignment horizontal="right"/>
    </xf>
    <xf numFmtId="3" fontId="9" fillId="2" borderId="0" xfId="0" quotePrefix="1" applyNumberFormat="1" applyFont="1" applyFill="1" applyAlignment="1">
      <alignment horizontal="right"/>
    </xf>
    <xf numFmtId="0" fontId="0" fillId="2" borderId="5" xfId="0" applyFill="1" applyBorder="1"/>
    <xf numFmtId="0" fontId="1" fillId="2" borderId="6" xfId="1" applyFill="1" applyBorder="1" applyAlignment="1" applyProtection="1"/>
    <xf numFmtId="14" fontId="9" fillId="2" borderId="7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38100</xdr:colOff>
      <xdr:row>0</xdr:row>
      <xdr:rowOff>9525</xdr:rowOff>
    </xdr:from>
    <xdr:to>
      <xdr:col>72</xdr:col>
      <xdr:colOff>38100</xdr:colOff>
      <xdr:row>130</xdr:row>
      <xdr:rowOff>38100</xdr:rowOff>
    </xdr:to>
    <xdr:sp macro="" textlink="">
      <xdr:nvSpPr>
        <xdr:cNvPr id="23557" name="Line 6">
          <a:extLst>
            <a:ext uri="{FF2B5EF4-FFF2-40B4-BE49-F238E27FC236}">
              <a16:creationId xmlns:a16="http://schemas.microsoft.com/office/drawing/2014/main" id="{B2BC525F-A724-7F55-9CE0-858F0F2500EB}"/>
            </a:ext>
          </a:extLst>
        </xdr:cNvPr>
        <xdr:cNvSpPr>
          <a:spLocks noChangeShapeType="1"/>
        </xdr:cNvSpPr>
      </xdr:nvSpPr>
      <xdr:spPr bwMode="auto">
        <a:xfrm flipH="1">
          <a:off x="31718250" y="9525"/>
          <a:ext cx="0" cy="20593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114</xdr:col>
      <xdr:colOff>26069</xdr:colOff>
      <xdr:row>0</xdr:row>
      <xdr:rowOff>0</xdr:rowOff>
    </xdr:from>
    <xdr:to>
      <xdr:col>114</xdr:col>
      <xdr:colOff>26069</xdr:colOff>
      <xdr:row>106</xdr:row>
      <xdr:rowOff>15040</xdr:rowOff>
    </xdr:to>
    <xdr:sp macro="" textlink="">
      <xdr:nvSpPr>
        <xdr:cNvPr id="23558" name="Line 12">
          <a:extLst>
            <a:ext uri="{FF2B5EF4-FFF2-40B4-BE49-F238E27FC236}">
              <a16:creationId xmlns:a16="http://schemas.microsoft.com/office/drawing/2014/main" id="{9C5D3C83-C419-3E58-B84C-434F85F5D33D}"/>
            </a:ext>
          </a:extLst>
        </xdr:cNvPr>
        <xdr:cNvSpPr>
          <a:spLocks noChangeShapeType="1"/>
        </xdr:cNvSpPr>
      </xdr:nvSpPr>
      <xdr:spPr bwMode="auto">
        <a:xfrm flipH="1">
          <a:off x="50613845" y="0"/>
          <a:ext cx="0" cy="132999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F68C8B4-E179-4E5B-B186-EECC601E0E41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K10" dT="2022-09-06T16:09:34.65" personId="{9F68C8B4-E179-4E5B-B186-EECC601E0E41}" id="{DF0CA8EA-E15D-4DCF-8A89-D3F0E51858A5}">
    <text>Q222 call: 9.0B-9.5B</text>
  </threadedComment>
  <threadedComment ref="BT13" dT="2022-09-06T16:10:39.10" personId="{9F68C8B4-E179-4E5B-B186-EECC601E0E41}" id="{DFDA0432-9884-4EBE-96B3-87B7B5D4D515}">
    <text>Q222: demand &gt; supply</text>
  </threadedComment>
  <threadedComment ref="DR18" dT="2022-09-06T16:58:28.46" personId="{9F68C8B4-E179-4E5B-B186-EECC601E0E41}" id="{1727F93D-8F9D-4AF0-A375-BADEA5A4BCDB}">
    <text>Q222: 4B peak sales</text>
  </threadedComment>
  <threadedComment ref="DR20" dT="2022-09-06T15:58:32.95" personId="{9F68C8B4-E179-4E5B-B186-EECC601E0E41}" id="{946EE862-FE62-45E3-9122-A9E70C0AF3D7}">
    <text>Q222: 3B peak sales?</text>
  </threadedComment>
  <threadedComment ref="DR21" dT="2022-09-06T16:02:11.56" personId="{9F68C8B4-E179-4E5B-B186-EECC601E0E41}" id="{59AADAB3-7D26-4862-B979-01EC18E461EC}">
    <text>Q222: &gt;4B by 2029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38" sqref="B38:H39"/>
    </sheetView>
  </sheetViews>
  <sheetFormatPr defaultRowHeight="12.75" x14ac:dyDescent="0.2"/>
  <cols>
    <col min="1" max="1" width="5" bestFit="1" customWidth="1"/>
    <col min="2" max="2" width="17.5703125" bestFit="1" customWidth="1"/>
    <col min="3" max="3" width="14.7109375" customWidth="1"/>
    <col min="4" max="4" width="43.42578125" bestFit="1" customWidth="1"/>
    <col min="5" max="5" width="34.42578125" bestFit="1" customWidth="1"/>
    <col min="6" max="6" width="23.5703125" customWidth="1"/>
    <col min="8" max="8" width="15.7109375" bestFit="1" customWidth="1"/>
    <col min="9" max="9" width="23.140625" bestFit="1" customWidth="1"/>
    <col min="10" max="10" width="12.5703125" style="61" customWidth="1"/>
    <col min="11" max="11" width="10.28515625" bestFit="1" customWidth="1"/>
  </cols>
  <sheetData>
    <row r="1" spans="1:16" x14ac:dyDescent="0.2">
      <c r="A1" s="29" t="s">
        <v>63</v>
      </c>
    </row>
    <row r="2" spans="1:16" x14ac:dyDescent="0.2">
      <c r="B2" s="32" t="s">
        <v>64</v>
      </c>
      <c r="C2" s="32" t="s">
        <v>65</v>
      </c>
      <c r="D2" s="32" t="s">
        <v>494</v>
      </c>
      <c r="E2" s="32" t="s">
        <v>1</v>
      </c>
      <c r="F2" s="32" t="s">
        <v>141</v>
      </c>
      <c r="G2" s="32" t="s">
        <v>655</v>
      </c>
      <c r="H2" s="32" t="s">
        <v>501</v>
      </c>
      <c r="I2" s="32" t="s">
        <v>512</v>
      </c>
      <c r="J2" s="62" t="s">
        <v>515</v>
      </c>
      <c r="K2" s="32" t="s">
        <v>151</v>
      </c>
      <c r="L2" s="32" t="s">
        <v>3</v>
      </c>
    </row>
    <row r="3" spans="1:16" x14ac:dyDescent="0.2">
      <c r="B3" s="13" t="s">
        <v>277</v>
      </c>
      <c r="E3" s="7" t="s">
        <v>278</v>
      </c>
      <c r="F3" s="7" t="s">
        <v>279</v>
      </c>
      <c r="G3" s="16">
        <v>35703</v>
      </c>
      <c r="K3" s="6" t="s">
        <v>11</v>
      </c>
      <c r="L3" s="6"/>
      <c r="O3" s="7"/>
      <c r="P3" s="8"/>
    </row>
    <row r="4" spans="1:16" x14ac:dyDescent="0.2">
      <c r="B4" s="13" t="s">
        <v>269</v>
      </c>
      <c r="E4" s="7" t="s">
        <v>32</v>
      </c>
      <c r="F4" s="7" t="s">
        <v>271</v>
      </c>
      <c r="G4" s="16">
        <v>37288</v>
      </c>
      <c r="K4" s="6">
        <v>1</v>
      </c>
      <c r="L4" s="6"/>
      <c r="O4" s="7"/>
      <c r="P4" s="8"/>
    </row>
    <row r="5" spans="1:16" x14ac:dyDescent="0.2">
      <c r="B5" s="13" t="s">
        <v>262</v>
      </c>
      <c r="E5" s="7" t="s">
        <v>32</v>
      </c>
      <c r="F5" s="7" t="s">
        <v>116</v>
      </c>
      <c r="G5" s="16">
        <v>37792</v>
      </c>
      <c r="K5" s="6">
        <v>1</v>
      </c>
      <c r="L5" s="6"/>
      <c r="O5" s="7"/>
      <c r="P5" s="8"/>
    </row>
    <row r="6" spans="1:16" x14ac:dyDescent="0.2">
      <c r="B6" s="13" t="s">
        <v>210</v>
      </c>
      <c r="E6" s="7" t="s">
        <v>44</v>
      </c>
      <c r="F6" s="7" t="s">
        <v>178</v>
      </c>
      <c r="G6" s="16">
        <v>39371</v>
      </c>
      <c r="I6" s="8"/>
      <c r="J6" s="62"/>
      <c r="K6" s="6">
        <v>1</v>
      </c>
      <c r="L6" s="32"/>
    </row>
    <row r="7" spans="1:16" x14ac:dyDescent="0.2">
      <c r="B7" s="13" t="s">
        <v>274</v>
      </c>
      <c r="C7" s="7" t="s">
        <v>245</v>
      </c>
      <c r="D7" s="6" t="s">
        <v>11</v>
      </c>
      <c r="E7" s="6" t="s">
        <v>85</v>
      </c>
      <c r="F7" s="16">
        <v>35751</v>
      </c>
      <c r="G7" s="7" t="s">
        <v>117</v>
      </c>
      <c r="H7" s="7" t="s">
        <v>200</v>
      </c>
      <c r="I7" s="8" t="s">
        <v>276</v>
      </c>
      <c r="J7" s="62"/>
      <c r="K7" s="32"/>
      <c r="L7" s="32"/>
    </row>
    <row r="8" spans="1:16" x14ac:dyDescent="0.2">
      <c r="B8" s="13" t="s">
        <v>290</v>
      </c>
      <c r="C8" s="7" t="s">
        <v>33</v>
      </c>
      <c r="D8" s="6" t="s">
        <v>14</v>
      </c>
      <c r="E8" s="6" t="s">
        <v>85</v>
      </c>
      <c r="F8" s="16">
        <v>37575</v>
      </c>
      <c r="G8" s="7" t="s">
        <v>113</v>
      </c>
      <c r="H8" s="7" t="s">
        <v>13</v>
      </c>
      <c r="I8" s="8" t="s">
        <v>289</v>
      </c>
      <c r="J8" s="62"/>
      <c r="K8" s="32"/>
      <c r="L8" s="32"/>
    </row>
    <row r="9" spans="1:16" x14ac:dyDescent="0.2">
      <c r="B9" s="46" t="s">
        <v>407</v>
      </c>
      <c r="C9" s="7" t="s">
        <v>255</v>
      </c>
      <c r="D9" s="6">
        <v>1</v>
      </c>
      <c r="E9" s="27" t="s">
        <v>82</v>
      </c>
      <c r="F9" s="45">
        <v>40709</v>
      </c>
      <c r="G9" s="7"/>
      <c r="H9" s="7"/>
      <c r="I9" s="8" t="s">
        <v>295</v>
      </c>
      <c r="J9" s="62"/>
      <c r="K9" s="32"/>
      <c r="L9" s="32"/>
    </row>
    <row r="10" spans="1:16" x14ac:dyDescent="0.2">
      <c r="B10" s="5" t="s">
        <v>252</v>
      </c>
      <c r="C10" s="7" t="s">
        <v>158</v>
      </c>
      <c r="D10" s="6" t="s">
        <v>160</v>
      </c>
      <c r="E10" s="7" t="s">
        <v>85</v>
      </c>
      <c r="F10" s="16">
        <v>40025</v>
      </c>
      <c r="G10" s="7" t="s">
        <v>159</v>
      </c>
      <c r="H10" s="7"/>
      <c r="I10" s="7"/>
      <c r="J10" s="62"/>
      <c r="K10" s="32"/>
      <c r="L10" s="32"/>
    </row>
    <row r="11" spans="1:16" x14ac:dyDescent="0.2">
      <c r="B11" s="32"/>
      <c r="C11" s="32"/>
      <c r="D11" s="32"/>
      <c r="E11" s="32"/>
      <c r="F11" s="32"/>
      <c r="G11" s="32"/>
      <c r="H11" s="32"/>
      <c r="I11" s="32"/>
      <c r="J11" s="62"/>
      <c r="K11" s="32"/>
      <c r="L11" s="32"/>
    </row>
    <row r="12" spans="1:16" x14ac:dyDescent="0.2">
      <c r="B12" s="32"/>
      <c r="C12" s="32"/>
      <c r="D12" s="32"/>
      <c r="E12" s="32"/>
      <c r="F12" s="32"/>
      <c r="G12" s="32" t="s">
        <v>5</v>
      </c>
      <c r="H12" s="32"/>
      <c r="I12" s="32"/>
      <c r="J12" s="62"/>
      <c r="K12" s="32"/>
      <c r="L12" s="32"/>
    </row>
    <row r="13" spans="1:16" x14ac:dyDescent="0.2">
      <c r="B13" s="32" t="s">
        <v>186</v>
      </c>
      <c r="C13" s="32" t="s">
        <v>209</v>
      </c>
      <c r="D13" s="32" t="s">
        <v>495</v>
      </c>
      <c r="E13" s="32" t="s">
        <v>496</v>
      </c>
      <c r="F13" s="32" t="s">
        <v>500</v>
      </c>
      <c r="G13" s="32" t="s">
        <v>499</v>
      </c>
      <c r="H13" s="32" t="s">
        <v>502</v>
      </c>
    </row>
    <row r="14" spans="1:16" x14ac:dyDescent="0.2">
      <c r="B14" s="32" t="s">
        <v>186</v>
      </c>
      <c r="C14" s="32" t="s">
        <v>209</v>
      </c>
      <c r="D14" s="32" t="s">
        <v>495</v>
      </c>
      <c r="E14" s="32" t="s">
        <v>497</v>
      </c>
      <c r="F14" s="32" t="s">
        <v>500</v>
      </c>
      <c r="G14" s="32" t="s">
        <v>161</v>
      </c>
    </row>
    <row r="15" spans="1:16" x14ac:dyDescent="0.2">
      <c r="B15" s="32" t="s">
        <v>186</v>
      </c>
      <c r="C15" s="32" t="s">
        <v>209</v>
      </c>
      <c r="D15" s="32" t="s">
        <v>495</v>
      </c>
      <c r="E15" s="32" t="s">
        <v>498</v>
      </c>
      <c r="F15" s="32" t="s">
        <v>500</v>
      </c>
      <c r="G15" s="32" t="s">
        <v>185</v>
      </c>
    </row>
    <row r="16" spans="1:16" x14ac:dyDescent="0.2">
      <c r="B16" s="32" t="s">
        <v>507</v>
      </c>
      <c r="C16" s="32" t="s">
        <v>506</v>
      </c>
      <c r="D16" s="32" t="s">
        <v>508</v>
      </c>
      <c r="E16" s="32" t="s">
        <v>509</v>
      </c>
      <c r="G16" s="32" t="s">
        <v>161</v>
      </c>
      <c r="H16" s="32" t="s">
        <v>510</v>
      </c>
      <c r="I16" s="32" t="s">
        <v>520</v>
      </c>
      <c r="J16" s="61">
        <v>2008</v>
      </c>
    </row>
    <row r="17" spans="2:12" x14ac:dyDescent="0.2">
      <c r="B17" s="32" t="s">
        <v>518</v>
      </c>
      <c r="C17" s="32" t="s">
        <v>511</v>
      </c>
      <c r="D17" s="32" t="s">
        <v>513</v>
      </c>
      <c r="E17" s="32" t="s">
        <v>528</v>
      </c>
      <c r="F17" s="32" t="s">
        <v>111</v>
      </c>
      <c r="G17" s="32" t="s">
        <v>45</v>
      </c>
      <c r="H17" s="32" t="s">
        <v>525</v>
      </c>
      <c r="I17" s="32" t="s">
        <v>526</v>
      </c>
      <c r="J17" s="61" t="s">
        <v>527</v>
      </c>
    </row>
    <row r="18" spans="2:12" x14ac:dyDescent="0.2">
      <c r="B18" s="32" t="s">
        <v>518</v>
      </c>
      <c r="C18" s="32" t="s">
        <v>511</v>
      </c>
      <c r="D18" s="32" t="s">
        <v>513</v>
      </c>
      <c r="E18" s="32" t="s">
        <v>514</v>
      </c>
      <c r="F18" s="32" t="s">
        <v>111</v>
      </c>
      <c r="G18" s="32" t="s">
        <v>161</v>
      </c>
      <c r="H18" s="32" t="s">
        <v>519</v>
      </c>
      <c r="I18" t="s">
        <v>516</v>
      </c>
      <c r="J18" s="61" t="s">
        <v>517</v>
      </c>
    </row>
    <row r="19" spans="2:12" x14ac:dyDescent="0.2">
      <c r="B19" s="32" t="s">
        <v>518</v>
      </c>
      <c r="C19" s="32" t="s">
        <v>511</v>
      </c>
      <c r="D19" s="32" t="s">
        <v>513</v>
      </c>
      <c r="E19" s="32" t="s">
        <v>531</v>
      </c>
      <c r="F19" s="32" t="s">
        <v>111</v>
      </c>
      <c r="G19" s="32" t="s">
        <v>45</v>
      </c>
      <c r="H19" s="32" t="s">
        <v>519</v>
      </c>
      <c r="I19" t="s">
        <v>529</v>
      </c>
      <c r="J19" s="61" t="s">
        <v>530</v>
      </c>
    </row>
    <row r="20" spans="2:12" x14ac:dyDescent="0.2">
      <c r="B20" s="32" t="s">
        <v>394</v>
      </c>
      <c r="D20" s="32" t="s">
        <v>521</v>
      </c>
      <c r="E20" t="s">
        <v>285</v>
      </c>
      <c r="G20" t="s">
        <v>161</v>
      </c>
      <c r="H20" s="32" t="s">
        <v>522</v>
      </c>
      <c r="I20" s="32" t="s">
        <v>523</v>
      </c>
      <c r="J20" s="61">
        <v>2010</v>
      </c>
    </row>
    <row r="21" spans="2:12" s="63" customFormat="1" x14ac:dyDescent="0.2">
      <c r="B21" s="63" t="s">
        <v>532</v>
      </c>
      <c r="D21" s="63" t="s">
        <v>533</v>
      </c>
      <c r="E21" s="63" t="s">
        <v>536</v>
      </c>
      <c r="F21" s="63" t="s">
        <v>535</v>
      </c>
      <c r="G21" s="63" t="s">
        <v>177</v>
      </c>
      <c r="H21" s="63" t="s">
        <v>535</v>
      </c>
      <c r="I21" s="63" t="s">
        <v>534</v>
      </c>
      <c r="J21" s="64">
        <v>2009</v>
      </c>
    </row>
    <row r="22" spans="2:12" x14ac:dyDescent="0.2">
      <c r="B22" s="32" t="s">
        <v>537</v>
      </c>
      <c r="D22" s="32" t="s">
        <v>525</v>
      </c>
      <c r="E22" s="32" t="s">
        <v>539</v>
      </c>
      <c r="F22" s="32" t="s">
        <v>543</v>
      </c>
      <c r="G22" s="32" t="s">
        <v>177</v>
      </c>
      <c r="H22" s="32" t="s">
        <v>542</v>
      </c>
      <c r="I22" s="32" t="s">
        <v>540</v>
      </c>
      <c r="J22" s="62" t="s">
        <v>541</v>
      </c>
      <c r="K22" s="32" t="s">
        <v>538</v>
      </c>
    </row>
    <row r="23" spans="2:12" x14ac:dyDescent="0.2">
      <c r="B23" s="32" t="s">
        <v>408</v>
      </c>
      <c r="D23" s="32" t="s">
        <v>525</v>
      </c>
      <c r="E23" s="32" t="s">
        <v>546</v>
      </c>
      <c r="F23" s="32" t="s">
        <v>547</v>
      </c>
      <c r="G23" s="32" t="s">
        <v>177</v>
      </c>
      <c r="H23" s="32" t="s">
        <v>542</v>
      </c>
      <c r="I23" s="32" t="s">
        <v>545</v>
      </c>
      <c r="J23" s="62" t="s">
        <v>544</v>
      </c>
      <c r="K23" s="32" t="s">
        <v>409</v>
      </c>
    </row>
    <row r="24" spans="2:12" x14ac:dyDescent="0.2">
      <c r="B24" s="32" t="s">
        <v>408</v>
      </c>
      <c r="D24" s="32" t="s">
        <v>525</v>
      </c>
      <c r="E24" s="32" t="s">
        <v>28</v>
      </c>
      <c r="F24" s="32" t="s">
        <v>547</v>
      </c>
      <c r="G24" s="32" t="s">
        <v>177</v>
      </c>
      <c r="H24" s="32" t="s">
        <v>542</v>
      </c>
      <c r="I24" s="32" t="s">
        <v>556</v>
      </c>
      <c r="J24" s="62" t="s">
        <v>544</v>
      </c>
      <c r="K24" s="32" t="s">
        <v>409</v>
      </c>
    </row>
    <row r="25" spans="2:12" s="63" customFormat="1" x14ac:dyDescent="0.2">
      <c r="B25" s="63" t="s">
        <v>548</v>
      </c>
      <c r="D25" s="63" t="s">
        <v>525</v>
      </c>
      <c r="E25" s="63" t="s">
        <v>551</v>
      </c>
      <c r="F25" s="63" t="s">
        <v>535</v>
      </c>
      <c r="G25" s="63" t="s">
        <v>161</v>
      </c>
      <c r="H25" s="63" t="s">
        <v>542</v>
      </c>
      <c r="I25" s="63" t="s">
        <v>550</v>
      </c>
      <c r="J25" s="64" t="s">
        <v>549</v>
      </c>
    </row>
    <row r="26" spans="2:12" x14ac:dyDescent="0.2">
      <c r="B26" s="32" t="s">
        <v>552</v>
      </c>
      <c r="C26" s="32" t="s">
        <v>213</v>
      </c>
      <c r="D26" s="32" t="s">
        <v>553</v>
      </c>
      <c r="E26" s="32" t="s">
        <v>554</v>
      </c>
      <c r="F26" s="32" t="s">
        <v>555</v>
      </c>
      <c r="G26" s="32" t="s">
        <v>45</v>
      </c>
      <c r="H26" s="32" t="s">
        <v>502</v>
      </c>
    </row>
    <row r="27" spans="2:12" x14ac:dyDescent="0.2">
      <c r="B27" s="32" t="s">
        <v>256</v>
      </c>
      <c r="C27" s="32" t="s">
        <v>423</v>
      </c>
      <c r="D27" s="32" t="s">
        <v>525</v>
      </c>
      <c r="E27" s="32" t="s">
        <v>285</v>
      </c>
      <c r="G27" s="32" t="s">
        <v>45</v>
      </c>
      <c r="H27" s="32" t="s">
        <v>542</v>
      </c>
      <c r="I27" s="32" t="s">
        <v>557</v>
      </c>
      <c r="J27" s="62" t="s">
        <v>558</v>
      </c>
    </row>
    <row r="28" spans="2:12" x14ac:dyDescent="0.2">
      <c r="B28" s="32" t="s">
        <v>559</v>
      </c>
      <c r="C28" s="32" t="s">
        <v>560</v>
      </c>
      <c r="D28" s="32" t="s">
        <v>525</v>
      </c>
      <c r="E28" s="32" t="s">
        <v>285</v>
      </c>
      <c r="G28" s="32" t="s">
        <v>45</v>
      </c>
      <c r="H28" s="32" t="s">
        <v>542</v>
      </c>
      <c r="I28" s="32" t="s">
        <v>557</v>
      </c>
      <c r="J28" s="62" t="s">
        <v>558</v>
      </c>
    </row>
    <row r="29" spans="2:12" x14ac:dyDescent="0.2">
      <c r="B29" s="32" t="s">
        <v>562</v>
      </c>
      <c r="D29" s="32" t="s">
        <v>533</v>
      </c>
      <c r="E29" s="32" t="s">
        <v>563</v>
      </c>
      <c r="F29" s="32" t="s">
        <v>564</v>
      </c>
      <c r="G29" s="32" t="s">
        <v>161</v>
      </c>
      <c r="H29" s="32" t="s">
        <v>519</v>
      </c>
      <c r="I29" s="32" t="s">
        <v>565</v>
      </c>
      <c r="J29" s="62" t="s">
        <v>566</v>
      </c>
      <c r="L29" s="32" t="s">
        <v>561</v>
      </c>
    </row>
    <row r="30" spans="2:12" x14ac:dyDescent="0.2">
      <c r="B30" s="32" t="s">
        <v>175</v>
      </c>
      <c r="D30" s="32" t="s">
        <v>533</v>
      </c>
      <c r="E30" s="32" t="s">
        <v>554</v>
      </c>
      <c r="F30" s="32" t="s">
        <v>569</v>
      </c>
      <c r="G30" s="32" t="s">
        <v>177</v>
      </c>
      <c r="H30" s="32" t="s">
        <v>519</v>
      </c>
      <c r="I30" s="32" t="s">
        <v>567</v>
      </c>
      <c r="J30" s="62" t="s">
        <v>568</v>
      </c>
    </row>
    <row r="31" spans="2:12" x14ac:dyDescent="0.2">
      <c r="B31" s="13" t="s">
        <v>470</v>
      </c>
      <c r="C31" s="7" t="s">
        <v>158</v>
      </c>
      <c r="D31" s="6" t="s">
        <v>160</v>
      </c>
      <c r="E31" s="7" t="s">
        <v>85</v>
      </c>
      <c r="F31" s="26" t="s">
        <v>471</v>
      </c>
      <c r="G31" s="26" t="s">
        <v>162</v>
      </c>
      <c r="H31" s="26" t="s">
        <v>479</v>
      </c>
      <c r="I31" s="8" t="s">
        <v>282</v>
      </c>
    </row>
    <row r="32" spans="2:12" x14ac:dyDescent="0.2">
      <c r="B32" s="46" t="s">
        <v>424</v>
      </c>
      <c r="C32" s="7" t="s">
        <v>257</v>
      </c>
      <c r="D32" s="6">
        <v>1</v>
      </c>
      <c r="E32" s="26" t="s">
        <v>85</v>
      </c>
      <c r="F32" s="26" t="s">
        <v>161</v>
      </c>
      <c r="G32" s="26" t="s">
        <v>425</v>
      </c>
    </row>
    <row r="33" spans="2:8" x14ac:dyDescent="0.2">
      <c r="B33" s="46" t="s">
        <v>426</v>
      </c>
      <c r="C33" s="26" t="s">
        <v>257</v>
      </c>
      <c r="D33" s="6">
        <v>1</v>
      </c>
      <c r="E33" s="26" t="s">
        <v>427</v>
      </c>
      <c r="F33" s="26" t="s">
        <v>161</v>
      </c>
      <c r="G33" s="26" t="s">
        <v>428</v>
      </c>
    </row>
    <row r="34" spans="2:8" x14ac:dyDescent="0.2">
      <c r="B34" s="46" t="s">
        <v>394</v>
      </c>
      <c r="C34" s="7" t="s">
        <v>285</v>
      </c>
      <c r="D34" s="6">
        <v>1</v>
      </c>
      <c r="E34" s="7"/>
      <c r="F34" s="7" t="s">
        <v>177</v>
      </c>
      <c r="G34" s="26" t="s">
        <v>258</v>
      </c>
    </row>
    <row r="35" spans="2:8" x14ac:dyDescent="0.2">
      <c r="B35" s="5" t="s">
        <v>179</v>
      </c>
      <c r="C35" s="7" t="s">
        <v>32</v>
      </c>
      <c r="D35" s="6">
        <v>1</v>
      </c>
      <c r="E35" s="7" t="s">
        <v>85</v>
      </c>
      <c r="F35" s="7" t="s">
        <v>177</v>
      </c>
      <c r="G35" s="7" t="s">
        <v>280</v>
      </c>
      <c r="H35" s="7" t="s">
        <v>281</v>
      </c>
    </row>
    <row r="36" spans="2:8" x14ac:dyDescent="0.2">
      <c r="B36" s="13" t="s">
        <v>423</v>
      </c>
      <c r="C36" s="7" t="s">
        <v>257</v>
      </c>
      <c r="D36" s="6">
        <v>1</v>
      </c>
      <c r="E36" s="7" t="s">
        <v>85</v>
      </c>
      <c r="F36" s="26" t="s">
        <v>45</v>
      </c>
      <c r="G36" s="7" t="s">
        <v>258</v>
      </c>
      <c r="H36" s="42" t="s">
        <v>282</v>
      </c>
    </row>
    <row r="37" spans="2:8" x14ac:dyDescent="0.2">
      <c r="B37" s="5" t="s">
        <v>288</v>
      </c>
      <c r="C37" s="7" t="s">
        <v>176</v>
      </c>
      <c r="D37" s="6">
        <v>1</v>
      </c>
      <c r="E37" s="7"/>
      <c r="F37" s="7" t="s">
        <v>161</v>
      </c>
      <c r="G37" s="7"/>
      <c r="H37" s="8" t="s">
        <v>295</v>
      </c>
    </row>
    <row r="38" spans="2:8" x14ac:dyDescent="0.2">
      <c r="B38" s="5" t="s">
        <v>180</v>
      </c>
      <c r="C38" s="7"/>
      <c r="D38" s="6"/>
      <c r="E38" s="7"/>
      <c r="F38" s="7"/>
      <c r="G38" s="7" t="s">
        <v>181</v>
      </c>
      <c r="H38" s="8" t="s">
        <v>282</v>
      </c>
    </row>
    <row r="39" spans="2:8" x14ac:dyDescent="0.2">
      <c r="B39" s="5" t="s">
        <v>380</v>
      </c>
      <c r="C39" s="7" t="s">
        <v>176</v>
      </c>
      <c r="D39" s="6" t="s">
        <v>381</v>
      </c>
      <c r="E39" s="7" t="s">
        <v>82</v>
      </c>
      <c r="F39" s="7" t="s">
        <v>161</v>
      </c>
      <c r="G39" s="7" t="s">
        <v>382</v>
      </c>
      <c r="H39" s="8"/>
    </row>
    <row r="40" spans="2:8" x14ac:dyDescent="0.2">
      <c r="B40" s="1"/>
      <c r="C40" s="7"/>
      <c r="D40" s="6"/>
      <c r="E40" s="7"/>
      <c r="F40" s="7"/>
      <c r="G40" s="7"/>
      <c r="H40" s="7"/>
    </row>
    <row r="41" spans="2:8" x14ac:dyDescent="0.2">
      <c r="B41" s="1"/>
      <c r="C41" s="7"/>
      <c r="D41" s="6"/>
      <c r="E41" s="7"/>
      <c r="F41" s="7"/>
      <c r="G41" s="7"/>
      <c r="H41" s="7"/>
    </row>
    <row r="42" spans="2:8" x14ac:dyDescent="0.2">
      <c r="B42" s="32" t="s">
        <v>570</v>
      </c>
    </row>
    <row r="44" spans="2:8" x14ac:dyDescent="0.2">
      <c r="B44" s="14" t="s">
        <v>287</v>
      </c>
    </row>
    <row r="45" spans="2:8" x14ac:dyDescent="0.2">
      <c r="B45" s="1"/>
    </row>
    <row r="46" spans="2:8" x14ac:dyDescent="0.2">
      <c r="B46" s="1" t="s">
        <v>296</v>
      </c>
    </row>
    <row r="47" spans="2:8" x14ac:dyDescent="0.2">
      <c r="B47" s="1" t="s">
        <v>297</v>
      </c>
    </row>
    <row r="48" spans="2:8" x14ac:dyDescent="0.2">
      <c r="B48" s="1" t="s">
        <v>298</v>
      </c>
    </row>
    <row r="49" spans="2:2" x14ac:dyDescent="0.2">
      <c r="B49" s="23" t="s">
        <v>299</v>
      </c>
    </row>
    <row r="50" spans="2:2" x14ac:dyDescent="0.2">
      <c r="B50" s="1" t="s">
        <v>300</v>
      </c>
    </row>
    <row r="51" spans="2:2" x14ac:dyDescent="0.2">
      <c r="B51" s="1" t="s">
        <v>301</v>
      </c>
    </row>
    <row r="52" spans="2:2" x14ac:dyDescent="0.2">
      <c r="B52" s="1" t="s">
        <v>302</v>
      </c>
    </row>
    <row r="53" spans="2:2" x14ac:dyDescent="0.2">
      <c r="B53" s="1" t="s">
        <v>303</v>
      </c>
    </row>
    <row r="54" spans="2:2" x14ac:dyDescent="0.2">
      <c r="B54" s="23" t="s">
        <v>304</v>
      </c>
    </row>
    <row r="55" spans="2:2" x14ac:dyDescent="0.2">
      <c r="B55" s="1" t="s">
        <v>305</v>
      </c>
    </row>
    <row r="56" spans="2:2" x14ac:dyDescent="0.2">
      <c r="B56" s="1" t="s">
        <v>306</v>
      </c>
    </row>
    <row r="57" spans="2:2" x14ac:dyDescent="0.2">
      <c r="B57" s="1" t="s">
        <v>307</v>
      </c>
    </row>
    <row r="58" spans="2:2" x14ac:dyDescent="0.2">
      <c r="B58" s="1" t="s">
        <v>308</v>
      </c>
    </row>
    <row r="59" spans="2:2" x14ac:dyDescent="0.2">
      <c r="B59" s="1" t="s">
        <v>309</v>
      </c>
    </row>
    <row r="60" spans="2:2" x14ac:dyDescent="0.2">
      <c r="B60" s="1" t="s">
        <v>310</v>
      </c>
    </row>
    <row r="61" spans="2:2" x14ac:dyDescent="0.2">
      <c r="B61" s="1" t="s">
        <v>311</v>
      </c>
    </row>
    <row r="62" spans="2:2" x14ac:dyDescent="0.2">
      <c r="B62" s="1" t="s">
        <v>312</v>
      </c>
    </row>
    <row r="63" spans="2:2" x14ac:dyDescent="0.2">
      <c r="B63" s="1" t="s">
        <v>313</v>
      </c>
    </row>
    <row r="64" spans="2:2" x14ac:dyDescent="0.2">
      <c r="B64" s="1" t="s">
        <v>314</v>
      </c>
    </row>
    <row r="65" spans="2:2" x14ac:dyDescent="0.2">
      <c r="B65" s="1" t="s">
        <v>315</v>
      </c>
    </row>
    <row r="66" spans="2:2" x14ac:dyDescent="0.2">
      <c r="B66" s="1" t="s">
        <v>316</v>
      </c>
    </row>
    <row r="67" spans="2:2" x14ac:dyDescent="0.2">
      <c r="B67" s="1" t="s">
        <v>317</v>
      </c>
    </row>
    <row r="68" spans="2:2" x14ac:dyDescent="0.2">
      <c r="B68" s="1" t="s">
        <v>318</v>
      </c>
    </row>
    <row r="69" spans="2:2" x14ac:dyDescent="0.2">
      <c r="B69" s="1" t="s">
        <v>319</v>
      </c>
    </row>
    <row r="70" spans="2:2" x14ac:dyDescent="0.2">
      <c r="B70" s="1" t="s">
        <v>320</v>
      </c>
    </row>
    <row r="71" spans="2:2" x14ac:dyDescent="0.2">
      <c r="B71" s="1" t="s">
        <v>321</v>
      </c>
    </row>
    <row r="72" spans="2:2" x14ac:dyDescent="0.2">
      <c r="B72" s="1" t="s">
        <v>322</v>
      </c>
    </row>
    <row r="73" spans="2:2" x14ac:dyDescent="0.2">
      <c r="B73" s="1" t="s">
        <v>505</v>
      </c>
    </row>
  </sheetData>
  <hyperlinks>
    <hyperlink ref="A1" location="Main!A1" display="Main" xr:uid="{00000000-0004-0000-0000-000000000000}"/>
    <hyperlink ref="B3" location="Avapro!A1" display="Avapro (irbesartan)" xr:uid="{00000000-0004-0000-0100-00000B000000}"/>
    <hyperlink ref="B4" location="Sustiva!A1" display="Sustiva (efavirenz)" xr:uid="{00000000-0004-0000-0100-000009000000}"/>
    <hyperlink ref="B5" location="Reyataz!A1" display="Reyataz" xr:uid="{00000000-0004-0000-0100-000008000000}"/>
    <hyperlink ref="B6" location="ixabepilone!A1" display="Ixabepilone" xr:uid="{00000000-0004-0000-0100-000001000000}"/>
    <hyperlink ref="B7" location="Plavix!A1" display="Plavix" xr:uid="{00000000-0004-0000-0100-000003000000}"/>
    <hyperlink ref="B8" location="Abilify!A1" display="Abilify" xr:uid="{00000000-0004-0000-0100-000007000000}"/>
    <hyperlink ref="B44" location="Discontinuations!A1" display="Discontinuations" xr:uid="{00000000-0004-0000-0100-00000A000000}"/>
    <hyperlink ref="B31" location="dapagliflozin!A1" display="dapagliflozin" xr:uid="{00000000-0004-0000-0100-000006000000}"/>
    <hyperlink ref="B36" location="'790052'!A1" display="BMS-790052" xr:uid="{00000000-0004-0000-0100-00000C000000}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6</v>
      </c>
    </row>
    <row r="3" spans="1:3" x14ac:dyDescent="0.2">
      <c r="B3" s="1" t="s">
        <v>65</v>
      </c>
      <c r="C3" s="23" t="s">
        <v>275</v>
      </c>
    </row>
    <row r="4" spans="1:3" x14ac:dyDescent="0.2">
      <c r="B4" s="1" t="s">
        <v>1</v>
      </c>
      <c r="C4" s="23" t="s">
        <v>205</v>
      </c>
    </row>
    <row r="5" spans="1:3" x14ac:dyDescent="0.2">
      <c r="C5" s="23" t="s">
        <v>206</v>
      </c>
    </row>
    <row r="6" spans="1:3" x14ac:dyDescent="0.2">
      <c r="B6" s="1" t="s">
        <v>141</v>
      </c>
      <c r="C6" s="23" t="s">
        <v>204</v>
      </c>
    </row>
    <row r="7" spans="1:3" x14ac:dyDescent="0.2">
      <c r="B7" s="1" t="s">
        <v>201</v>
      </c>
      <c r="C7" s="23" t="s">
        <v>202</v>
      </c>
    </row>
    <row r="8" spans="1:3" x14ac:dyDescent="0.2">
      <c r="B8" s="1" t="s">
        <v>3</v>
      </c>
      <c r="C8" s="23" t="s">
        <v>203</v>
      </c>
    </row>
    <row r="9" spans="1:3" x14ac:dyDescent="0.2">
      <c r="B9" s="1" t="s">
        <v>4</v>
      </c>
      <c r="C9" s="1" t="s">
        <v>86</v>
      </c>
    </row>
    <row r="10" spans="1:3" x14ac:dyDescent="0.2">
      <c r="C10" s="1" t="s">
        <v>215</v>
      </c>
    </row>
    <row r="11" spans="1:3" x14ac:dyDescent="0.2">
      <c r="C11" s="1" t="s">
        <v>15</v>
      </c>
    </row>
    <row r="12" spans="1:3" x14ac:dyDescent="0.2">
      <c r="C12" s="1" t="s">
        <v>16</v>
      </c>
    </row>
    <row r="13" spans="1:3" x14ac:dyDescent="0.2">
      <c r="C13" s="1" t="s">
        <v>17</v>
      </c>
    </row>
    <row r="14" spans="1:3" x14ac:dyDescent="0.2">
      <c r="C14" s="1" t="s">
        <v>18</v>
      </c>
    </row>
    <row r="15" spans="1:3" x14ac:dyDescent="0.2">
      <c r="C15" s="1" t="s">
        <v>19</v>
      </c>
    </row>
    <row r="16" spans="1:3" x14ac:dyDescent="0.2">
      <c r="C16" s="1" t="s">
        <v>20</v>
      </c>
    </row>
    <row r="17" spans="2:3" x14ac:dyDescent="0.2">
      <c r="C17" s="1" t="s">
        <v>21</v>
      </c>
    </row>
    <row r="18" spans="2:3" x14ac:dyDescent="0.2">
      <c r="C18" s="1" t="s">
        <v>22</v>
      </c>
    </row>
    <row r="19" spans="2:3" x14ac:dyDescent="0.2">
      <c r="C19" s="1" t="s">
        <v>23</v>
      </c>
    </row>
    <row r="20" spans="2:3" x14ac:dyDescent="0.2">
      <c r="C20" s="1" t="s">
        <v>24</v>
      </c>
    </row>
    <row r="21" spans="2:3" x14ac:dyDescent="0.2">
      <c r="C21" s="1" t="s">
        <v>25</v>
      </c>
    </row>
    <row r="22" spans="2:3" x14ac:dyDescent="0.2">
      <c r="C22" s="1" t="s">
        <v>26</v>
      </c>
    </row>
    <row r="23" spans="2:3" x14ac:dyDescent="0.2">
      <c r="C23" s="1" t="s">
        <v>167</v>
      </c>
    </row>
    <row r="24" spans="2:3" x14ac:dyDescent="0.2">
      <c r="B24" s="23" t="s">
        <v>140</v>
      </c>
    </row>
    <row r="25" spans="2:3" x14ac:dyDescent="0.2">
      <c r="C25" s="17" t="s">
        <v>364</v>
      </c>
    </row>
    <row r="26" spans="2:3" x14ac:dyDescent="0.2">
      <c r="C26" s="23" t="s">
        <v>365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/>
  </sheetViews>
  <sheetFormatPr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5" x14ac:dyDescent="0.2">
      <c r="A1" s="14" t="s">
        <v>63</v>
      </c>
    </row>
    <row r="2" spans="1:5" x14ac:dyDescent="0.2">
      <c r="B2" s="1" t="s">
        <v>64</v>
      </c>
      <c r="C2" s="1" t="s">
        <v>8</v>
      </c>
    </row>
    <row r="3" spans="1:5" x14ac:dyDescent="0.2">
      <c r="B3" s="1" t="s">
        <v>1</v>
      </c>
      <c r="C3" s="1" t="s">
        <v>33</v>
      </c>
    </row>
    <row r="4" spans="1:5" x14ac:dyDescent="0.2">
      <c r="B4" s="1" t="s">
        <v>197</v>
      </c>
      <c r="C4" s="7"/>
      <c r="D4" s="7" t="s">
        <v>199</v>
      </c>
      <c r="E4" s="7" t="s">
        <v>198</v>
      </c>
    </row>
    <row r="5" spans="1:5" x14ac:dyDescent="0.2">
      <c r="C5" s="16">
        <v>39234</v>
      </c>
      <c r="D5" s="21">
        <v>99681</v>
      </c>
      <c r="E5" s="21">
        <v>53825</v>
      </c>
    </row>
    <row r="6" spans="1:5" x14ac:dyDescent="0.2">
      <c r="C6" s="16">
        <f>C5-7</f>
        <v>39227</v>
      </c>
      <c r="D6" s="21">
        <v>105466</v>
      </c>
      <c r="E6" s="21">
        <v>59149</v>
      </c>
    </row>
    <row r="7" spans="1:5" x14ac:dyDescent="0.2">
      <c r="C7" s="16">
        <f>C5-365</f>
        <v>38869</v>
      </c>
      <c r="D7" s="21">
        <v>90191</v>
      </c>
      <c r="E7" s="21">
        <v>48972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/>
  </sheetViews>
  <sheetFormatPr defaultRowHeight="12.75" x14ac:dyDescent="0.2"/>
  <cols>
    <col min="1" max="1" width="5" style="1" bestFit="1" customWidth="1"/>
    <col min="2" max="2" width="13.5703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9</v>
      </c>
    </row>
    <row r="3" spans="1:3" x14ac:dyDescent="0.2">
      <c r="B3" s="1" t="s">
        <v>65</v>
      </c>
      <c r="C3" s="1" t="s">
        <v>261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265</v>
      </c>
    </row>
    <row r="6" spans="1:3" x14ac:dyDescent="0.2">
      <c r="B6" s="1" t="s">
        <v>263</v>
      </c>
      <c r="C6" s="1" t="s">
        <v>264</v>
      </c>
    </row>
    <row r="7" spans="1:3" x14ac:dyDescent="0.2">
      <c r="B7" s="1" t="s">
        <v>3</v>
      </c>
      <c r="C7" s="1" t="s">
        <v>268</v>
      </c>
    </row>
    <row r="8" spans="1:3" x14ac:dyDescent="0.2">
      <c r="B8" s="1" t="s">
        <v>266</v>
      </c>
      <c r="C8" s="1" t="s">
        <v>267</v>
      </c>
    </row>
    <row r="9" spans="1:3" x14ac:dyDescent="0.2">
      <c r="B9" s="1" t="s">
        <v>140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8"/>
  <sheetViews>
    <sheetView workbookViewId="0"/>
  </sheetViews>
  <sheetFormatPr defaultRowHeight="12.75" x14ac:dyDescent="0.2"/>
  <cols>
    <col min="1" max="1" width="5" style="1" bestFit="1" customWidth="1"/>
    <col min="2" max="2" width="12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118</v>
      </c>
    </row>
    <row r="3" spans="1:3" x14ac:dyDescent="0.2">
      <c r="B3" s="1" t="s">
        <v>65</v>
      </c>
      <c r="C3" s="1" t="s">
        <v>77</v>
      </c>
    </row>
    <row r="4" spans="1:3" x14ac:dyDescent="0.2">
      <c r="B4" s="1" t="s">
        <v>1</v>
      </c>
      <c r="C4" s="1" t="s">
        <v>125</v>
      </c>
    </row>
    <row r="5" spans="1:3" x14ac:dyDescent="0.2">
      <c r="B5" s="1" t="s">
        <v>3</v>
      </c>
      <c r="C5" s="1" t="s">
        <v>134</v>
      </c>
    </row>
    <row r="6" spans="1:3" x14ac:dyDescent="0.2">
      <c r="B6" s="1" t="s">
        <v>126</v>
      </c>
      <c r="C6" s="1" t="s">
        <v>127</v>
      </c>
    </row>
    <row r="7" spans="1:3" x14ac:dyDescent="0.2">
      <c r="B7" s="1" t="s">
        <v>123</v>
      </c>
      <c r="C7" s="1" t="s">
        <v>124</v>
      </c>
    </row>
    <row r="8" spans="1:3" x14ac:dyDescent="0.2">
      <c r="B8" s="23" t="s">
        <v>4</v>
      </c>
      <c r="C8" s="23" t="s">
        <v>388</v>
      </c>
    </row>
    <row r="9" spans="1:3" x14ac:dyDescent="0.2">
      <c r="B9" s="1" t="s">
        <v>78</v>
      </c>
      <c r="C9" s="1" t="s">
        <v>135</v>
      </c>
    </row>
    <row r="11" spans="1:3" x14ac:dyDescent="0.2">
      <c r="C11" s="17" t="s">
        <v>389</v>
      </c>
    </row>
    <row r="12" spans="1:3" x14ac:dyDescent="0.2">
      <c r="C12" s="23" t="s">
        <v>390</v>
      </c>
    </row>
    <row r="14" spans="1:3" x14ac:dyDescent="0.2">
      <c r="C14" s="17" t="s">
        <v>41</v>
      </c>
    </row>
    <row r="15" spans="1:3" x14ac:dyDescent="0.2">
      <c r="C15" s="1" t="s">
        <v>38</v>
      </c>
    </row>
    <row r="16" spans="1:3" x14ac:dyDescent="0.2">
      <c r="C16" s="1" t="s">
        <v>39</v>
      </c>
    </row>
    <row r="17" spans="3:3" x14ac:dyDescent="0.2">
      <c r="C17" s="1" t="s">
        <v>40</v>
      </c>
    </row>
    <row r="19" spans="3:3" x14ac:dyDescent="0.2">
      <c r="C19" s="17" t="s">
        <v>130</v>
      </c>
    </row>
    <row r="20" spans="3:3" x14ac:dyDescent="0.2">
      <c r="C20" s="1" t="s">
        <v>46</v>
      </c>
    </row>
    <row r="21" spans="3:3" x14ac:dyDescent="0.2">
      <c r="C21" s="1" t="s">
        <v>49</v>
      </c>
    </row>
    <row r="22" spans="3:3" x14ac:dyDescent="0.2">
      <c r="C22" s="1" t="s">
        <v>50</v>
      </c>
    </row>
    <row r="24" spans="3:3" x14ac:dyDescent="0.2">
      <c r="C24" s="17" t="s">
        <v>131</v>
      </c>
    </row>
    <row r="25" spans="3:3" x14ac:dyDescent="0.2">
      <c r="C25" s="1" t="s">
        <v>79</v>
      </c>
    </row>
    <row r="26" spans="3:3" x14ac:dyDescent="0.2">
      <c r="C26" s="1" t="s">
        <v>51</v>
      </c>
    </row>
    <row r="27" spans="3:3" x14ac:dyDescent="0.2">
      <c r="C27" s="1" t="s">
        <v>52</v>
      </c>
    </row>
    <row r="29" spans="3:3" x14ac:dyDescent="0.2">
      <c r="C29" s="1" t="s">
        <v>48</v>
      </c>
    </row>
    <row r="31" spans="3:3" x14ac:dyDescent="0.2">
      <c r="C31" s="1" t="s">
        <v>47</v>
      </c>
    </row>
    <row r="33" spans="3:3" x14ac:dyDescent="0.2">
      <c r="C33" s="1" t="s">
        <v>59</v>
      </c>
    </row>
    <row r="34" spans="3:3" x14ac:dyDescent="0.2">
      <c r="C34" s="1" t="s">
        <v>60</v>
      </c>
    </row>
    <row r="35" spans="3:3" x14ac:dyDescent="0.2">
      <c r="C35" s="1" t="s">
        <v>61</v>
      </c>
    </row>
    <row r="37" spans="3:3" x14ac:dyDescent="0.2">
      <c r="C37" s="1" t="s">
        <v>80</v>
      </c>
    </row>
    <row r="38" spans="3:3" x14ac:dyDescent="0.2">
      <c r="C38" s="1" t="s">
        <v>81</v>
      </c>
    </row>
    <row r="40" spans="3:3" x14ac:dyDescent="0.2">
      <c r="C40" s="17" t="s">
        <v>119</v>
      </c>
    </row>
    <row r="42" spans="3:3" x14ac:dyDescent="0.2">
      <c r="C42" s="17" t="s">
        <v>120</v>
      </c>
    </row>
    <row r="44" spans="3:3" x14ac:dyDescent="0.2">
      <c r="C44" s="17" t="s">
        <v>121</v>
      </c>
    </row>
    <row r="46" spans="3:3" x14ac:dyDescent="0.2">
      <c r="C46" s="17" t="s">
        <v>122</v>
      </c>
    </row>
    <row r="48" spans="3:3" x14ac:dyDescent="0.2">
      <c r="C48" s="17" t="s">
        <v>128</v>
      </c>
    </row>
    <row r="50" spans="3:3" x14ac:dyDescent="0.2">
      <c r="C50" s="17" t="s">
        <v>129</v>
      </c>
    </row>
    <row r="52" spans="3:3" x14ac:dyDescent="0.2">
      <c r="C52" s="17" t="s">
        <v>132</v>
      </c>
    </row>
    <row r="54" spans="3:3" x14ac:dyDescent="0.2">
      <c r="C54" s="17" t="s">
        <v>133</v>
      </c>
    </row>
    <row r="57" spans="3:3" x14ac:dyDescent="0.2">
      <c r="C57" s="17" t="s">
        <v>224</v>
      </c>
    </row>
    <row r="58" spans="3:3" x14ac:dyDescent="0.2">
      <c r="C58" s="1" t="s">
        <v>225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C15" sqref="C15"/>
    </sheetView>
  </sheetViews>
  <sheetFormatPr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10</v>
      </c>
    </row>
    <row r="3" spans="1:3" x14ac:dyDescent="0.2">
      <c r="B3" s="1" t="s">
        <v>65</v>
      </c>
      <c r="C3" s="1" t="s">
        <v>219</v>
      </c>
    </row>
    <row r="4" spans="1:3" x14ac:dyDescent="0.2">
      <c r="B4" s="1" t="s">
        <v>151</v>
      </c>
      <c r="C4" s="1" t="s">
        <v>220</v>
      </c>
    </row>
    <row r="5" spans="1:3" x14ac:dyDescent="0.2">
      <c r="B5" s="1" t="s">
        <v>140</v>
      </c>
    </row>
    <row r="6" spans="1:3" x14ac:dyDescent="0.2">
      <c r="C6" s="17" t="s">
        <v>234</v>
      </c>
    </row>
    <row r="7" spans="1:3" x14ac:dyDescent="0.2">
      <c r="C7" s="23" t="s">
        <v>232</v>
      </c>
    </row>
    <row r="8" spans="1:3" x14ac:dyDescent="0.2">
      <c r="C8" s="23" t="s">
        <v>233</v>
      </c>
    </row>
    <row r="10" spans="1:3" x14ac:dyDescent="0.2">
      <c r="C10" s="17" t="s">
        <v>222</v>
      </c>
    </row>
    <row r="11" spans="1:3" x14ac:dyDescent="0.2">
      <c r="C11" s="1" t="s">
        <v>221</v>
      </c>
    </row>
    <row r="13" spans="1:3" x14ac:dyDescent="0.2">
      <c r="C13" s="17" t="s">
        <v>235</v>
      </c>
    </row>
    <row r="14" spans="1:3" x14ac:dyDescent="0.2">
      <c r="C14" s="1" t="s">
        <v>237</v>
      </c>
    </row>
    <row r="15" spans="1:3" x14ac:dyDescent="0.2">
      <c r="C15" s="1" t="s">
        <v>236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t="s">
        <v>64</v>
      </c>
      <c r="C2" t="s">
        <v>356</v>
      </c>
    </row>
    <row r="3" spans="1:3" x14ac:dyDescent="0.2">
      <c r="B3" t="s">
        <v>65</v>
      </c>
      <c r="C3" t="s">
        <v>248</v>
      </c>
    </row>
    <row r="4" spans="1:3" x14ac:dyDescent="0.2">
      <c r="B4" t="s">
        <v>357</v>
      </c>
      <c r="C4" s="32" t="s">
        <v>366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6" sqref="C6"/>
    </sheetView>
  </sheetViews>
  <sheetFormatPr defaultRowHeight="12.75" x14ac:dyDescent="0.2"/>
  <cols>
    <col min="1" max="1" width="5" style="1" bestFit="1" customWidth="1"/>
    <col min="2" max="2" width="13.5703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90</v>
      </c>
    </row>
    <row r="3" spans="1:3" x14ac:dyDescent="0.2">
      <c r="B3" s="1" t="s">
        <v>65</v>
      </c>
      <c r="C3" s="1" t="s">
        <v>270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273</v>
      </c>
    </row>
    <row r="6" spans="1:3" x14ac:dyDescent="0.2">
      <c r="B6" s="1" t="s">
        <v>263</v>
      </c>
    </row>
    <row r="7" spans="1:3" x14ac:dyDescent="0.2">
      <c r="B7" s="1" t="s">
        <v>151</v>
      </c>
    </row>
    <row r="8" spans="1:3" x14ac:dyDescent="0.2">
      <c r="B8" s="1" t="s">
        <v>3</v>
      </c>
    </row>
    <row r="9" spans="1:3" x14ac:dyDescent="0.2">
      <c r="B9" s="1" t="s">
        <v>110</v>
      </c>
      <c r="C9" s="1" t="s">
        <v>272</v>
      </c>
    </row>
    <row r="10" spans="1:3" x14ac:dyDescent="0.2">
      <c r="B10" s="1" t="s">
        <v>266</v>
      </c>
    </row>
    <row r="11" spans="1:3" x14ac:dyDescent="0.2">
      <c r="B11" s="1" t="s">
        <v>140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1"/>
  <sheetViews>
    <sheetView zoomScale="125" workbookViewId="0">
      <selection activeCell="H18" sqref="H18"/>
    </sheetView>
  </sheetViews>
  <sheetFormatPr defaultRowHeight="12.75" x14ac:dyDescent="0.2"/>
  <cols>
    <col min="1" max="1" width="5" style="1" bestFit="1" customWidth="1"/>
    <col min="2" max="2" width="13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3" t="s">
        <v>473</v>
      </c>
    </row>
    <row r="3" spans="1:3" x14ac:dyDescent="0.2">
      <c r="B3" s="1" t="s">
        <v>65</v>
      </c>
      <c r="C3" s="23" t="s">
        <v>470</v>
      </c>
    </row>
    <row r="4" spans="1:3" x14ac:dyDescent="0.2">
      <c r="B4" s="1" t="s">
        <v>151</v>
      </c>
      <c r="C4" s="1" t="s">
        <v>160</v>
      </c>
    </row>
    <row r="5" spans="1:3" x14ac:dyDescent="0.2">
      <c r="B5" s="23" t="s">
        <v>141</v>
      </c>
      <c r="C5" s="23" t="s">
        <v>475</v>
      </c>
    </row>
    <row r="6" spans="1:3" x14ac:dyDescent="0.2">
      <c r="B6" s="23" t="s">
        <v>357</v>
      </c>
      <c r="C6" s="23" t="s">
        <v>474</v>
      </c>
    </row>
    <row r="7" spans="1:3" x14ac:dyDescent="0.2">
      <c r="B7" s="23" t="s">
        <v>123</v>
      </c>
      <c r="C7" s="23" t="s">
        <v>476</v>
      </c>
    </row>
    <row r="8" spans="1:3" x14ac:dyDescent="0.2">
      <c r="B8" s="23"/>
      <c r="C8" s="23" t="s">
        <v>478</v>
      </c>
    </row>
    <row r="9" spans="1:3" x14ac:dyDescent="0.2">
      <c r="B9" s="23"/>
      <c r="C9" s="23" t="s">
        <v>477</v>
      </c>
    </row>
    <row r="10" spans="1:3" x14ac:dyDescent="0.2">
      <c r="B10" s="1" t="s">
        <v>140</v>
      </c>
    </row>
    <row r="11" spans="1:3" x14ac:dyDescent="0.2">
      <c r="C11" s="17" t="s">
        <v>353</v>
      </c>
    </row>
    <row r="12" spans="1:3" x14ac:dyDescent="0.2">
      <c r="C12" s="23" t="s">
        <v>354</v>
      </c>
    </row>
    <row r="13" spans="1:3" x14ac:dyDescent="0.2">
      <c r="C13" s="23" t="s">
        <v>355</v>
      </c>
    </row>
    <row r="14" spans="1:3" x14ac:dyDescent="0.2">
      <c r="C14" s="23"/>
    </row>
    <row r="15" spans="1:3" x14ac:dyDescent="0.2">
      <c r="C15" s="17" t="s">
        <v>227</v>
      </c>
    </row>
    <row r="16" spans="1:3" x14ac:dyDescent="0.2">
      <c r="C16" s="1" t="s">
        <v>228</v>
      </c>
    </row>
    <row r="18" spans="3:3" x14ac:dyDescent="0.2">
      <c r="C18" s="17" t="s">
        <v>349</v>
      </c>
    </row>
    <row r="19" spans="3:3" x14ac:dyDescent="0.2">
      <c r="C19" s="31" t="s">
        <v>350</v>
      </c>
    </row>
    <row r="20" spans="3:3" x14ac:dyDescent="0.2">
      <c r="C20" s="23" t="s">
        <v>351</v>
      </c>
    </row>
    <row r="21" spans="3:3" x14ac:dyDescent="0.2">
      <c r="C21" s="23" t="s">
        <v>352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"/>
  <sheetViews>
    <sheetView workbookViewId="0"/>
  </sheetViews>
  <sheetFormatPr defaultRowHeight="12.75" x14ac:dyDescent="0.2"/>
  <cols>
    <col min="1" max="1" width="5" style="1" bestFit="1" customWidth="1"/>
    <col min="2" max="2" width="14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190</v>
      </c>
    </row>
    <row r="3" spans="1:3" x14ac:dyDescent="0.2">
      <c r="B3" s="1" t="s">
        <v>65</v>
      </c>
      <c r="C3" s="1" t="s">
        <v>187</v>
      </c>
    </row>
    <row r="4" spans="1:3" x14ac:dyDescent="0.2">
      <c r="B4" s="1" t="s">
        <v>1</v>
      </c>
      <c r="C4" s="1" t="s">
        <v>188</v>
      </c>
    </row>
    <row r="5" spans="1:3" x14ac:dyDescent="0.2">
      <c r="B5" s="1" t="s">
        <v>141</v>
      </c>
      <c r="C5" s="1" t="s">
        <v>189</v>
      </c>
    </row>
    <row r="6" spans="1:3" x14ac:dyDescent="0.2">
      <c r="C6" s="1" t="s">
        <v>34</v>
      </c>
    </row>
    <row r="7" spans="1:3" x14ac:dyDescent="0.2">
      <c r="C7" s="1" t="s">
        <v>54</v>
      </c>
    </row>
    <row r="8" spans="1:3" x14ac:dyDescent="0.2">
      <c r="B8" s="1" t="s">
        <v>140</v>
      </c>
    </row>
    <row r="9" spans="1:3" x14ac:dyDescent="0.2">
      <c r="C9" s="22" t="s">
        <v>35</v>
      </c>
    </row>
    <row r="10" spans="1:3" x14ac:dyDescent="0.2">
      <c r="C10" s="1" t="s">
        <v>36</v>
      </c>
    </row>
    <row r="11" spans="1:3" x14ac:dyDescent="0.2">
      <c r="C11" s="1" t="s">
        <v>37</v>
      </c>
    </row>
    <row r="12" spans="1:3" x14ac:dyDescent="0.2">
      <c r="C12" s="1" t="s">
        <v>53</v>
      </c>
    </row>
    <row r="14" spans="1:3" x14ac:dyDescent="0.2">
      <c r="C14" s="17" t="s">
        <v>191</v>
      </c>
    </row>
    <row r="15" spans="1:3" x14ac:dyDescent="0.2">
      <c r="C15" s="1" t="s">
        <v>192</v>
      </c>
    </row>
    <row r="17" spans="3:3" x14ac:dyDescent="0.2">
      <c r="C17" s="1" t="s">
        <v>55</v>
      </c>
    </row>
    <row r="18" spans="3:3" x14ac:dyDescent="0.2">
      <c r="C18" s="1" t="s">
        <v>56</v>
      </c>
    </row>
    <row r="19" spans="3:3" x14ac:dyDescent="0.2">
      <c r="C19" s="1" t="s">
        <v>57</v>
      </c>
    </row>
    <row r="20" spans="3:3" x14ac:dyDescent="0.2">
      <c r="C20" s="1" t="s">
        <v>58</v>
      </c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1"/>
  <sheetViews>
    <sheetView workbookViewId="0"/>
  </sheetViews>
  <sheetFormatPr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256</v>
      </c>
    </row>
    <row r="3" spans="1:3" x14ac:dyDescent="0.2">
      <c r="B3" s="1" t="s">
        <v>1</v>
      </c>
      <c r="C3" s="1" t="s">
        <v>257</v>
      </c>
    </row>
    <row r="4" spans="1:3" x14ac:dyDescent="0.2">
      <c r="B4" s="1" t="s">
        <v>141</v>
      </c>
      <c r="C4" s="1" t="s">
        <v>258</v>
      </c>
    </row>
    <row r="5" spans="1:3" x14ac:dyDescent="0.2">
      <c r="B5" s="1" t="s">
        <v>140</v>
      </c>
    </row>
    <row r="6" spans="1:3" x14ac:dyDescent="0.2">
      <c r="C6" s="17" t="s">
        <v>379</v>
      </c>
    </row>
    <row r="7" spans="1:3" x14ac:dyDescent="0.2">
      <c r="C7" s="23" t="s">
        <v>377</v>
      </c>
    </row>
    <row r="8" spans="1:3" x14ac:dyDescent="0.2">
      <c r="C8" s="23" t="s">
        <v>378</v>
      </c>
    </row>
    <row r="10" spans="1:3" x14ac:dyDescent="0.2">
      <c r="C10" s="17" t="s">
        <v>259</v>
      </c>
    </row>
    <row r="11" spans="1:3" x14ac:dyDescent="0.2">
      <c r="C11" s="1" t="s">
        <v>260</v>
      </c>
    </row>
  </sheetData>
  <phoneticPr fontId="2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9"/>
  <sheetViews>
    <sheetView zoomScale="145" zoomScaleNormal="145" workbookViewId="0">
      <selection activeCell="K3" sqref="K3"/>
    </sheetView>
  </sheetViews>
  <sheetFormatPr defaultRowHeight="12.75" x14ac:dyDescent="0.2"/>
  <cols>
    <col min="1" max="1" width="2.42578125" style="1" customWidth="1"/>
    <col min="2" max="2" width="24.42578125" style="1" customWidth="1"/>
    <col min="3" max="3" width="22.28515625" style="1" bestFit="1" customWidth="1"/>
    <col min="4" max="4" width="11.28515625" style="1" bestFit="1" customWidth="1"/>
    <col min="5" max="5" width="6.28515625" style="1" bestFit="1" customWidth="1"/>
    <col min="6" max="6" width="14.5703125" style="1" customWidth="1"/>
    <col min="7" max="7" width="20.28515625" style="1" bestFit="1" customWidth="1"/>
    <col min="8" max="8" width="9" style="1" customWidth="1"/>
    <col min="9" max="9" width="2.7109375" style="1" customWidth="1"/>
    <col min="10" max="10" width="8" style="1" customWidth="1"/>
    <col min="11" max="11" width="8.28515625" style="1" customWidth="1"/>
    <col min="12" max="12" width="7.28515625" style="1" customWidth="1"/>
    <col min="13" max="16384" width="9.140625" style="1"/>
  </cols>
  <sheetData>
    <row r="1" spans="1:12" x14ac:dyDescent="0.2">
      <c r="A1" s="23"/>
    </row>
    <row r="2" spans="1:12" x14ac:dyDescent="0.2">
      <c r="B2" s="2" t="s">
        <v>0</v>
      </c>
      <c r="C2" s="3" t="s">
        <v>1</v>
      </c>
      <c r="D2" s="3" t="s">
        <v>2</v>
      </c>
      <c r="E2" s="3" t="s">
        <v>83</v>
      </c>
      <c r="F2" s="3" t="s">
        <v>110</v>
      </c>
      <c r="G2" s="60" t="s">
        <v>141</v>
      </c>
      <c r="H2" s="4" t="s">
        <v>4</v>
      </c>
      <c r="J2" s="1" t="s">
        <v>78</v>
      </c>
      <c r="K2" s="24">
        <v>75</v>
      </c>
    </row>
    <row r="3" spans="1:12" x14ac:dyDescent="0.2">
      <c r="B3" s="13" t="s">
        <v>43</v>
      </c>
      <c r="C3" s="26" t="s">
        <v>406</v>
      </c>
      <c r="D3" s="6">
        <v>1</v>
      </c>
      <c r="E3" s="6" t="s">
        <v>82</v>
      </c>
      <c r="F3" s="16">
        <v>38709</v>
      </c>
      <c r="G3" s="26" t="s">
        <v>646</v>
      </c>
      <c r="H3" s="8" t="s">
        <v>295</v>
      </c>
      <c r="J3" s="1" t="s">
        <v>109</v>
      </c>
      <c r="K3" s="25">
        <v>2135.2551579999999</v>
      </c>
      <c r="L3" s="33" t="s">
        <v>611</v>
      </c>
    </row>
    <row r="4" spans="1:12" x14ac:dyDescent="0.2">
      <c r="B4" s="73" t="s">
        <v>620</v>
      </c>
      <c r="C4" s="26" t="s">
        <v>493</v>
      </c>
      <c r="D4" s="6"/>
      <c r="E4" s="27" t="s">
        <v>85</v>
      </c>
      <c r="F4" s="16">
        <v>38713</v>
      </c>
      <c r="G4" s="26" t="s">
        <v>662</v>
      </c>
      <c r="H4" s="8"/>
      <c r="J4" s="1" t="s">
        <v>193</v>
      </c>
      <c r="K4" s="25">
        <f>K2*K3</f>
        <v>160144.13685000001</v>
      </c>
    </row>
    <row r="5" spans="1:12" x14ac:dyDescent="0.2">
      <c r="B5" s="13" t="s">
        <v>636</v>
      </c>
      <c r="C5" s="26" t="s">
        <v>176</v>
      </c>
      <c r="D5" s="27" t="s">
        <v>409</v>
      </c>
      <c r="E5" s="26" t="s">
        <v>82</v>
      </c>
      <c r="F5" s="45">
        <v>41995</v>
      </c>
      <c r="G5" s="26" t="s">
        <v>645</v>
      </c>
      <c r="H5" s="42" t="s">
        <v>295</v>
      </c>
      <c r="J5" s="1" t="s">
        <v>194</v>
      </c>
      <c r="K5" s="25">
        <v>13228</v>
      </c>
      <c r="L5" s="33" t="s">
        <v>611</v>
      </c>
    </row>
    <row r="6" spans="1:12" x14ac:dyDescent="0.2">
      <c r="B6" s="13" t="s">
        <v>638</v>
      </c>
      <c r="C6" s="26" t="s">
        <v>418</v>
      </c>
      <c r="D6" s="27" t="s">
        <v>640</v>
      </c>
      <c r="E6" s="26" t="s">
        <v>82</v>
      </c>
      <c r="F6" s="45">
        <v>42338</v>
      </c>
      <c r="G6" s="26" t="s">
        <v>644</v>
      </c>
      <c r="H6" s="42" t="s">
        <v>295</v>
      </c>
      <c r="J6" s="1" t="s">
        <v>195</v>
      </c>
      <c r="K6" s="25">
        <v>42060</v>
      </c>
      <c r="L6" s="33" t="s">
        <v>611</v>
      </c>
    </row>
    <row r="7" spans="1:12" x14ac:dyDescent="0.2">
      <c r="B7" s="73" t="s">
        <v>633</v>
      </c>
      <c r="C7" s="26" t="s">
        <v>668</v>
      </c>
      <c r="D7" s="27" t="s">
        <v>634</v>
      </c>
      <c r="E7" s="27" t="s">
        <v>82</v>
      </c>
      <c r="F7" s="16">
        <v>43777</v>
      </c>
      <c r="G7" s="26" t="s">
        <v>663</v>
      </c>
      <c r="H7" s="8"/>
      <c r="J7" s="1" t="s">
        <v>196</v>
      </c>
      <c r="K7" s="25">
        <f>K4-K5+K6</f>
        <v>188976.13685000001</v>
      </c>
      <c r="L7" s="28"/>
    </row>
    <row r="8" spans="1:12" x14ac:dyDescent="0.2">
      <c r="B8" s="73" t="s">
        <v>647</v>
      </c>
      <c r="C8" s="26" t="s">
        <v>493</v>
      </c>
      <c r="D8" s="6"/>
      <c r="E8" s="27" t="s">
        <v>85</v>
      </c>
      <c r="F8" s="16">
        <v>41313</v>
      </c>
      <c r="G8" s="26" t="s">
        <v>662</v>
      </c>
      <c r="H8" s="8"/>
      <c r="K8" s="25"/>
      <c r="L8" s="30"/>
    </row>
    <row r="9" spans="1:12" x14ac:dyDescent="0.2">
      <c r="B9" s="73" t="s">
        <v>676</v>
      </c>
      <c r="C9" s="26" t="s">
        <v>677</v>
      </c>
      <c r="D9" s="6"/>
      <c r="E9" s="27" t="s">
        <v>85</v>
      </c>
      <c r="F9" s="16"/>
      <c r="G9" s="26" t="s">
        <v>678</v>
      </c>
      <c r="H9" s="8"/>
      <c r="K9" s="25"/>
      <c r="L9" s="30"/>
    </row>
    <row r="10" spans="1:12" x14ac:dyDescent="0.2">
      <c r="B10" s="46" t="s">
        <v>656</v>
      </c>
      <c r="C10" s="26" t="s">
        <v>28</v>
      </c>
      <c r="E10" s="26" t="s">
        <v>669</v>
      </c>
      <c r="G10" s="26" t="s">
        <v>664</v>
      </c>
      <c r="H10" s="86"/>
    </row>
    <row r="11" spans="1:12" x14ac:dyDescent="0.2">
      <c r="B11" s="46" t="s">
        <v>623</v>
      </c>
      <c r="C11" s="26" t="s">
        <v>493</v>
      </c>
      <c r="E11" s="26" t="s">
        <v>82</v>
      </c>
      <c r="G11" s="26" t="s">
        <v>686</v>
      </c>
      <c r="H11" s="86"/>
    </row>
    <row r="12" spans="1:12" x14ac:dyDescent="0.2">
      <c r="B12" s="46" t="s">
        <v>658</v>
      </c>
      <c r="C12" s="26" t="s">
        <v>659</v>
      </c>
      <c r="E12" s="26" t="s">
        <v>85</v>
      </c>
      <c r="G12" s="26" t="s">
        <v>681</v>
      </c>
      <c r="H12" s="86"/>
      <c r="J12" s="23" t="s">
        <v>660</v>
      </c>
    </row>
    <row r="13" spans="1:12" x14ac:dyDescent="0.2">
      <c r="B13" s="13" t="s">
        <v>42</v>
      </c>
      <c r="C13" s="7" t="s">
        <v>62</v>
      </c>
      <c r="D13" s="6">
        <v>1</v>
      </c>
      <c r="E13" s="6" t="s">
        <v>85</v>
      </c>
      <c r="F13" s="16">
        <v>38896</v>
      </c>
      <c r="G13" s="7" t="s">
        <v>114</v>
      </c>
      <c r="H13" s="8" t="s">
        <v>282</v>
      </c>
      <c r="J13" s="23" t="s">
        <v>670</v>
      </c>
    </row>
    <row r="14" spans="1:12" x14ac:dyDescent="0.2">
      <c r="B14" s="46" t="s">
        <v>657</v>
      </c>
      <c r="E14" s="26" t="s">
        <v>82</v>
      </c>
      <c r="G14" s="26" t="s">
        <v>661</v>
      </c>
      <c r="H14" s="86"/>
      <c r="J14" s="23" t="s">
        <v>671</v>
      </c>
    </row>
    <row r="15" spans="1:12" x14ac:dyDescent="0.2">
      <c r="B15" s="13" t="s">
        <v>223</v>
      </c>
      <c r="C15" s="7" t="s">
        <v>31</v>
      </c>
      <c r="D15" s="27" t="s">
        <v>383</v>
      </c>
      <c r="E15" s="6" t="s">
        <v>82</v>
      </c>
      <c r="F15" s="16">
        <v>38029</v>
      </c>
      <c r="G15" s="7" t="s">
        <v>112</v>
      </c>
      <c r="H15" s="8" t="s">
        <v>294</v>
      </c>
      <c r="J15" s="23" t="s">
        <v>672</v>
      </c>
    </row>
    <row r="16" spans="1:12" x14ac:dyDescent="0.2">
      <c r="B16" s="43" t="s">
        <v>84</v>
      </c>
      <c r="C16" s="7" t="s">
        <v>12</v>
      </c>
      <c r="D16" s="6">
        <v>1</v>
      </c>
      <c r="E16" s="6" t="s">
        <v>85</v>
      </c>
      <c r="F16" s="16">
        <v>38501</v>
      </c>
      <c r="G16" s="7" t="s">
        <v>115</v>
      </c>
      <c r="H16" s="8">
        <v>2015</v>
      </c>
    </row>
    <row r="17" spans="2:8" x14ac:dyDescent="0.2">
      <c r="B17" s="13" t="s">
        <v>405</v>
      </c>
      <c r="C17" s="26" t="s">
        <v>174</v>
      </c>
      <c r="D17" s="27" t="s">
        <v>218</v>
      </c>
      <c r="E17" s="27" t="s">
        <v>85</v>
      </c>
      <c r="F17" s="45">
        <v>41464</v>
      </c>
      <c r="G17" s="26" t="s">
        <v>111</v>
      </c>
      <c r="H17" s="42"/>
    </row>
    <row r="18" spans="2:8" x14ac:dyDescent="0.2">
      <c r="B18" s="73" t="s">
        <v>687</v>
      </c>
      <c r="C18" s="26" t="s">
        <v>667</v>
      </c>
      <c r="D18" s="27"/>
      <c r="E18" s="27" t="s">
        <v>85</v>
      </c>
      <c r="F18" s="45">
        <v>44813</v>
      </c>
      <c r="G18" s="26" t="s">
        <v>682</v>
      </c>
      <c r="H18" s="18"/>
    </row>
    <row r="19" spans="2:8" x14ac:dyDescent="0.2">
      <c r="B19" s="87" t="s">
        <v>416</v>
      </c>
      <c r="C19" s="10" t="s">
        <v>28</v>
      </c>
      <c r="D19" s="11" t="s">
        <v>27</v>
      </c>
      <c r="E19" s="11" t="s">
        <v>82</v>
      </c>
      <c r="F19" s="88">
        <v>40627</v>
      </c>
      <c r="G19" s="10" t="s">
        <v>254</v>
      </c>
      <c r="H19" s="12" t="s">
        <v>294</v>
      </c>
    </row>
    <row r="20" spans="2:8" x14ac:dyDescent="0.2">
      <c r="B20" s="2"/>
      <c r="C20" s="3"/>
      <c r="D20" s="3"/>
      <c r="E20" s="3"/>
      <c r="F20" s="3" t="s">
        <v>5</v>
      </c>
      <c r="G20" s="15"/>
      <c r="H20" s="4"/>
    </row>
    <row r="21" spans="2:8" x14ac:dyDescent="0.2">
      <c r="B21" s="46" t="s">
        <v>665</v>
      </c>
      <c r="C21" s="26" t="s">
        <v>493</v>
      </c>
      <c r="G21" s="26" t="s">
        <v>662</v>
      </c>
      <c r="H21" s="86"/>
    </row>
    <row r="22" spans="2:8" x14ac:dyDescent="0.2">
      <c r="B22" s="46" t="s">
        <v>666</v>
      </c>
      <c r="C22" s="26" t="s">
        <v>493</v>
      </c>
      <c r="G22" s="26" t="s">
        <v>662</v>
      </c>
      <c r="H22" s="86"/>
    </row>
    <row r="23" spans="2:8" x14ac:dyDescent="0.2">
      <c r="B23" s="46" t="s">
        <v>673</v>
      </c>
      <c r="C23" s="26" t="s">
        <v>546</v>
      </c>
      <c r="E23" s="23" t="s">
        <v>85</v>
      </c>
      <c r="F23" s="23" t="s">
        <v>499</v>
      </c>
      <c r="G23" s="26" t="s">
        <v>674</v>
      </c>
      <c r="H23" s="86"/>
    </row>
    <row r="24" spans="2:8" x14ac:dyDescent="0.2">
      <c r="B24" s="46" t="s">
        <v>679</v>
      </c>
      <c r="C24" s="26" t="s">
        <v>174</v>
      </c>
      <c r="E24" s="23"/>
      <c r="F24" s="23"/>
      <c r="G24" s="26" t="s">
        <v>680</v>
      </c>
      <c r="H24" s="86"/>
    </row>
    <row r="25" spans="2:8" x14ac:dyDescent="0.2">
      <c r="B25" s="46" t="s">
        <v>683</v>
      </c>
      <c r="C25" s="26" t="s">
        <v>685</v>
      </c>
      <c r="E25" s="23"/>
      <c r="F25" s="23"/>
      <c r="G25" s="26" t="s">
        <v>684</v>
      </c>
      <c r="H25" s="86"/>
    </row>
    <row r="26" spans="2:8" x14ac:dyDescent="0.2">
      <c r="B26" s="5" t="s">
        <v>182</v>
      </c>
      <c r="C26" s="7" t="s">
        <v>184</v>
      </c>
      <c r="D26" s="6">
        <v>1</v>
      </c>
      <c r="E26" s="7" t="s">
        <v>183</v>
      </c>
      <c r="F26" s="7" t="s">
        <v>185</v>
      </c>
      <c r="G26" s="7"/>
      <c r="H26" s="8"/>
    </row>
    <row r="27" spans="2:8" x14ac:dyDescent="0.2">
      <c r="B27" s="46" t="s">
        <v>431</v>
      </c>
      <c r="C27" s="26" t="s">
        <v>430</v>
      </c>
      <c r="D27" s="6">
        <v>1</v>
      </c>
      <c r="E27" s="7"/>
      <c r="F27" s="7"/>
      <c r="G27" s="7"/>
      <c r="H27" s="8"/>
    </row>
    <row r="28" spans="2:8" x14ac:dyDescent="0.2">
      <c r="B28" s="5" t="s">
        <v>283</v>
      </c>
      <c r="C28" s="7" t="s">
        <v>158</v>
      </c>
      <c r="D28" s="6">
        <v>1</v>
      </c>
      <c r="E28" s="7" t="s">
        <v>85</v>
      </c>
      <c r="F28" s="7" t="s">
        <v>177</v>
      </c>
      <c r="G28" s="7" t="s">
        <v>284</v>
      </c>
      <c r="H28" s="8"/>
    </row>
    <row r="29" spans="2:8" x14ac:dyDescent="0.2">
      <c r="B29" s="46" t="s">
        <v>433</v>
      </c>
      <c r="C29" s="26" t="s">
        <v>176</v>
      </c>
      <c r="D29" s="27" t="s">
        <v>435</v>
      </c>
      <c r="E29" s="26" t="s">
        <v>85</v>
      </c>
      <c r="F29" s="26" t="s">
        <v>161</v>
      </c>
      <c r="G29" s="26" t="s">
        <v>434</v>
      </c>
      <c r="H29" s="8"/>
    </row>
    <row r="30" spans="2:8" x14ac:dyDescent="0.2">
      <c r="B30" s="5" t="s">
        <v>367</v>
      </c>
      <c r="C30" s="7" t="s">
        <v>368</v>
      </c>
      <c r="D30" s="6">
        <v>1</v>
      </c>
      <c r="E30" s="7" t="s">
        <v>85</v>
      </c>
      <c r="F30" s="26" t="s">
        <v>161</v>
      </c>
      <c r="G30" s="7" t="s">
        <v>369</v>
      </c>
      <c r="H30" s="8"/>
    </row>
    <row r="31" spans="2:8" x14ac:dyDescent="0.2">
      <c r="B31" s="46" t="s">
        <v>436</v>
      </c>
      <c r="C31" s="26" t="s">
        <v>437</v>
      </c>
      <c r="D31" s="27" t="s">
        <v>438</v>
      </c>
      <c r="E31" s="26" t="s">
        <v>85</v>
      </c>
      <c r="F31" s="26" t="s">
        <v>161</v>
      </c>
      <c r="G31" s="26" t="s">
        <v>439</v>
      </c>
      <c r="H31" s="8"/>
    </row>
    <row r="32" spans="2:8" x14ac:dyDescent="0.2">
      <c r="B32" s="5" t="s">
        <v>249</v>
      </c>
      <c r="C32" s="7" t="s">
        <v>250</v>
      </c>
      <c r="D32" s="6">
        <v>1</v>
      </c>
      <c r="E32" s="7" t="s">
        <v>85</v>
      </c>
      <c r="F32" s="7" t="s">
        <v>161</v>
      </c>
      <c r="G32" s="7" t="s">
        <v>251</v>
      </c>
      <c r="H32" s="8"/>
    </row>
    <row r="33" spans="2:8" x14ac:dyDescent="0.2">
      <c r="B33" s="9" t="s">
        <v>211</v>
      </c>
      <c r="C33" s="10" t="s">
        <v>212</v>
      </c>
      <c r="D33" s="11">
        <v>1</v>
      </c>
      <c r="E33" s="10" t="s">
        <v>85</v>
      </c>
      <c r="F33" s="10" t="s">
        <v>177</v>
      </c>
      <c r="G33" s="10" t="s">
        <v>214</v>
      </c>
      <c r="H33" s="12"/>
    </row>
    <row r="35" spans="2:8" x14ac:dyDescent="0.2">
      <c r="G35" s="1" t="s">
        <v>637</v>
      </c>
    </row>
    <row r="38" spans="2:8" x14ac:dyDescent="0.2">
      <c r="G38" s="20" t="s">
        <v>163</v>
      </c>
    </row>
    <row r="39" spans="2:8" x14ac:dyDescent="0.2">
      <c r="G39" s="20" t="s">
        <v>217</v>
      </c>
    </row>
    <row r="40" spans="2:8" x14ac:dyDescent="0.2">
      <c r="G40" s="20" t="s">
        <v>226</v>
      </c>
    </row>
    <row r="41" spans="2:8" x14ac:dyDescent="0.2">
      <c r="G41" s="1" t="s">
        <v>253</v>
      </c>
    </row>
    <row r="42" spans="2:8" x14ac:dyDescent="0.2">
      <c r="G42" s="34" t="s">
        <v>358</v>
      </c>
    </row>
    <row r="43" spans="2:8" x14ac:dyDescent="0.2">
      <c r="G43" s="20" t="s">
        <v>363</v>
      </c>
    </row>
    <row r="44" spans="2:8" x14ac:dyDescent="0.2">
      <c r="G44" s="20" t="s">
        <v>384</v>
      </c>
    </row>
    <row r="45" spans="2:8" x14ac:dyDescent="0.2">
      <c r="G45" s="23" t="s">
        <v>429</v>
      </c>
    </row>
    <row r="46" spans="2:8" x14ac:dyDescent="0.2">
      <c r="G46" s="23" t="s">
        <v>404</v>
      </c>
    </row>
    <row r="47" spans="2:8" x14ac:dyDescent="0.2">
      <c r="G47" s="23" t="s">
        <v>472</v>
      </c>
    </row>
    <row r="48" spans="2:8" x14ac:dyDescent="0.2">
      <c r="G48" s="1" t="s">
        <v>503</v>
      </c>
    </row>
    <row r="49" spans="7:7" x14ac:dyDescent="0.2">
      <c r="G49" s="1" t="s">
        <v>504</v>
      </c>
    </row>
  </sheetData>
  <phoneticPr fontId="2" type="noConversion"/>
  <hyperlinks>
    <hyperlink ref="B13" location="Sprycel!A1" display="Sprycel (dasatinib)" xr:uid="{00000000-0004-0000-0100-000000000000}"/>
    <hyperlink ref="B3" location="Orencia!A1" display="Orencia (abatacept)" xr:uid="{00000000-0004-0000-0100-000002000000}"/>
    <hyperlink ref="B17" location="apixaban!A1" display="Apixaban" xr:uid="{00000000-0004-0000-0100-000004000000}"/>
    <hyperlink ref="B15" location="Erbitux!A1" display="Erbitux" xr:uid="{00000000-0004-0000-0100-000005000000}"/>
    <hyperlink ref="B19" location="ipilimumab!A1" display="Ipilimumab (MDX-010)" xr:uid="{00000000-0004-0000-0100-00000D000000}"/>
    <hyperlink ref="B5" location="Opdivo!A1" display="BMS-936558 (nivolumab)" xr:uid="{00000000-0004-0000-0100-00000E000000}"/>
    <hyperlink ref="B6" location="Empliciti!A1" display="Empliciti (elotuzumab)" xr:uid="{00000000-0004-0000-0100-000010000000}"/>
  </hyperlinks>
  <pageMargins left="0.75" right="0.75" top="1" bottom="1" header="0.5" footer="0.5"/>
  <pageSetup scale="61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RowHeight="12.75" x14ac:dyDescent="0.2"/>
  <cols>
    <col min="1" max="1" width="5" bestFit="1" customWidth="1"/>
  </cols>
  <sheetData>
    <row r="1" spans="1:2" x14ac:dyDescent="0.2">
      <c r="A1" s="29" t="s">
        <v>63</v>
      </c>
    </row>
    <row r="2" spans="1:2" x14ac:dyDescent="0.2">
      <c r="B2" t="s">
        <v>286</v>
      </c>
    </row>
  </sheetData>
  <phoneticPr fontId="2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5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s="32" t="s">
        <v>64</v>
      </c>
    </row>
    <row r="3" spans="1:3" x14ac:dyDescent="0.2">
      <c r="B3" s="32" t="s">
        <v>65</v>
      </c>
      <c r="C3" s="32" t="s">
        <v>213</v>
      </c>
    </row>
    <row r="4" spans="1:3" x14ac:dyDescent="0.2">
      <c r="B4" s="32" t="s">
        <v>141</v>
      </c>
      <c r="C4" s="32" t="s">
        <v>648</v>
      </c>
    </row>
    <row r="5" spans="1:3" x14ac:dyDescent="0.2">
      <c r="B5" s="32" t="s">
        <v>140</v>
      </c>
    </row>
    <row r="6" spans="1:3" x14ac:dyDescent="0.2">
      <c r="C6" s="47" t="s">
        <v>468</v>
      </c>
    </row>
    <row r="7" spans="1:3" x14ac:dyDescent="0.2">
      <c r="C7" s="32" t="s">
        <v>432</v>
      </c>
    </row>
    <row r="9" spans="1:3" x14ac:dyDescent="0.2">
      <c r="C9" s="47" t="s">
        <v>466</v>
      </c>
    </row>
    <row r="11" spans="1:3" x14ac:dyDescent="0.2">
      <c r="C11" s="47" t="s">
        <v>467</v>
      </c>
    </row>
    <row r="13" spans="1:3" x14ac:dyDescent="0.2">
      <c r="C13" s="47" t="s">
        <v>469</v>
      </c>
    </row>
    <row r="15" spans="1:3" x14ac:dyDescent="0.2">
      <c r="C15" s="32" t="s">
        <v>31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D122"/>
  <sheetViews>
    <sheetView tabSelected="1" zoomScale="190" zoomScaleNormal="190" workbookViewId="0">
      <pane xSplit="2" ySplit="2" topLeftCell="DI3" activePane="bottomRight" state="frozen"/>
      <selection pane="topRight" activeCell="C1" sqref="C1"/>
      <selection pane="bottomLeft" activeCell="A3" sqref="A3"/>
      <selection pane="bottomRight" activeCell="DL7" sqref="DL7"/>
    </sheetView>
  </sheetViews>
  <sheetFormatPr defaultRowHeight="12.75" x14ac:dyDescent="0.2"/>
  <cols>
    <col min="1" max="1" width="5" style="1" bestFit="1" customWidth="1"/>
    <col min="2" max="2" width="25.28515625" style="1" bestFit="1" customWidth="1"/>
    <col min="3" max="21" width="6.5703125" style="28" customWidth="1"/>
    <col min="22" max="24" width="6.7109375" style="28" customWidth="1"/>
    <col min="25" max="30" width="6.7109375" style="48" customWidth="1"/>
    <col min="31" max="31" width="6.7109375" style="28" customWidth="1"/>
    <col min="32" max="45" width="6.5703125" style="28" customWidth="1"/>
    <col min="46" max="46" width="5.42578125" style="28" bestFit="1" customWidth="1"/>
    <col min="47" max="55" width="5.42578125" style="28" customWidth="1"/>
    <col min="56" max="61" width="5.7109375" style="28" customWidth="1"/>
    <col min="62" max="62" width="6.140625" style="28" customWidth="1"/>
    <col min="63" max="66" width="6.85546875" style="28" customWidth="1"/>
    <col min="67" max="78" width="7.5703125" style="28" customWidth="1"/>
    <col min="79" max="81" width="5.42578125" style="28" customWidth="1"/>
    <col min="82" max="83" width="6.28515625" style="28" bestFit="1" customWidth="1"/>
    <col min="84" max="85" width="6.5703125" style="28" bestFit="1" customWidth="1"/>
    <col min="86" max="86" width="7.85546875" style="28" bestFit="1" customWidth="1"/>
    <col min="87" max="93" width="5" style="28" bestFit="1" customWidth="1"/>
    <col min="94" max="94" width="7" style="28" bestFit="1" customWidth="1"/>
    <col min="95" max="96" width="6.5703125" style="28" bestFit="1" customWidth="1"/>
    <col min="97" max="101" width="7" style="28" customWidth="1"/>
    <col min="102" max="104" width="7" style="48" customWidth="1"/>
    <col min="105" max="110" width="7.140625" style="28" customWidth="1"/>
    <col min="111" max="118" width="7.140625" style="1" customWidth="1"/>
    <col min="119" max="122" width="7.5703125" style="1" customWidth="1"/>
    <col min="123" max="123" width="8" style="1" customWidth="1"/>
    <col min="124" max="16384" width="9.140625" style="1"/>
  </cols>
  <sheetData>
    <row r="1" spans="1:125" x14ac:dyDescent="0.2">
      <c r="A1" s="14" t="s">
        <v>63</v>
      </c>
    </row>
    <row r="2" spans="1:125" x14ac:dyDescent="0.2">
      <c r="C2" s="28" t="s">
        <v>244</v>
      </c>
      <c r="D2" s="28" t="s">
        <v>243</v>
      </c>
      <c r="E2" s="28" t="s">
        <v>242</v>
      </c>
      <c r="F2" s="28" t="s">
        <v>170</v>
      </c>
      <c r="G2" s="28" t="s">
        <v>169</v>
      </c>
      <c r="H2" s="28" t="s">
        <v>138</v>
      </c>
      <c r="I2" s="28" t="s">
        <v>137</v>
      </c>
      <c r="J2" s="28" t="s">
        <v>136</v>
      </c>
      <c r="K2" s="28" t="s">
        <v>164</v>
      </c>
      <c r="L2" s="28" t="s">
        <v>165</v>
      </c>
      <c r="M2" s="28" t="s">
        <v>207</v>
      </c>
      <c r="N2" s="28" t="s">
        <v>208</v>
      </c>
      <c r="O2" s="28" t="s">
        <v>216</v>
      </c>
      <c r="P2" s="28" t="s">
        <v>229</v>
      </c>
      <c r="Q2" s="28" t="s">
        <v>230</v>
      </c>
      <c r="R2" s="28" t="s">
        <v>231</v>
      </c>
      <c r="S2" s="33" t="s">
        <v>348</v>
      </c>
      <c r="T2" s="33" t="s">
        <v>359</v>
      </c>
      <c r="U2" s="33" t="s">
        <v>360</v>
      </c>
      <c r="V2" s="33" t="s">
        <v>361</v>
      </c>
      <c r="W2" s="33" t="s">
        <v>370</v>
      </c>
      <c r="X2" s="33" t="s">
        <v>371</v>
      </c>
      <c r="Y2" s="49" t="s">
        <v>372</v>
      </c>
      <c r="Z2" s="49" t="s">
        <v>373</v>
      </c>
      <c r="AA2" s="49" t="s">
        <v>399</v>
      </c>
      <c r="AB2" s="49" t="s">
        <v>400</v>
      </c>
      <c r="AC2" s="49" t="s">
        <v>401</v>
      </c>
      <c r="AD2" s="49" t="s">
        <v>402</v>
      </c>
      <c r="AE2" s="33" t="s">
        <v>403</v>
      </c>
      <c r="AF2" s="33" t="s">
        <v>419</v>
      </c>
      <c r="AG2" s="33" t="s">
        <v>420</v>
      </c>
      <c r="AH2" s="33" t="s">
        <v>421</v>
      </c>
      <c r="AI2" s="33" t="s">
        <v>572</v>
      </c>
      <c r="AJ2" s="33" t="s">
        <v>573</v>
      </c>
      <c r="AK2" s="33" t="s">
        <v>574</v>
      </c>
      <c r="AL2" s="33" t="s">
        <v>575</v>
      </c>
      <c r="AM2" s="33" t="s">
        <v>571</v>
      </c>
      <c r="AN2" s="33" t="s">
        <v>576</v>
      </c>
      <c r="AO2" s="33" t="s">
        <v>579</v>
      </c>
      <c r="AP2" s="33" t="s">
        <v>580</v>
      </c>
      <c r="AQ2" s="33" t="s">
        <v>581</v>
      </c>
      <c r="AR2" s="33" t="s">
        <v>582</v>
      </c>
      <c r="AS2" s="33" t="s">
        <v>583</v>
      </c>
      <c r="AT2" s="28" t="s">
        <v>584</v>
      </c>
      <c r="AU2" s="33" t="s">
        <v>587</v>
      </c>
      <c r="AV2" s="33" t="s">
        <v>588</v>
      </c>
      <c r="AW2" s="33" t="s">
        <v>589</v>
      </c>
      <c r="AX2" s="33" t="s">
        <v>590</v>
      </c>
      <c r="AY2" s="33" t="s">
        <v>591</v>
      </c>
      <c r="AZ2" s="33" t="s">
        <v>592</v>
      </c>
      <c r="BA2" s="33" t="s">
        <v>593</v>
      </c>
      <c r="BB2" s="33" t="s">
        <v>594</v>
      </c>
      <c r="BC2" s="33" t="s">
        <v>595</v>
      </c>
      <c r="BD2" s="33" t="s">
        <v>596</v>
      </c>
      <c r="BE2" s="33" t="s">
        <v>597</v>
      </c>
      <c r="BF2" s="33" t="s">
        <v>598</v>
      </c>
      <c r="BG2" s="33" t="s">
        <v>599</v>
      </c>
      <c r="BH2" s="33" t="s">
        <v>600</v>
      </c>
      <c r="BI2" s="33" t="s">
        <v>601</v>
      </c>
      <c r="BJ2" s="33" t="s">
        <v>602</v>
      </c>
      <c r="BK2" s="33" t="s">
        <v>603</v>
      </c>
      <c r="BL2" s="33" t="s">
        <v>604</v>
      </c>
      <c r="BM2" s="33" t="s">
        <v>605</v>
      </c>
      <c r="BN2" s="33" t="s">
        <v>606</v>
      </c>
      <c r="BO2" s="33" t="s">
        <v>607</v>
      </c>
      <c r="BP2" s="33" t="s">
        <v>608</v>
      </c>
      <c r="BQ2" s="33" t="s">
        <v>609</v>
      </c>
      <c r="BR2" s="33" t="s">
        <v>610</v>
      </c>
      <c r="BS2" s="33" t="s">
        <v>586</v>
      </c>
      <c r="BT2" s="33" t="s">
        <v>611</v>
      </c>
      <c r="BU2" s="33" t="s">
        <v>612</v>
      </c>
      <c r="BV2" s="33" t="s">
        <v>613</v>
      </c>
      <c r="BW2" s="33" t="s">
        <v>615</v>
      </c>
      <c r="BX2" s="33" t="s">
        <v>616</v>
      </c>
      <c r="BY2" s="33" t="s">
        <v>617</v>
      </c>
      <c r="BZ2" s="33" t="s">
        <v>618</v>
      </c>
      <c r="CD2" s="28">
        <v>1989</v>
      </c>
      <c r="CE2" s="28">
        <v>1990</v>
      </c>
      <c r="CF2" s="28">
        <v>1991</v>
      </c>
      <c r="CG2" s="28">
        <v>1992</v>
      </c>
      <c r="CH2" s="28">
        <v>1993</v>
      </c>
      <c r="CI2" s="28">
        <v>1994</v>
      </c>
      <c r="CJ2" s="28">
        <v>1995</v>
      </c>
      <c r="CK2" s="28">
        <v>1996</v>
      </c>
      <c r="CL2" s="28">
        <v>1997</v>
      </c>
      <c r="CM2" s="28">
        <v>1998</v>
      </c>
      <c r="CN2" s="28">
        <v>1999</v>
      </c>
      <c r="CO2" s="28">
        <v>2000</v>
      </c>
      <c r="CP2" s="28">
        <v>2001</v>
      </c>
      <c r="CQ2" s="28">
        <v>2002</v>
      </c>
      <c r="CR2" s="28">
        <v>2003</v>
      </c>
      <c r="CS2" s="28">
        <v>2004</v>
      </c>
      <c r="CT2" s="28">
        <v>2005</v>
      </c>
      <c r="CU2" s="28">
        <v>2006</v>
      </c>
      <c r="CV2" s="28">
        <v>2007</v>
      </c>
      <c r="CW2" s="28">
        <v>2008</v>
      </c>
      <c r="CX2" s="48">
        <v>2009</v>
      </c>
      <c r="CY2" s="48">
        <v>2010</v>
      </c>
      <c r="CZ2" s="48">
        <v>2011</v>
      </c>
      <c r="DA2" s="28">
        <v>2012</v>
      </c>
      <c r="DB2" s="69">
        <v>2013</v>
      </c>
      <c r="DC2" s="69">
        <v>2014</v>
      </c>
      <c r="DD2" s="28">
        <f t="shared" ref="DD2:DI2" si="0">DC2+1</f>
        <v>2015</v>
      </c>
      <c r="DE2" s="28">
        <f t="shared" si="0"/>
        <v>2016</v>
      </c>
      <c r="DF2" s="28">
        <f t="shared" si="0"/>
        <v>2017</v>
      </c>
      <c r="DG2" s="28">
        <f t="shared" si="0"/>
        <v>2018</v>
      </c>
      <c r="DH2" s="28">
        <f t="shared" si="0"/>
        <v>2019</v>
      </c>
      <c r="DI2" s="28">
        <f t="shared" si="0"/>
        <v>2020</v>
      </c>
      <c r="DJ2" s="28">
        <f>DI2+1</f>
        <v>2021</v>
      </c>
      <c r="DK2" s="28">
        <f>DJ2+1</f>
        <v>2022</v>
      </c>
      <c r="DL2" s="28">
        <f>DK2+1</f>
        <v>2023</v>
      </c>
      <c r="DM2" s="28">
        <f>DL2+1</f>
        <v>2024</v>
      </c>
      <c r="DN2" s="28">
        <f>DM2+1</f>
        <v>2025</v>
      </c>
      <c r="DO2" s="28">
        <f t="shared" ref="DO2:DS2" si="1">DN2+1</f>
        <v>2026</v>
      </c>
      <c r="DP2" s="28">
        <f t="shared" si="1"/>
        <v>2027</v>
      </c>
      <c r="DQ2" s="28">
        <f t="shared" si="1"/>
        <v>2028</v>
      </c>
      <c r="DR2" s="28">
        <f t="shared" si="1"/>
        <v>2029</v>
      </c>
      <c r="DS2" s="28">
        <f t="shared" si="1"/>
        <v>2030</v>
      </c>
      <c r="DT2" s="28"/>
      <c r="DU2" s="28"/>
    </row>
    <row r="3" spans="1:125" s="44" customFormat="1" x14ac:dyDescent="0.2">
      <c r="B3" s="44" t="s">
        <v>444</v>
      </c>
      <c r="C3" s="35"/>
      <c r="D3" s="35"/>
      <c r="E3" s="35"/>
      <c r="F3" s="35"/>
      <c r="G3" s="35">
        <v>5</v>
      </c>
      <c r="H3" s="35">
        <v>18</v>
      </c>
      <c r="I3" s="35">
        <v>34</v>
      </c>
      <c r="J3" s="35">
        <v>32</v>
      </c>
      <c r="K3" s="35">
        <v>41</v>
      </c>
      <c r="L3" s="35">
        <v>55</v>
      </c>
      <c r="M3" s="35">
        <v>60</v>
      </c>
      <c r="N3" s="35">
        <v>75</v>
      </c>
      <c r="O3" s="35">
        <v>87</v>
      </c>
      <c r="P3" s="35">
        <v>106</v>
      </c>
      <c r="Q3" s="35">
        <v>119</v>
      </c>
      <c r="R3" s="35">
        <v>129</v>
      </c>
      <c r="S3" s="35">
        <v>124</v>
      </c>
      <c r="T3" s="35">
        <v>148</v>
      </c>
      <c r="U3" s="35">
        <v>162</v>
      </c>
      <c r="V3" s="30">
        <v>168</v>
      </c>
      <c r="W3" s="35">
        <v>169</v>
      </c>
      <c r="X3" s="35">
        <v>178</v>
      </c>
      <c r="Y3" s="54">
        <v>184</v>
      </c>
      <c r="Z3" s="54">
        <v>202</v>
      </c>
      <c r="AA3" s="54">
        <v>199</v>
      </c>
      <c r="AB3" s="54">
        <v>228</v>
      </c>
      <c r="AC3" s="54">
        <v>233</v>
      </c>
      <c r="AD3" s="54">
        <v>257</v>
      </c>
      <c r="AE3" s="35">
        <v>254</v>
      </c>
      <c r="AF3" s="35">
        <v>290</v>
      </c>
      <c r="AG3" s="54">
        <v>307</v>
      </c>
      <c r="AH3" s="54">
        <f>1176-AG3-AF3-AE3</f>
        <v>325</v>
      </c>
      <c r="AI3" s="35">
        <v>320</v>
      </c>
      <c r="AJ3" s="35">
        <v>352</v>
      </c>
      <c r="AK3" s="35">
        <v>375</v>
      </c>
      <c r="AL3" s="35"/>
      <c r="AM3" s="35"/>
      <c r="AN3" s="35">
        <v>402</v>
      </c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>
        <v>675</v>
      </c>
      <c r="BF3" s="35">
        <v>731</v>
      </c>
      <c r="BG3" s="35">
        <v>640</v>
      </c>
      <c r="BH3" s="35">
        <v>778</v>
      </c>
      <c r="BI3" s="35">
        <v>767</v>
      </c>
      <c r="BJ3" s="35">
        <v>792</v>
      </c>
      <c r="BK3" s="35">
        <v>714</v>
      </c>
      <c r="BL3" s="35">
        <v>750</v>
      </c>
      <c r="BM3" s="35">
        <v>826</v>
      </c>
      <c r="BN3" s="35">
        <v>867</v>
      </c>
      <c r="BO3" s="35">
        <v>758</v>
      </c>
      <c r="BP3" s="35">
        <v>814</v>
      </c>
      <c r="BQ3" s="35">
        <v>870</v>
      </c>
      <c r="BR3" s="35">
        <v>864</v>
      </c>
      <c r="BS3" s="35">
        <v>792</v>
      </c>
      <c r="BT3" s="35">
        <v>876</v>
      </c>
      <c r="BU3" s="30">
        <f t="shared" ref="BU3" si="2">+BQ3*1.05</f>
        <v>913.5</v>
      </c>
      <c r="BV3" s="30">
        <f t="shared" ref="BV3:BV4" si="3">+BR3*1.05</f>
        <v>907.2</v>
      </c>
      <c r="BW3" s="30">
        <f t="shared" ref="BW3:BW4" si="4">+BS3*1.05</f>
        <v>831.6</v>
      </c>
      <c r="BX3" s="30">
        <f t="shared" ref="BX3:BX4" si="5">+BT3*1.05</f>
        <v>919.80000000000007</v>
      </c>
      <c r="BY3" s="30">
        <f t="shared" ref="BY3:BY4" si="6">+BU3*1.05</f>
        <v>959.17500000000007</v>
      </c>
      <c r="BZ3" s="30">
        <f t="shared" ref="BZ3:BZ4" si="7">+BV3*1.05</f>
        <v>952.56000000000006</v>
      </c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>
        <f t="shared" ref="CU3:CU5" si="8">SUM(G3:J3)</f>
        <v>89</v>
      </c>
      <c r="CV3" s="35">
        <f t="shared" ref="CV3:CV5" si="9">SUM(K3:N3)</f>
        <v>231</v>
      </c>
      <c r="CW3" s="35">
        <f t="shared" ref="CW3:CW5" si="10">SUM(O3:R3)</f>
        <v>441</v>
      </c>
      <c r="CX3" s="50">
        <f t="shared" ref="CX3:CX5" si="11">SUM(S3:V3)</f>
        <v>602</v>
      </c>
      <c r="CY3" s="50">
        <f t="shared" ref="CY3:CY5" si="12">SUM(W3:Z3)</f>
        <v>733</v>
      </c>
      <c r="CZ3" s="50">
        <f t="shared" ref="CZ3:CZ6" si="13">SUM(AA3:AD3)</f>
        <v>917</v>
      </c>
      <c r="DA3" s="30">
        <f t="shared" ref="DA3:DA6" si="14">SUM(AE3:AH3)</f>
        <v>1176</v>
      </c>
      <c r="DB3"/>
      <c r="DC3"/>
      <c r="DD3"/>
      <c r="DE3"/>
      <c r="DF3"/>
      <c r="DG3" s="35">
        <v>2710</v>
      </c>
      <c r="DH3" s="35">
        <v>2977</v>
      </c>
      <c r="DI3" s="30">
        <f t="shared" ref="DI3:DI10" si="15">SUM(BK3:BN3)</f>
        <v>3157</v>
      </c>
      <c r="DJ3" s="35">
        <f t="shared" ref="DJ3:DJ20" si="16">SUM(BO3:BR3)</f>
        <v>3306</v>
      </c>
      <c r="DK3" s="30">
        <f t="shared" ref="DK3" si="17">SUM(BS3:BV3)</f>
        <v>3488.7</v>
      </c>
      <c r="DL3" s="30">
        <f t="shared" ref="DL3" si="18">SUM(BW3:BZ3)</f>
        <v>3663.1350000000002</v>
      </c>
      <c r="DM3" s="35">
        <f t="shared" ref="DM3:DN3" si="19">+DL3</f>
        <v>3663.1350000000002</v>
      </c>
      <c r="DN3" s="35">
        <f t="shared" si="19"/>
        <v>3663.1350000000002</v>
      </c>
      <c r="DO3" s="35">
        <f t="shared" ref="DO3" si="20">+DN3</f>
        <v>3663.1350000000002</v>
      </c>
      <c r="DP3" s="35">
        <f t="shared" ref="DP3" si="21">+DO3</f>
        <v>3663.1350000000002</v>
      </c>
      <c r="DQ3" s="35">
        <f t="shared" ref="DQ3" si="22">+DP3</f>
        <v>3663.1350000000002</v>
      </c>
      <c r="DR3" s="35">
        <f t="shared" ref="DR3" si="23">+DQ3</f>
        <v>3663.1350000000002</v>
      </c>
      <c r="DS3" s="35">
        <f t="shared" ref="DS3" si="24">+DR3</f>
        <v>3663.1350000000002</v>
      </c>
    </row>
    <row r="4" spans="1:125" s="25" customFormat="1" x14ac:dyDescent="0.2">
      <c r="B4" s="44" t="s">
        <v>614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5"/>
      <c r="W4" s="35"/>
      <c r="X4" s="35"/>
      <c r="Y4" s="54"/>
      <c r="Z4" s="54"/>
      <c r="AA4" s="54"/>
      <c r="AB4" s="54"/>
      <c r="AC4" s="54"/>
      <c r="AD4" s="54"/>
      <c r="AE4" s="54"/>
      <c r="AF4" s="35"/>
      <c r="AG4" s="54"/>
      <c r="AH4" s="54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>
        <v>1793</v>
      </c>
      <c r="BF4" s="30">
        <v>1804</v>
      </c>
      <c r="BG4" s="30">
        <v>1801</v>
      </c>
      <c r="BH4" s="30">
        <v>1823</v>
      </c>
      <c r="BI4" s="30">
        <v>1817</v>
      </c>
      <c r="BJ4" s="30">
        <v>1763</v>
      </c>
      <c r="BK4" s="30">
        <v>1766</v>
      </c>
      <c r="BL4" s="30">
        <v>1653</v>
      </c>
      <c r="BM4" s="30">
        <v>1780</v>
      </c>
      <c r="BN4" s="30">
        <v>1793</v>
      </c>
      <c r="BO4" s="30">
        <v>1720</v>
      </c>
      <c r="BP4" s="30">
        <v>1910</v>
      </c>
      <c r="BQ4" s="30">
        <v>1905</v>
      </c>
      <c r="BR4" s="30">
        <v>1988</v>
      </c>
      <c r="BS4" s="30">
        <v>1923</v>
      </c>
      <c r="BT4" s="30">
        <v>2063</v>
      </c>
      <c r="BU4" s="30">
        <f>+BQ4*1.05</f>
        <v>2000.25</v>
      </c>
      <c r="BV4" s="30">
        <f t="shared" si="3"/>
        <v>2087.4</v>
      </c>
      <c r="BW4" s="30">
        <f t="shared" si="4"/>
        <v>2019.15</v>
      </c>
      <c r="BX4" s="30">
        <f t="shared" si="5"/>
        <v>2166.15</v>
      </c>
      <c r="BY4" s="30">
        <f t="shared" si="6"/>
        <v>2100.2625000000003</v>
      </c>
      <c r="BZ4" s="30">
        <f t="shared" si="7"/>
        <v>2191.77</v>
      </c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/>
      <c r="CT4"/>
      <c r="CU4"/>
      <c r="CV4"/>
      <c r="CW4"/>
      <c r="CX4"/>
      <c r="CY4"/>
      <c r="CZ4"/>
      <c r="DA4" s="30">
        <f t="shared" si="14"/>
        <v>0</v>
      </c>
      <c r="DB4"/>
      <c r="DC4"/>
      <c r="DD4"/>
      <c r="DE4"/>
      <c r="DF4"/>
      <c r="DG4" s="30">
        <v>6735</v>
      </c>
      <c r="DH4" s="30">
        <v>7204</v>
      </c>
      <c r="DI4" s="30">
        <f t="shared" si="15"/>
        <v>6992</v>
      </c>
      <c r="DJ4" s="35">
        <f t="shared" si="16"/>
        <v>7523</v>
      </c>
      <c r="DK4" s="30">
        <f t="shared" ref="DK4" si="25">SUM(BS4:BV4)</f>
        <v>8073.65</v>
      </c>
      <c r="DL4" s="30">
        <f t="shared" ref="DL4" si="26">SUM(BW4:BZ4)</f>
        <v>8477.3325000000004</v>
      </c>
      <c r="DM4" s="35">
        <f>+DL4*1.02</f>
        <v>8646.8791500000007</v>
      </c>
      <c r="DN4" s="35">
        <f>+DM4*1.02</f>
        <v>8819.8167330000015</v>
      </c>
      <c r="DO4" s="35">
        <f t="shared" ref="DO4:DS4" si="27">+DN4*1.02</f>
        <v>8996.2130676600009</v>
      </c>
      <c r="DP4" s="35">
        <f t="shared" si="27"/>
        <v>9176.1373290132015</v>
      </c>
      <c r="DQ4" s="35">
        <f t="shared" si="27"/>
        <v>9359.6600755934651</v>
      </c>
      <c r="DR4" s="35">
        <f t="shared" si="27"/>
        <v>9546.8532771053342</v>
      </c>
      <c r="DS4" s="35">
        <f t="shared" si="27"/>
        <v>9737.7903426474404</v>
      </c>
    </row>
    <row r="5" spans="1:125" s="25" customFormat="1" x14ac:dyDescent="0.2">
      <c r="B5" s="44" t="s">
        <v>461</v>
      </c>
      <c r="C5" s="30"/>
      <c r="D5" s="30"/>
      <c r="E5" s="30"/>
      <c r="F5" s="30"/>
      <c r="G5" s="30"/>
      <c r="H5" s="30"/>
      <c r="I5" s="30">
        <v>11</v>
      </c>
      <c r="J5" s="30">
        <v>14</v>
      </c>
      <c r="K5" s="30">
        <v>21</v>
      </c>
      <c r="L5" s="30">
        <v>35</v>
      </c>
      <c r="M5" s="30">
        <v>46</v>
      </c>
      <c r="N5" s="30">
        <v>56</v>
      </c>
      <c r="O5" s="30">
        <v>66</v>
      </c>
      <c r="P5" s="30">
        <v>76</v>
      </c>
      <c r="Q5" s="30">
        <v>82</v>
      </c>
      <c r="R5" s="30">
        <v>86</v>
      </c>
      <c r="S5" s="30">
        <v>88</v>
      </c>
      <c r="T5" s="30">
        <v>107</v>
      </c>
      <c r="U5" s="30">
        <v>107</v>
      </c>
      <c r="V5" s="30">
        <v>119</v>
      </c>
      <c r="W5" s="30">
        <v>131</v>
      </c>
      <c r="X5" s="35">
        <v>132</v>
      </c>
      <c r="Y5" s="54">
        <v>144</v>
      </c>
      <c r="Z5" s="54">
        <v>169</v>
      </c>
      <c r="AA5" s="54">
        <v>172</v>
      </c>
      <c r="AB5" s="54">
        <v>193</v>
      </c>
      <c r="AC5" s="54">
        <v>211</v>
      </c>
      <c r="AD5" s="54">
        <v>227</v>
      </c>
      <c r="AE5" s="35">
        <v>231</v>
      </c>
      <c r="AF5" s="35">
        <v>244</v>
      </c>
      <c r="AG5" s="54">
        <v>263</v>
      </c>
      <c r="AH5" s="54">
        <f>1019-AG5-AF5-AE5</f>
        <v>281</v>
      </c>
      <c r="AI5" s="35">
        <v>287</v>
      </c>
      <c r="AJ5" s="35">
        <v>312</v>
      </c>
      <c r="AK5" s="35">
        <v>316</v>
      </c>
      <c r="AL5" s="35"/>
      <c r="AM5" s="35"/>
      <c r="AN5" s="35">
        <v>368</v>
      </c>
      <c r="AO5" s="35"/>
      <c r="AP5" s="35"/>
      <c r="AQ5" s="35"/>
      <c r="AR5" s="35"/>
      <c r="AS5" s="35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>
        <v>491</v>
      </c>
      <c r="BF5" s="30">
        <v>536</v>
      </c>
      <c r="BG5" s="30">
        <v>459</v>
      </c>
      <c r="BH5" s="30">
        <v>544</v>
      </c>
      <c r="BI5" s="30">
        <v>558</v>
      </c>
      <c r="BJ5" s="30">
        <v>549</v>
      </c>
      <c r="BK5" s="30">
        <v>521</v>
      </c>
      <c r="BL5" s="30">
        <v>511</v>
      </c>
      <c r="BM5" s="30">
        <v>544</v>
      </c>
      <c r="BN5" s="30">
        <v>564</v>
      </c>
      <c r="BO5" s="30">
        <v>470</v>
      </c>
      <c r="BP5" s="30">
        <v>541</v>
      </c>
      <c r="BQ5" s="30">
        <v>551</v>
      </c>
      <c r="BR5" s="30">
        <v>555</v>
      </c>
      <c r="BS5" s="30">
        <v>483</v>
      </c>
      <c r="BT5" s="30">
        <v>544</v>
      </c>
      <c r="BU5" s="30">
        <f>+BQ5*0.9</f>
        <v>495.90000000000003</v>
      </c>
      <c r="BV5" s="30">
        <f t="shared" ref="BV5:BZ5" si="28">+BR5*0.9</f>
        <v>499.5</v>
      </c>
      <c r="BW5" s="30">
        <f t="shared" si="28"/>
        <v>434.7</v>
      </c>
      <c r="BX5" s="30">
        <f t="shared" si="28"/>
        <v>489.6</v>
      </c>
      <c r="BY5" s="30">
        <f t="shared" si="28"/>
        <v>446.31000000000006</v>
      </c>
      <c r="BZ5" s="30">
        <f t="shared" si="28"/>
        <v>449.55</v>
      </c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>
        <f t="shared" si="8"/>
        <v>25</v>
      </c>
      <c r="CV5" s="30">
        <f t="shared" si="9"/>
        <v>158</v>
      </c>
      <c r="CW5" s="30">
        <f t="shared" si="10"/>
        <v>310</v>
      </c>
      <c r="CX5" s="50">
        <f t="shared" si="11"/>
        <v>421</v>
      </c>
      <c r="CY5" s="50">
        <f t="shared" si="12"/>
        <v>576</v>
      </c>
      <c r="CZ5" s="50">
        <f t="shared" si="13"/>
        <v>803</v>
      </c>
      <c r="DA5" s="30">
        <f t="shared" si="14"/>
        <v>1019</v>
      </c>
      <c r="DB5"/>
      <c r="DC5"/>
      <c r="DD5"/>
      <c r="DE5"/>
      <c r="DF5"/>
      <c r="DG5" s="30">
        <v>2000</v>
      </c>
      <c r="DH5" s="30">
        <v>2110</v>
      </c>
      <c r="DI5" s="30">
        <f t="shared" si="15"/>
        <v>2140</v>
      </c>
      <c r="DJ5" s="35">
        <f t="shared" si="16"/>
        <v>2117</v>
      </c>
      <c r="DK5" s="30">
        <f t="shared" ref="DK5" si="29">SUM(BS5:BV5)</f>
        <v>2022.4</v>
      </c>
      <c r="DL5" s="30">
        <f t="shared" ref="DL5" si="30">SUM(BW5:BZ5)</f>
        <v>1820.16</v>
      </c>
      <c r="DM5" s="30">
        <f>+DL5*0.5</f>
        <v>910.08</v>
      </c>
      <c r="DN5" s="30">
        <f>+DM5*0.5</f>
        <v>455.04</v>
      </c>
      <c r="DO5" s="30">
        <f t="shared" ref="DO5:DS5" si="31">+DN5*0.5</f>
        <v>227.52</v>
      </c>
      <c r="DP5" s="30">
        <f t="shared" si="31"/>
        <v>113.76</v>
      </c>
      <c r="DQ5" s="30">
        <f t="shared" si="31"/>
        <v>56.88</v>
      </c>
      <c r="DR5" s="30">
        <f t="shared" si="31"/>
        <v>28.44</v>
      </c>
      <c r="DS5" s="30">
        <f t="shared" si="31"/>
        <v>14.22</v>
      </c>
    </row>
    <row r="6" spans="1:125" s="25" customFormat="1" x14ac:dyDescent="0.2">
      <c r="B6" s="44" t="s">
        <v>450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5"/>
      <c r="T6" s="35"/>
      <c r="U6" s="35"/>
      <c r="V6" s="35" t="s">
        <v>362</v>
      </c>
      <c r="W6" s="35" t="s">
        <v>362</v>
      </c>
      <c r="X6" s="35" t="s">
        <v>362</v>
      </c>
      <c r="Y6" s="54" t="s">
        <v>362</v>
      </c>
      <c r="Z6" s="54" t="s">
        <v>362</v>
      </c>
      <c r="AA6" s="54"/>
      <c r="AB6" s="54">
        <v>95</v>
      </c>
      <c r="AC6" s="54">
        <v>121</v>
      </c>
      <c r="AD6" s="54">
        <v>144</v>
      </c>
      <c r="AE6" s="35">
        <v>154</v>
      </c>
      <c r="AF6" s="35">
        <v>162</v>
      </c>
      <c r="AG6" s="54">
        <v>179</v>
      </c>
      <c r="AH6" s="54">
        <f>706-AG6-AF6-AE6</f>
        <v>211</v>
      </c>
      <c r="AI6" s="35">
        <v>229</v>
      </c>
      <c r="AJ6" s="35">
        <v>233</v>
      </c>
      <c r="AK6" s="35">
        <v>238</v>
      </c>
      <c r="AL6" s="35"/>
      <c r="AM6" s="35"/>
      <c r="AN6" s="35">
        <v>321</v>
      </c>
      <c r="AO6" s="35"/>
      <c r="AP6" s="35"/>
      <c r="AQ6" s="35"/>
      <c r="AR6" s="35"/>
      <c r="AS6" s="35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>
        <v>382</v>
      </c>
      <c r="BF6" s="30">
        <v>384</v>
      </c>
      <c r="BG6" s="30">
        <v>384</v>
      </c>
      <c r="BH6" s="30">
        <v>367</v>
      </c>
      <c r="BI6" s="30">
        <v>353</v>
      </c>
      <c r="BJ6" s="30">
        <v>385</v>
      </c>
      <c r="BK6" s="30">
        <v>396</v>
      </c>
      <c r="BL6" s="30">
        <v>369</v>
      </c>
      <c r="BM6" s="30">
        <v>446</v>
      </c>
      <c r="BN6" s="30">
        <v>471</v>
      </c>
      <c r="BO6" s="30">
        <v>456</v>
      </c>
      <c r="BP6" s="30">
        <v>510</v>
      </c>
      <c r="BQ6" s="30">
        <v>515</v>
      </c>
      <c r="BR6" s="30">
        <v>545</v>
      </c>
      <c r="BS6" s="30">
        <v>515</v>
      </c>
      <c r="BT6" s="30">
        <v>525</v>
      </c>
      <c r="BU6" s="30">
        <f>+BQ6</f>
        <v>515</v>
      </c>
      <c r="BV6" s="30">
        <f t="shared" ref="BV6:BZ6" si="32">+BR6</f>
        <v>545</v>
      </c>
      <c r="BW6" s="30">
        <f t="shared" si="32"/>
        <v>515</v>
      </c>
      <c r="BX6" s="30">
        <f t="shared" si="32"/>
        <v>525</v>
      </c>
      <c r="BY6" s="30">
        <f t="shared" si="32"/>
        <v>515</v>
      </c>
      <c r="BZ6" s="30">
        <f t="shared" si="32"/>
        <v>545</v>
      </c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54" t="s">
        <v>362</v>
      </c>
      <c r="CY6" s="54" t="s">
        <v>362</v>
      </c>
      <c r="CZ6" s="50">
        <f t="shared" si="13"/>
        <v>360</v>
      </c>
      <c r="DA6" s="30">
        <f t="shared" si="14"/>
        <v>706</v>
      </c>
      <c r="DB6"/>
      <c r="DC6"/>
      <c r="DD6"/>
      <c r="DE6"/>
      <c r="DF6"/>
      <c r="DG6" s="30">
        <v>1330</v>
      </c>
      <c r="DH6" s="30">
        <v>1489</v>
      </c>
      <c r="DI6" s="30">
        <f t="shared" si="15"/>
        <v>1682</v>
      </c>
      <c r="DJ6" s="35">
        <f t="shared" si="16"/>
        <v>2026</v>
      </c>
      <c r="DK6" s="30">
        <f t="shared" ref="DK6" si="33">SUM(BS6:BV6)</f>
        <v>2100</v>
      </c>
      <c r="DL6" s="30">
        <f t="shared" ref="DL6" si="34">SUM(BW6:BZ6)</f>
        <v>2100</v>
      </c>
      <c r="DM6" s="30">
        <f t="shared" ref="DM6:DN6" si="35">+DL6</f>
        <v>2100</v>
      </c>
      <c r="DN6" s="30">
        <f t="shared" si="35"/>
        <v>2100</v>
      </c>
      <c r="DO6" s="30">
        <f t="shared" ref="DO6" si="36">+DN6</f>
        <v>2100</v>
      </c>
      <c r="DP6" s="30">
        <f t="shared" ref="DP6" si="37">+DO6</f>
        <v>2100</v>
      </c>
      <c r="DQ6" s="30">
        <f t="shared" ref="DQ6" si="38">+DP6</f>
        <v>2100</v>
      </c>
      <c r="DR6" s="30">
        <f t="shared" ref="DR6" si="39">+DQ6</f>
        <v>2100</v>
      </c>
      <c r="DS6" s="30">
        <f t="shared" ref="DS6" si="40">+DR6</f>
        <v>2100</v>
      </c>
    </row>
    <row r="7" spans="1:125" s="25" customFormat="1" x14ac:dyDescent="0.2">
      <c r="B7" s="44" t="s">
        <v>619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50"/>
      <c r="Z7" s="50"/>
      <c r="AA7" s="50"/>
      <c r="AB7" s="50"/>
      <c r="AC7" s="50"/>
      <c r="AD7" s="50"/>
      <c r="AE7" s="30"/>
      <c r="AF7" s="30"/>
      <c r="AG7" s="50"/>
      <c r="AH7" s="5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>
        <v>0</v>
      </c>
      <c r="BF7" s="30">
        <v>0</v>
      </c>
      <c r="BG7" s="30">
        <v>0</v>
      </c>
      <c r="BH7" s="30">
        <v>0</v>
      </c>
      <c r="BI7" s="30">
        <v>0</v>
      </c>
      <c r="BJ7" s="30">
        <v>322</v>
      </c>
      <c r="BK7" s="30">
        <v>713</v>
      </c>
      <c r="BL7" s="30">
        <v>745</v>
      </c>
      <c r="BM7" s="30">
        <v>777</v>
      </c>
      <c r="BN7" s="30">
        <v>835</v>
      </c>
      <c r="BO7" s="30">
        <v>773</v>
      </c>
      <c r="BP7" s="30">
        <v>854</v>
      </c>
      <c r="BQ7" s="30">
        <v>851</v>
      </c>
      <c r="BR7" s="30">
        <v>854</v>
      </c>
      <c r="BS7" s="30">
        <v>826</v>
      </c>
      <c r="BT7" s="30">
        <v>908</v>
      </c>
      <c r="BU7" s="30">
        <f>+BQ7*0.9</f>
        <v>765.9</v>
      </c>
      <c r="BV7" s="30">
        <f t="shared" ref="BV7:BZ7" si="41">+BR7*0.9</f>
        <v>768.6</v>
      </c>
      <c r="BW7" s="30">
        <f t="shared" si="41"/>
        <v>743.4</v>
      </c>
      <c r="BX7" s="30">
        <f t="shared" si="41"/>
        <v>817.2</v>
      </c>
      <c r="BY7" s="30">
        <f t="shared" si="41"/>
        <v>689.31</v>
      </c>
      <c r="BZ7" s="30">
        <f t="shared" si="41"/>
        <v>691.74</v>
      </c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 s="30">
        <v>0</v>
      </c>
      <c r="DH7" s="30">
        <v>322</v>
      </c>
      <c r="DI7" s="30">
        <f t="shared" si="15"/>
        <v>3070</v>
      </c>
      <c r="DJ7" s="35">
        <f t="shared" si="16"/>
        <v>3332</v>
      </c>
      <c r="DK7" s="30">
        <f t="shared" ref="DK7" si="42">SUM(BS7:BV7)</f>
        <v>3268.5</v>
      </c>
      <c r="DL7" s="30">
        <f t="shared" ref="DL7" si="43">SUM(BW7:BZ7)</f>
        <v>2941.6499999999996</v>
      </c>
      <c r="DM7" s="30">
        <f>+DL7*0.7</f>
        <v>2059.1549999999997</v>
      </c>
      <c r="DN7" s="30">
        <f>+DM7*0.7</f>
        <v>1441.4084999999998</v>
      </c>
      <c r="DO7" s="25">
        <f>+DN7*0.5</f>
        <v>720.70424999999989</v>
      </c>
      <c r="DP7" s="25">
        <f>+DO7*0.2</f>
        <v>144.14084999999997</v>
      </c>
      <c r="DQ7" s="25">
        <f t="shared" ref="DQ7:DS7" si="44">+DP7*0.2</f>
        <v>28.828169999999997</v>
      </c>
      <c r="DR7" s="25">
        <f t="shared" si="44"/>
        <v>5.7656339999999995</v>
      </c>
      <c r="DS7" s="25">
        <f t="shared" si="44"/>
        <v>1.1531267999999999</v>
      </c>
    </row>
    <row r="8" spans="1:125" s="25" customFormat="1" x14ac:dyDescent="0.2">
      <c r="B8" s="44" t="s">
        <v>451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5" t="s">
        <v>362</v>
      </c>
      <c r="W8" s="35" t="s">
        <v>362</v>
      </c>
      <c r="X8" s="35" t="s">
        <v>362</v>
      </c>
      <c r="Y8" s="54" t="s">
        <v>362</v>
      </c>
      <c r="Z8" s="54" t="s">
        <v>362</v>
      </c>
      <c r="AA8" s="54" t="s">
        <v>362</v>
      </c>
      <c r="AB8" s="54" t="s">
        <v>362</v>
      </c>
      <c r="AC8" s="54" t="s">
        <v>362</v>
      </c>
      <c r="AD8" s="54" t="s">
        <v>362</v>
      </c>
      <c r="AE8" s="54" t="s">
        <v>362</v>
      </c>
      <c r="AF8" s="35">
        <v>1</v>
      </c>
      <c r="AG8" s="54">
        <v>0</v>
      </c>
      <c r="AH8" s="54">
        <v>1</v>
      </c>
      <c r="AI8" s="35">
        <v>22</v>
      </c>
      <c r="AJ8" s="35">
        <v>12</v>
      </c>
      <c r="AK8" s="35">
        <v>41</v>
      </c>
      <c r="AL8" s="35"/>
      <c r="AM8" s="35"/>
      <c r="AN8" s="35">
        <v>171</v>
      </c>
      <c r="AO8" s="35"/>
      <c r="AP8" s="35"/>
      <c r="AQ8" s="35"/>
      <c r="AR8" s="35"/>
      <c r="AS8" s="35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>
        <v>1577</v>
      </c>
      <c r="BF8" s="30">
        <v>1705</v>
      </c>
      <c r="BG8" s="30">
        <v>1925</v>
      </c>
      <c r="BH8" s="30">
        <v>2042</v>
      </c>
      <c r="BI8" s="30">
        <v>1928</v>
      </c>
      <c r="BJ8" s="30">
        <v>2034</v>
      </c>
      <c r="BK8" s="30">
        <v>2641</v>
      </c>
      <c r="BL8" s="30">
        <v>2163</v>
      </c>
      <c r="BM8" s="30">
        <v>2095</v>
      </c>
      <c r="BN8" s="30">
        <v>2269</v>
      </c>
      <c r="BO8" s="30">
        <v>2886</v>
      </c>
      <c r="BP8" s="30">
        <v>2792</v>
      </c>
      <c r="BQ8" s="30">
        <v>2413</v>
      </c>
      <c r="BR8" s="30">
        <v>2671</v>
      </c>
      <c r="BS8" s="30">
        <v>3211</v>
      </c>
      <c r="BT8" s="30">
        <v>3235</v>
      </c>
      <c r="BU8" s="30">
        <f>+BQ8*1.08</f>
        <v>2606.04</v>
      </c>
      <c r="BV8" s="30">
        <f t="shared" ref="BV8:BZ8" si="45">+BR8*1.06</f>
        <v>2831.26</v>
      </c>
      <c r="BW8" s="30">
        <f t="shared" si="45"/>
        <v>3403.6600000000003</v>
      </c>
      <c r="BX8" s="30">
        <f t="shared" si="45"/>
        <v>3429.1000000000004</v>
      </c>
      <c r="BY8" s="30">
        <f t="shared" si="45"/>
        <v>2762.4023999999999</v>
      </c>
      <c r="BZ8" s="30">
        <f t="shared" si="45"/>
        <v>3001.1356000000005</v>
      </c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/>
      <c r="CU8"/>
      <c r="CV8"/>
      <c r="CW8"/>
      <c r="CX8"/>
      <c r="CY8"/>
      <c r="CZ8"/>
      <c r="DA8"/>
      <c r="DB8"/>
      <c r="DC8"/>
      <c r="DD8"/>
      <c r="DE8"/>
      <c r="DF8"/>
      <c r="DG8" s="30">
        <v>6438</v>
      </c>
      <c r="DH8" s="30">
        <v>7929</v>
      </c>
      <c r="DI8" s="30">
        <f t="shared" si="15"/>
        <v>9168</v>
      </c>
      <c r="DJ8" s="35">
        <f t="shared" si="16"/>
        <v>10762</v>
      </c>
      <c r="DK8" s="30">
        <f t="shared" ref="DK8" si="46">SUM(BS8:BV8)</f>
        <v>11883.300000000001</v>
      </c>
      <c r="DL8" s="30">
        <f t="shared" ref="DL8" si="47">SUM(BW8:BZ8)</f>
        <v>12596.298000000003</v>
      </c>
      <c r="DM8" s="35">
        <f>+DL8*1.03</f>
        <v>12974.186940000003</v>
      </c>
      <c r="DN8" s="35">
        <f t="shared" ref="DN8:DQ8" si="48">+DM8*1.03</f>
        <v>13363.412548200004</v>
      </c>
      <c r="DO8" s="35">
        <f t="shared" si="48"/>
        <v>13764.314924646003</v>
      </c>
      <c r="DP8" s="35">
        <f t="shared" si="48"/>
        <v>14177.244372385383</v>
      </c>
      <c r="DQ8" s="35">
        <f t="shared" si="48"/>
        <v>14602.561703556945</v>
      </c>
      <c r="DR8" s="25">
        <f>+DQ8*0.5</f>
        <v>7301.2808517784724</v>
      </c>
      <c r="DS8" s="25">
        <f>+DR8*0.1</f>
        <v>730.12808517784731</v>
      </c>
    </row>
    <row r="9" spans="1:125" s="25" customFormat="1" x14ac:dyDescent="0.2">
      <c r="B9" s="44" t="s">
        <v>638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5"/>
      <c r="W9" s="35"/>
      <c r="X9" s="35"/>
      <c r="Y9" s="54"/>
      <c r="Z9" s="54"/>
      <c r="AA9" s="54"/>
      <c r="AB9" s="54"/>
      <c r="AC9" s="54"/>
      <c r="AD9" s="54"/>
      <c r="AE9" s="54"/>
      <c r="AF9" s="35"/>
      <c r="AG9" s="54"/>
      <c r="AH9" s="54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>
        <v>59</v>
      </c>
      <c r="BF9" s="30">
        <v>69</v>
      </c>
      <c r="BG9" s="30">
        <v>83</v>
      </c>
      <c r="BH9" s="30">
        <v>91</v>
      </c>
      <c r="BI9" s="30">
        <v>89</v>
      </c>
      <c r="BJ9" s="30">
        <v>94</v>
      </c>
      <c r="BK9" s="30">
        <v>97</v>
      </c>
      <c r="BL9" s="30">
        <v>97</v>
      </c>
      <c r="BM9" s="30">
        <v>96</v>
      </c>
      <c r="BN9" s="30">
        <v>91</v>
      </c>
      <c r="BO9" s="30">
        <v>85</v>
      </c>
      <c r="BP9" s="30">
        <v>86</v>
      </c>
      <c r="BQ9" s="30">
        <v>82</v>
      </c>
      <c r="BR9" s="30">
        <v>81</v>
      </c>
      <c r="BS9" s="30">
        <v>75</v>
      </c>
      <c r="BT9" s="30">
        <v>77</v>
      </c>
      <c r="BU9" s="30">
        <f>+BQ9</f>
        <v>82</v>
      </c>
      <c r="BV9" s="30">
        <f t="shared" ref="BV9:BZ9" si="49">+BR9</f>
        <v>81</v>
      </c>
      <c r="BW9" s="30">
        <f t="shared" si="49"/>
        <v>75</v>
      </c>
      <c r="BX9" s="30">
        <f t="shared" si="49"/>
        <v>77</v>
      </c>
      <c r="BY9" s="30">
        <f t="shared" si="49"/>
        <v>82</v>
      </c>
      <c r="BZ9" s="30">
        <f t="shared" si="49"/>
        <v>81</v>
      </c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 s="30">
        <v>247</v>
      </c>
      <c r="DH9" s="30">
        <v>357</v>
      </c>
      <c r="DI9" s="30">
        <f t="shared" si="15"/>
        <v>381</v>
      </c>
      <c r="DJ9" s="35">
        <f t="shared" si="16"/>
        <v>334</v>
      </c>
      <c r="DK9" s="30">
        <f t="shared" ref="DK9" si="50">SUM(BS9:BV9)</f>
        <v>315</v>
      </c>
      <c r="DL9" s="30">
        <f t="shared" ref="DL9" si="51">SUM(BW9:BZ9)</f>
        <v>315</v>
      </c>
      <c r="DM9" s="30">
        <f>+DL9</f>
        <v>315</v>
      </c>
      <c r="DN9" s="30">
        <f t="shared" ref="DN9:DS9" si="52">+DM9</f>
        <v>315</v>
      </c>
      <c r="DO9" s="30">
        <f t="shared" si="52"/>
        <v>315</v>
      </c>
      <c r="DP9" s="30">
        <f t="shared" si="52"/>
        <v>315</v>
      </c>
      <c r="DQ9" s="30">
        <f t="shared" si="52"/>
        <v>315</v>
      </c>
      <c r="DR9" s="30">
        <f t="shared" si="52"/>
        <v>315</v>
      </c>
      <c r="DS9" s="30">
        <f t="shared" si="52"/>
        <v>315</v>
      </c>
    </row>
    <row r="10" spans="1:125" s="25" customFormat="1" x14ac:dyDescent="0.2">
      <c r="B10" s="44" t="s">
        <v>620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5"/>
      <c r="W10" s="35"/>
      <c r="X10" s="35"/>
      <c r="Y10" s="54"/>
      <c r="Z10" s="54"/>
      <c r="AA10" s="54"/>
      <c r="AB10" s="54"/>
      <c r="AC10" s="54"/>
      <c r="AD10" s="54"/>
      <c r="AE10" s="54"/>
      <c r="AF10" s="35"/>
      <c r="AG10" s="54"/>
      <c r="AH10" s="54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>
        <v>0</v>
      </c>
      <c r="BF10" s="30">
        <v>0</v>
      </c>
      <c r="BG10" s="30">
        <v>0</v>
      </c>
      <c r="BH10" s="30">
        <v>0</v>
      </c>
      <c r="BI10" s="30">
        <v>0</v>
      </c>
      <c r="BJ10" s="30">
        <v>1299</v>
      </c>
      <c r="BK10" s="30">
        <v>2915</v>
      </c>
      <c r="BL10" s="30">
        <v>2884</v>
      </c>
      <c r="BM10" s="30">
        <v>3027</v>
      </c>
      <c r="BN10" s="30">
        <v>3280</v>
      </c>
      <c r="BO10" s="30">
        <v>2944</v>
      </c>
      <c r="BP10" s="30">
        <v>3202</v>
      </c>
      <c r="BQ10" s="30">
        <v>3347</v>
      </c>
      <c r="BR10" s="30">
        <v>3328</v>
      </c>
      <c r="BS10" s="30">
        <v>2797</v>
      </c>
      <c r="BT10" s="30">
        <v>2501</v>
      </c>
      <c r="BU10" s="30">
        <v>2100</v>
      </c>
      <c r="BV10" s="30">
        <v>1900</v>
      </c>
      <c r="BW10" s="30">
        <f t="shared" ref="BW10:BZ10" si="53">+BV10-100</f>
        <v>1800</v>
      </c>
      <c r="BX10" s="30">
        <f t="shared" si="53"/>
        <v>1700</v>
      </c>
      <c r="BY10" s="30">
        <f t="shared" si="53"/>
        <v>1600</v>
      </c>
      <c r="BZ10" s="30">
        <f t="shared" si="53"/>
        <v>1500</v>
      </c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0">
        <v>0</v>
      </c>
      <c r="DB10" s="30">
        <v>0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0">
        <v>1299</v>
      </c>
      <c r="DI10" s="30">
        <f t="shared" si="15"/>
        <v>12106</v>
      </c>
      <c r="DJ10" s="35">
        <f t="shared" si="16"/>
        <v>12821</v>
      </c>
      <c r="DK10" s="30">
        <f t="shared" ref="DK10" si="54">SUM(BS10:BV10)</f>
        <v>9298</v>
      </c>
      <c r="DL10" s="30">
        <f t="shared" ref="DL10" si="55">SUM(BW10:BZ10)</f>
        <v>6600</v>
      </c>
      <c r="DM10" s="30">
        <f>+DL10*0.5</f>
        <v>3300</v>
      </c>
      <c r="DN10" s="35">
        <f>+DM10*0.2</f>
        <v>660</v>
      </c>
      <c r="DO10" s="35">
        <f t="shared" ref="DO10:DS10" si="56">+DN10*0.2</f>
        <v>132</v>
      </c>
      <c r="DP10" s="35">
        <f t="shared" si="56"/>
        <v>26.400000000000002</v>
      </c>
      <c r="DQ10" s="35">
        <f t="shared" si="56"/>
        <v>5.2800000000000011</v>
      </c>
      <c r="DR10" s="35">
        <f t="shared" si="56"/>
        <v>1.0560000000000003</v>
      </c>
      <c r="DS10" s="35">
        <f t="shared" si="56"/>
        <v>0.21120000000000005</v>
      </c>
    </row>
    <row r="11" spans="1:125" s="25" customFormat="1" x14ac:dyDescent="0.2">
      <c r="B11" s="44" t="s">
        <v>621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5"/>
      <c r="W11" s="35"/>
      <c r="X11" s="35"/>
      <c r="Y11" s="54"/>
      <c r="Z11" s="54"/>
      <c r="AA11" s="54"/>
      <c r="AB11" s="54"/>
      <c r="AC11" s="54"/>
      <c r="AD11" s="54"/>
      <c r="AE11" s="54"/>
      <c r="AF11" s="35"/>
      <c r="AG11" s="54"/>
      <c r="AH11" s="54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>
        <v>539</v>
      </c>
      <c r="BF11" s="30">
        <v>579</v>
      </c>
      <c r="BG11" s="30">
        <v>487</v>
      </c>
      <c r="BH11" s="30">
        <v>481</v>
      </c>
      <c r="BI11" s="30">
        <v>350</v>
      </c>
      <c r="BJ11" s="30">
        <v>356</v>
      </c>
      <c r="BK11" s="30">
        <v>418</v>
      </c>
      <c r="BL11" s="30">
        <v>331</v>
      </c>
      <c r="BM11" s="30">
        <v>287</v>
      </c>
      <c r="BN11" s="30">
        <v>448</v>
      </c>
      <c r="BO11" s="30">
        <v>506</v>
      </c>
      <c r="BP11" s="30">
        <v>473</v>
      </c>
      <c r="BQ11" s="30">
        <v>339</v>
      </c>
      <c r="BR11" s="30">
        <v>441</v>
      </c>
      <c r="BS11" s="30">
        <v>462</v>
      </c>
      <c r="BT11" s="30">
        <v>435</v>
      </c>
      <c r="BU11" s="30">
        <f>+BT11-5</f>
        <v>430</v>
      </c>
      <c r="BV11" s="30">
        <f t="shared" ref="BV11:BZ11" si="57">+BU11-5</f>
        <v>425</v>
      </c>
      <c r="BW11" s="30">
        <f t="shared" si="57"/>
        <v>420</v>
      </c>
      <c r="BX11" s="30">
        <f t="shared" si="57"/>
        <v>415</v>
      </c>
      <c r="BY11" s="30">
        <f t="shared" si="57"/>
        <v>410</v>
      </c>
      <c r="BZ11" s="30">
        <f t="shared" si="57"/>
        <v>405</v>
      </c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54"/>
      <c r="CY11" s="50"/>
      <c r="CZ11" s="54"/>
      <c r="DA11" s="35"/>
      <c r="DB11" s="66"/>
      <c r="DC11" s="66"/>
      <c r="DD11" s="35"/>
      <c r="DE11" s="35"/>
      <c r="DF11" s="30"/>
      <c r="DG11" s="30">
        <v>2357</v>
      </c>
      <c r="DH11" s="30">
        <v>1674</v>
      </c>
      <c r="DI11" s="30">
        <f t="shared" ref="DI11:DI22" si="58">SUM(BK11:BN11)</f>
        <v>1484</v>
      </c>
      <c r="DJ11" s="35">
        <f t="shared" si="16"/>
        <v>1759</v>
      </c>
      <c r="DK11" s="30">
        <f t="shared" ref="DK11:DK21" si="59">SUM(BS11:BV11)</f>
        <v>1752</v>
      </c>
      <c r="DL11" s="30">
        <f t="shared" ref="DL11:DL17" si="60">SUM(BW11:BZ11)</f>
        <v>1650</v>
      </c>
      <c r="DM11" s="30">
        <f t="shared" ref="DM11:DS11" si="61">+DL11*0.95</f>
        <v>1567.5</v>
      </c>
      <c r="DN11" s="30">
        <f t="shared" si="61"/>
        <v>1489.125</v>
      </c>
      <c r="DO11" s="30">
        <f t="shared" si="61"/>
        <v>1414.66875</v>
      </c>
      <c r="DP11" s="30">
        <f t="shared" si="61"/>
        <v>1343.9353125</v>
      </c>
      <c r="DQ11" s="30">
        <f t="shared" si="61"/>
        <v>1276.7385468749999</v>
      </c>
      <c r="DR11" s="30">
        <f t="shared" si="61"/>
        <v>1212.9016195312499</v>
      </c>
      <c r="DS11" s="30">
        <f t="shared" si="61"/>
        <v>1152.2565385546875</v>
      </c>
    </row>
    <row r="12" spans="1:125" s="25" customFormat="1" x14ac:dyDescent="0.2">
      <c r="B12" s="44" t="s">
        <v>622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5"/>
      <c r="W12" s="35"/>
      <c r="X12" s="35"/>
      <c r="Y12" s="54"/>
      <c r="Z12" s="54"/>
      <c r="AA12" s="54"/>
      <c r="AB12" s="54"/>
      <c r="AC12" s="54"/>
      <c r="AD12" s="54"/>
      <c r="AE12" s="54"/>
      <c r="AF12" s="35"/>
      <c r="AG12" s="54"/>
      <c r="AH12" s="54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>
        <v>0</v>
      </c>
      <c r="BF12" s="30">
        <v>0</v>
      </c>
      <c r="BG12" s="30">
        <v>0</v>
      </c>
      <c r="BH12" s="30">
        <v>0</v>
      </c>
      <c r="BI12" s="30">
        <v>0</v>
      </c>
      <c r="BJ12" s="30">
        <v>0</v>
      </c>
      <c r="BK12" s="30">
        <v>8</v>
      </c>
      <c r="BL12" s="30">
        <v>55</v>
      </c>
      <c r="BM12" s="30">
        <v>96</v>
      </c>
      <c r="BN12" s="30">
        <v>115</v>
      </c>
      <c r="BO12" s="30">
        <v>112</v>
      </c>
      <c r="BP12" s="30">
        <v>128</v>
      </c>
      <c r="BQ12" s="30">
        <v>160</v>
      </c>
      <c r="BR12" s="30">
        <v>151</v>
      </c>
      <c r="BS12" s="30">
        <v>156</v>
      </c>
      <c r="BT12" s="30">
        <v>172</v>
      </c>
      <c r="BU12" s="30">
        <f t="shared" ref="BU12:BZ12" si="62">+BT12+5</f>
        <v>177</v>
      </c>
      <c r="BV12" s="30">
        <f t="shared" si="62"/>
        <v>182</v>
      </c>
      <c r="BW12" s="30">
        <f t="shared" si="62"/>
        <v>187</v>
      </c>
      <c r="BX12" s="30">
        <f t="shared" si="62"/>
        <v>192</v>
      </c>
      <c r="BY12" s="30">
        <f t="shared" si="62"/>
        <v>197</v>
      </c>
      <c r="BZ12" s="30">
        <f t="shared" si="62"/>
        <v>202</v>
      </c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54"/>
      <c r="CY12" s="50"/>
      <c r="CZ12" s="54"/>
      <c r="DA12" s="35"/>
      <c r="DB12" s="66"/>
      <c r="DC12" s="66"/>
      <c r="DD12" s="35"/>
      <c r="DE12" s="35"/>
      <c r="DF12" s="30"/>
      <c r="DG12" s="30">
        <v>0</v>
      </c>
      <c r="DH12" s="30">
        <v>0</v>
      </c>
      <c r="DI12" s="30">
        <f t="shared" si="58"/>
        <v>274</v>
      </c>
      <c r="DJ12" s="35">
        <f t="shared" si="16"/>
        <v>551</v>
      </c>
      <c r="DK12" s="30">
        <f t="shared" si="59"/>
        <v>687</v>
      </c>
      <c r="DL12" s="30">
        <f t="shared" si="60"/>
        <v>778</v>
      </c>
      <c r="DM12" s="30">
        <f>+DL12*1.1</f>
        <v>855.80000000000007</v>
      </c>
      <c r="DN12" s="30">
        <f t="shared" ref="DN12:DO12" si="63">+DM12*1.1</f>
        <v>941.38000000000011</v>
      </c>
      <c r="DO12" s="30">
        <f t="shared" si="63"/>
        <v>1035.5180000000003</v>
      </c>
      <c r="DP12" s="35">
        <f>+DO12*1.07</f>
        <v>1108.0042600000004</v>
      </c>
      <c r="DQ12" s="35">
        <f t="shared" ref="DQ12:DR12" si="64">+DP12*1.07</f>
        <v>1185.5645582000004</v>
      </c>
      <c r="DR12" s="35">
        <f t="shared" si="64"/>
        <v>1268.5540772740005</v>
      </c>
      <c r="DS12" s="25">
        <f>+DR12*1.01</f>
        <v>1281.2396180467406</v>
      </c>
    </row>
    <row r="13" spans="1:125" s="25" customFormat="1" x14ac:dyDescent="0.2">
      <c r="B13" s="44" t="s">
        <v>623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5"/>
      <c r="W13" s="35"/>
      <c r="X13" s="35"/>
      <c r="Y13" s="54"/>
      <c r="Z13" s="54"/>
      <c r="AA13" s="54"/>
      <c r="AB13" s="54"/>
      <c r="AC13" s="54"/>
      <c r="AD13" s="54"/>
      <c r="AE13" s="54"/>
      <c r="AF13" s="35"/>
      <c r="AG13" s="54"/>
      <c r="AH13" s="54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>
        <v>0</v>
      </c>
      <c r="BF13" s="30">
        <v>0</v>
      </c>
      <c r="BG13" s="30">
        <v>0</v>
      </c>
      <c r="BH13" s="30">
        <v>0</v>
      </c>
      <c r="BI13" s="30">
        <v>0</v>
      </c>
      <c r="BJ13" s="30">
        <v>0</v>
      </c>
      <c r="BK13" s="30">
        <v>0</v>
      </c>
      <c r="BL13" s="30">
        <v>0</v>
      </c>
      <c r="BM13" s="30">
        <v>0</v>
      </c>
      <c r="BN13" s="30">
        <v>0</v>
      </c>
      <c r="BO13" s="30">
        <v>0</v>
      </c>
      <c r="BP13" s="30">
        <v>24</v>
      </c>
      <c r="BQ13" s="30">
        <v>71</v>
      </c>
      <c r="BR13" s="30">
        <v>69</v>
      </c>
      <c r="BS13" s="30">
        <v>67</v>
      </c>
      <c r="BT13" s="30">
        <v>89</v>
      </c>
      <c r="BU13" s="30">
        <f t="shared" ref="BU13:BZ13" si="65">+BT13+5</f>
        <v>94</v>
      </c>
      <c r="BV13" s="30">
        <f t="shared" si="65"/>
        <v>99</v>
      </c>
      <c r="BW13" s="30">
        <f t="shared" si="65"/>
        <v>104</v>
      </c>
      <c r="BX13" s="30">
        <f t="shared" si="65"/>
        <v>109</v>
      </c>
      <c r="BY13" s="30">
        <f t="shared" si="65"/>
        <v>114</v>
      </c>
      <c r="BZ13" s="30">
        <f t="shared" si="65"/>
        <v>119</v>
      </c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54"/>
      <c r="CY13" s="50"/>
      <c r="CZ13" s="54"/>
      <c r="DA13" s="35"/>
      <c r="DB13" s="66"/>
      <c r="DC13" s="66"/>
      <c r="DD13" s="35"/>
      <c r="DE13" s="35"/>
      <c r="DF13" s="30"/>
      <c r="DG13" s="30">
        <v>0</v>
      </c>
      <c r="DH13" s="30">
        <v>0</v>
      </c>
      <c r="DI13" s="30">
        <f t="shared" si="58"/>
        <v>0</v>
      </c>
      <c r="DJ13" s="35">
        <f t="shared" si="16"/>
        <v>164</v>
      </c>
      <c r="DK13" s="30">
        <f t="shared" si="59"/>
        <v>349</v>
      </c>
      <c r="DL13" s="30">
        <f t="shared" si="60"/>
        <v>446</v>
      </c>
      <c r="DM13" s="30">
        <f>+DL13*1.2</f>
        <v>535.19999999999993</v>
      </c>
      <c r="DN13" s="30">
        <f t="shared" ref="DN13:DP13" si="66">+DM13*1.2</f>
        <v>642.2399999999999</v>
      </c>
      <c r="DO13" s="30">
        <f t="shared" si="66"/>
        <v>770.68799999999987</v>
      </c>
      <c r="DP13" s="30">
        <f t="shared" si="66"/>
        <v>924.82559999999978</v>
      </c>
      <c r="DQ13" s="35">
        <f>+DP13*1.05</f>
        <v>971.06687999999986</v>
      </c>
      <c r="DR13" s="35">
        <f t="shared" ref="DR13:DR17" si="67">+DQ13*1.05</f>
        <v>1019.6202239999999</v>
      </c>
      <c r="DS13" s="25">
        <f>+DR13*1.01</f>
        <v>1029.8164262399998</v>
      </c>
    </row>
    <row r="14" spans="1:125" s="25" customFormat="1" x14ac:dyDescent="0.2">
      <c r="B14" s="44" t="s">
        <v>624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5"/>
      <c r="W14" s="35"/>
      <c r="X14" s="35"/>
      <c r="Y14" s="54"/>
      <c r="Z14" s="54"/>
      <c r="AA14" s="54"/>
      <c r="AB14" s="54"/>
      <c r="AC14" s="54"/>
      <c r="AD14" s="54"/>
      <c r="AE14" s="54"/>
      <c r="AF14" s="35"/>
      <c r="AG14" s="54"/>
      <c r="AH14" s="54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>
        <v>0</v>
      </c>
      <c r="BF14" s="30">
        <v>0</v>
      </c>
      <c r="BG14" s="30">
        <v>0</v>
      </c>
      <c r="BH14" s="30">
        <v>0</v>
      </c>
      <c r="BI14" s="30">
        <v>0</v>
      </c>
      <c r="BJ14" s="30">
        <v>0</v>
      </c>
      <c r="BK14" s="30">
        <v>0</v>
      </c>
      <c r="BL14" s="30">
        <v>1</v>
      </c>
      <c r="BM14" s="30">
        <v>2</v>
      </c>
      <c r="BN14" s="30">
        <v>9</v>
      </c>
      <c r="BO14" s="30">
        <v>18</v>
      </c>
      <c r="BP14" s="30">
        <v>28</v>
      </c>
      <c r="BQ14" s="30">
        <v>40</v>
      </c>
      <c r="BR14" s="30">
        <v>48</v>
      </c>
      <c r="BS14" s="30">
        <v>36</v>
      </c>
      <c r="BT14" s="30">
        <v>66</v>
      </c>
      <c r="BU14" s="30">
        <f t="shared" ref="BU14:BZ14" si="68">+BT14+5</f>
        <v>71</v>
      </c>
      <c r="BV14" s="30">
        <f t="shared" si="68"/>
        <v>76</v>
      </c>
      <c r="BW14" s="30">
        <f t="shared" si="68"/>
        <v>81</v>
      </c>
      <c r="BX14" s="30">
        <f t="shared" si="68"/>
        <v>86</v>
      </c>
      <c r="BY14" s="30">
        <f t="shared" si="68"/>
        <v>91</v>
      </c>
      <c r="BZ14" s="30">
        <f t="shared" si="68"/>
        <v>96</v>
      </c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54"/>
      <c r="CY14" s="50"/>
      <c r="CZ14" s="54"/>
      <c r="DA14" s="35"/>
      <c r="DB14" s="66"/>
      <c r="DC14" s="66"/>
      <c r="DD14" s="35"/>
      <c r="DE14" s="35"/>
      <c r="DF14" s="30"/>
      <c r="DG14" s="30">
        <v>0</v>
      </c>
      <c r="DH14" s="30">
        <v>0</v>
      </c>
      <c r="DI14" s="30">
        <f t="shared" si="58"/>
        <v>12</v>
      </c>
      <c r="DJ14" s="35">
        <f t="shared" si="16"/>
        <v>134</v>
      </c>
      <c r="DK14" s="30">
        <f t="shared" si="59"/>
        <v>249</v>
      </c>
      <c r="DL14" s="30">
        <f t="shared" si="60"/>
        <v>354</v>
      </c>
      <c r="DM14" s="30">
        <f t="shared" ref="DM14:DP14" si="69">+DL14*1.2</f>
        <v>424.8</v>
      </c>
      <c r="DN14" s="30">
        <f t="shared" si="69"/>
        <v>509.76</v>
      </c>
      <c r="DO14" s="30">
        <f t="shared" si="69"/>
        <v>611.71199999999999</v>
      </c>
      <c r="DP14" s="30">
        <f t="shared" si="69"/>
        <v>734.05439999999999</v>
      </c>
      <c r="DQ14" s="35">
        <f t="shared" ref="DQ14:DQ17" si="70">+DP14*1.05</f>
        <v>770.75711999999999</v>
      </c>
      <c r="DR14" s="35">
        <f t="shared" si="67"/>
        <v>809.29497600000002</v>
      </c>
      <c r="DS14" s="25">
        <f t="shared" ref="DS14:DS17" si="71">+DR14*1.01</f>
        <v>817.38792576000003</v>
      </c>
    </row>
    <row r="15" spans="1:125" s="25" customFormat="1" x14ac:dyDescent="0.2">
      <c r="B15" s="44" t="s">
        <v>625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5"/>
      <c r="W15" s="35"/>
      <c r="X15" s="35"/>
      <c r="Y15" s="54"/>
      <c r="Z15" s="54"/>
      <c r="AA15" s="54"/>
      <c r="AB15" s="54"/>
      <c r="AC15" s="54"/>
      <c r="AD15" s="54"/>
      <c r="AE15" s="54"/>
      <c r="AF15" s="35"/>
      <c r="AG15" s="54"/>
      <c r="AH15" s="54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>
        <v>0</v>
      </c>
      <c r="BF15" s="30">
        <v>0</v>
      </c>
      <c r="BG15" s="30">
        <v>0</v>
      </c>
      <c r="BH15" s="30">
        <v>0</v>
      </c>
      <c r="BI15" s="30">
        <v>0</v>
      </c>
      <c r="BJ15" s="30">
        <v>0</v>
      </c>
      <c r="BK15" s="30">
        <v>0</v>
      </c>
      <c r="BL15" s="30">
        <v>0</v>
      </c>
      <c r="BM15" s="30">
        <v>0</v>
      </c>
      <c r="BN15" s="30">
        <v>0</v>
      </c>
      <c r="BO15" s="30">
        <v>0</v>
      </c>
      <c r="BP15" s="30">
        <v>17</v>
      </c>
      <c r="BQ15" s="30">
        <v>30</v>
      </c>
      <c r="BR15" s="30">
        <v>40</v>
      </c>
      <c r="BS15" s="30">
        <v>44</v>
      </c>
      <c r="BT15" s="30">
        <v>39</v>
      </c>
      <c r="BU15" s="30">
        <f>+BT15+5</f>
        <v>44</v>
      </c>
      <c r="BV15" s="30">
        <f t="shared" ref="BV15:BZ15" si="72">+BU15+5</f>
        <v>49</v>
      </c>
      <c r="BW15" s="30">
        <f t="shared" si="72"/>
        <v>54</v>
      </c>
      <c r="BX15" s="30">
        <f t="shared" si="72"/>
        <v>59</v>
      </c>
      <c r="BY15" s="30">
        <f t="shared" si="72"/>
        <v>64</v>
      </c>
      <c r="BZ15" s="30">
        <f t="shared" si="72"/>
        <v>69</v>
      </c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54"/>
      <c r="CY15" s="50"/>
      <c r="CZ15" s="54"/>
      <c r="DA15" s="35"/>
      <c r="DB15" s="66"/>
      <c r="DC15" s="66"/>
      <c r="DD15" s="35"/>
      <c r="DE15" s="35"/>
      <c r="DF15" s="30"/>
      <c r="DG15" s="30">
        <v>0</v>
      </c>
      <c r="DH15" s="30">
        <v>0</v>
      </c>
      <c r="DI15" s="30">
        <f t="shared" si="58"/>
        <v>0</v>
      </c>
      <c r="DJ15" s="35">
        <f t="shared" si="16"/>
        <v>87</v>
      </c>
      <c r="DK15" s="30">
        <f t="shared" si="59"/>
        <v>176</v>
      </c>
      <c r="DL15" s="30">
        <f t="shared" si="60"/>
        <v>246</v>
      </c>
      <c r="DM15" s="30">
        <f t="shared" ref="DM15:DP17" si="73">+DL15*1.2</f>
        <v>295.2</v>
      </c>
      <c r="DN15" s="30">
        <f t="shared" si="73"/>
        <v>354.23999999999995</v>
      </c>
      <c r="DO15" s="30">
        <f t="shared" si="73"/>
        <v>425.08799999999991</v>
      </c>
      <c r="DP15" s="30">
        <f t="shared" si="73"/>
        <v>510.10559999999987</v>
      </c>
      <c r="DQ15" s="35">
        <f t="shared" si="70"/>
        <v>535.61087999999984</v>
      </c>
      <c r="DR15" s="35">
        <f t="shared" si="67"/>
        <v>562.3914239999998</v>
      </c>
      <c r="DS15" s="25">
        <f t="shared" si="71"/>
        <v>568.01533823999978</v>
      </c>
    </row>
    <row r="16" spans="1:125" s="25" customFormat="1" x14ac:dyDescent="0.2">
      <c r="B16" s="44" t="s">
        <v>626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5"/>
      <c r="W16" s="35"/>
      <c r="X16" s="35"/>
      <c r="Y16" s="54"/>
      <c r="Z16" s="54"/>
      <c r="AA16" s="54"/>
      <c r="AB16" s="54"/>
      <c r="AC16" s="54"/>
      <c r="AD16" s="54"/>
      <c r="AE16" s="54"/>
      <c r="AF16" s="35"/>
      <c r="AG16" s="54"/>
      <c r="AH16" s="54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>
        <v>0</v>
      </c>
      <c r="BF16" s="30">
        <v>0</v>
      </c>
      <c r="BG16" s="30">
        <v>0</v>
      </c>
      <c r="BH16" s="30">
        <v>0</v>
      </c>
      <c r="BI16" s="30">
        <v>0</v>
      </c>
      <c r="BJ16" s="30">
        <v>5</v>
      </c>
      <c r="BK16" s="30">
        <v>12</v>
      </c>
      <c r="BL16" s="30">
        <v>15</v>
      </c>
      <c r="BM16" s="30">
        <v>13</v>
      </c>
      <c r="BN16" s="30">
        <v>15</v>
      </c>
      <c r="BO16" s="30">
        <v>16</v>
      </c>
      <c r="BP16" s="30">
        <v>16</v>
      </c>
      <c r="BQ16" s="30">
        <v>22</v>
      </c>
      <c r="BR16" s="30">
        <v>20</v>
      </c>
      <c r="BS16" s="30">
        <v>18</v>
      </c>
      <c r="BT16" s="30">
        <v>23</v>
      </c>
      <c r="BU16" s="30">
        <f t="shared" ref="BU16:BZ16" si="74">+BT16+3</f>
        <v>26</v>
      </c>
      <c r="BV16" s="30">
        <f t="shared" si="74"/>
        <v>29</v>
      </c>
      <c r="BW16" s="30">
        <f t="shared" si="74"/>
        <v>32</v>
      </c>
      <c r="BX16" s="30">
        <f t="shared" si="74"/>
        <v>35</v>
      </c>
      <c r="BY16" s="30">
        <f t="shared" si="74"/>
        <v>38</v>
      </c>
      <c r="BZ16" s="30">
        <f t="shared" si="74"/>
        <v>41</v>
      </c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54"/>
      <c r="CY16" s="50"/>
      <c r="CZ16" s="54"/>
      <c r="DA16" s="35"/>
      <c r="DB16" s="66"/>
      <c r="DC16" s="66"/>
      <c r="DD16" s="35"/>
      <c r="DE16" s="35"/>
      <c r="DF16" s="30"/>
      <c r="DG16" s="30">
        <v>0</v>
      </c>
      <c r="DH16" s="30">
        <v>5</v>
      </c>
      <c r="DI16" s="30">
        <f t="shared" si="58"/>
        <v>55</v>
      </c>
      <c r="DJ16" s="35">
        <f t="shared" si="16"/>
        <v>74</v>
      </c>
      <c r="DK16" s="30">
        <f t="shared" si="59"/>
        <v>96</v>
      </c>
      <c r="DL16" s="30">
        <f t="shared" si="60"/>
        <v>146</v>
      </c>
      <c r="DM16" s="30">
        <f>+DL16*1.03</f>
        <v>150.38</v>
      </c>
      <c r="DN16" s="30">
        <f t="shared" ref="DN16:DS16" si="75">+DM16*1.03</f>
        <v>154.8914</v>
      </c>
      <c r="DO16" s="30">
        <f t="shared" si="75"/>
        <v>159.53814200000002</v>
      </c>
      <c r="DP16" s="30">
        <f t="shared" si="75"/>
        <v>164.32428626000004</v>
      </c>
      <c r="DQ16" s="30">
        <f t="shared" si="75"/>
        <v>169.25401484780005</v>
      </c>
      <c r="DR16" s="30">
        <f t="shared" si="75"/>
        <v>174.33163529323406</v>
      </c>
      <c r="DS16" s="30">
        <f t="shared" si="75"/>
        <v>179.56158435203108</v>
      </c>
    </row>
    <row r="17" spans="2:123" s="25" customFormat="1" x14ac:dyDescent="0.2">
      <c r="B17" s="44" t="s">
        <v>627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5"/>
      <c r="W17" s="35"/>
      <c r="X17" s="35"/>
      <c r="Y17" s="54"/>
      <c r="Z17" s="54"/>
      <c r="AA17" s="54"/>
      <c r="AB17" s="54"/>
      <c r="AC17" s="54"/>
      <c r="AD17" s="54"/>
      <c r="AE17" s="54"/>
      <c r="AF17" s="35"/>
      <c r="AG17" s="54"/>
      <c r="AH17" s="54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>
        <v>0</v>
      </c>
      <c r="BF17" s="30">
        <v>0</v>
      </c>
      <c r="BG17" s="30">
        <v>0</v>
      </c>
      <c r="BH17" s="30">
        <v>0</v>
      </c>
      <c r="BI17" s="30">
        <v>0</v>
      </c>
      <c r="BJ17" s="30">
        <v>0</v>
      </c>
      <c r="BK17" s="30">
        <v>0</v>
      </c>
      <c r="BL17" s="30">
        <v>0</v>
      </c>
      <c r="BM17" s="30">
        <v>3</v>
      </c>
      <c r="BN17" s="30">
        <v>14</v>
      </c>
      <c r="BO17" s="30">
        <v>15</v>
      </c>
      <c r="BP17" s="30">
        <v>12</v>
      </c>
      <c r="BQ17" s="30">
        <v>21</v>
      </c>
      <c r="BR17" s="30">
        <v>25</v>
      </c>
      <c r="BS17" s="30">
        <v>23</v>
      </c>
      <c r="BT17" s="30">
        <v>32</v>
      </c>
      <c r="BU17" s="30">
        <f>+BT17+3</f>
        <v>35</v>
      </c>
      <c r="BV17" s="30">
        <f t="shared" ref="BV17:BZ17" si="76">+BU17+3</f>
        <v>38</v>
      </c>
      <c r="BW17" s="30">
        <f t="shared" si="76"/>
        <v>41</v>
      </c>
      <c r="BX17" s="30">
        <f t="shared" si="76"/>
        <v>44</v>
      </c>
      <c r="BY17" s="30">
        <f t="shared" si="76"/>
        <v>47</v>
      </c>
      <c r="BZ17" s="30">
        <f t="shared" si="76"/>
        <v>50</v>
      </c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54"/>
      <c r="CY17" s="50"/>
      <c r="CZ17" s="54"/>
      <c r="DA17" s="35"/>
      <c r="DB17" s="66"/>
      <c r="DC17" s="66"/>
      <c r="DD17" s="35"/>
      <c r="DE17" s="35"/>
      <c r="DF17" s="30"/>
      <c r="DG17" s="30">
        <v>0</v>
      </c>
      <c r="DH17" s="30">
        <v>0</v>
      </c>
      <c r="DI17" s="30">
        <f t="shared" si="58"/>
        <v>17</v>
      </c>
      <c r="DJ17" s="35">
        <f t="shared" si="16"/>
        <v>73</v>
      </c>
      <c r="DK17" s="30">
        <f t="shared" si="59"/>
        <v>128</v>
      </c>
      <c r="DL17" s="30">
        <f t="shared" si="60"/>
        <v>182</v>
      </c>
      <c r="DM17" s="30">
        <f t="shared" si="73"/>
        <v>218.4</v>
      </c>
      <c r="DN17" s="30">
        <f t="shared" si="73"/>
        <v>262.08</v>
      </c>
      <c r="DO17" s="30">
        <f t="shared" si="73"/>
        <v>314.49599999999998</v>
      </c>
      <c r="DP17" s="30">
        <f t="shared" si="73"/>
        <v>377.39519999999999</v>
      </c>
      <c r="DQ17" s="35">
        <f t="shared" si="70"/>
        <v>396.26496000000003</v>
      </c>
      <c r="DR17" s="35">
        <f t="shared" si="67"/>
        <v>416.07820800000007</v>
      </c>
      <c r="DS17" s="25">
        <f t="shared" si="71"/>
        <v>420.23899008000006</v>
      </c>
    </row>
    <row r="18" spans="2:123" s="25" customFormat="1" x14ac:dyDescent="0.2">
      <c r="B18" s="44" t="s">
        <v>628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5"/>
      <c r="W18" s="35"/>
      <c r="X18" s="35"/>
      <c r="Y18" s="54"/>
      <c r="Z18" s="54"/>
      <c r="AA18" s="54"/>
      <c r="AB18" s="54"/>
      <c r="AC18" s="54"/>
      <c r="AD18" s="54"/>
      <c r="AE18" s="54"/>
      <c r="AF18" s="35"/>
      <c r="AG18" s="54"/>
      <c r="AH18" s="54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>
        <v>0</v>
      </c>
      <c r="BF18" s="30">
        <v>0</v>
      </c>
      <c r="BG18" s="30">
        <v>0</v>
      </c>
      <c r="BH18" s="30">
        <v>0</v>
      </c>
      <c r="BI18" s="30">
        <v>0</v>
      </c>
      <c r="BJ18" s="30">
        <v>0</v>
      </c>
      <c r="BK18" s="30">
        <v>0</v>
      </c>
      <c r="BL18" s="30">
        <v>0</v>
      </c>
      <c r="BM18" s="30">
        <v>0</v>
      </c>
      <c r="BN18" s="30">
        <v>0</v>
      </c>
      <c r="BO18" s="30">
        <v>0</v>
      </c>
      <c r="BP18" s="30">
        <v>0</v>
      </c>
      <c r="BQ18" s="30">
        <v>0</v>
      </c>
      <c r="BR18" s="30">
        <v>0</v>
      </c>
      <c r="BS18" s="30">
        <v>6</v>
      </c>
      <c r="BT18" s="30">
        <v>58</v>
      </c>
      <c r="BU18" s="30">
        <f>+BT18+30</f>
        <v>88</v>
      </c>
      <c r="BV18" s="30">
        <f t="shared" ref="BV18:BZ18" si="77">+BU18+30</f>
        <v>118</v>
      </c>
      <c r="BW18" s="30">
        <f t="shared" si="77"/>
        <v>148</v>
      </c>
      <c r="BX18" s="30">
        <f t="shared" si="77"/>
        <v>178</v>
      </c>
      <c r="BY18" s="30">
        <f t="shared" si="77"/>
        <v>208</v>
      </c>
      <c r="BZ18" s="30">
        <f t="shared" si="77"/>
        <v>238</v>
      </c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54"/>
      <c r="CY18" s="50"/>
      <c r="CZ18" s="54"/>
      <c r="DA18" s="35"/>
      <c r="DB18" s="66"/>
      <c r="DC18" s="66"/>
      <c r="DD18" s="35"/>
      <c r="DE18" s="35"/>
      <c r="DF18" s="30"/>
      <c r="DG18" s="30">
        <v>0</v>
      </c>
      <c r="DH18" s="30">
        <v>0</v>
      </c>
      <c r="DI18" s="30">
        <f t="shared" si="58"/>
        <v>0</v>
      </c>
      <c r="DJ18" s="35">
        <f t="shared" si="16"/>
        <v>0</v>
      </c>
      <c r="DK18" s="30">
        <f t="shared" si="59"/>
        <v>270</v>
      </c>
      <c r="DL18" s="30">
        <f t="shared" ref="DL18" si="78">SUM(BW18:BZ18)</f>
        <v>772</v>
      </c>
      <c r="DM18" s="30">
        <f>+DL18*1.2</f>
        <v>926.4</v>
      </c>
      <c r="DN18" s="30">
        <f t="shared" ref="DN18:DP18" si="79">+DM18*1.2</f>
        <v>1111.6799999999998</v>
      </c>
      <c r="DO18" s="30">
        <f t="shared" si="79"/>
        <v>1334.0159999999998</v>
      </c>
      <c r="DP18" s="30">
        <f t="shared" si="79"/>
        <v>1600.8191999999997</v>
      </c>
      <c r="DQ18" s="30">
        <f>+DP18*1.1</f>
        <v>1760.9011199999998</v>
      </c>
      <c r="DR18" s="30">
        <f>+DQ18*1.05</f>
        <v>1848.9461759999999</v>
      </c>
      <c r="DS18" s="30">
        <f>+DR18*1.01</f>
        <v>1867.43563776</v>
      </c>
    </row>
    <row r="19" spans="2:123" s="25" customFormat="1" x14ac:dyDescent="0.2">
      <c r="B19" s="44" t="s">
        <v>629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5"/>
      <c r="W19" s="35"/>
      <c r="X19" s="35"/>
      <c r="Y19" s="54"/>
      <c r="Z19" s="54"/>
      <c r="AA19" s="54"/>
      <c r="AB19" s="54"/>
      <c r="AC19" s="54"/>
      <c r="AD19" s="54"/>
      <c r="AE19" s="54"/>
      <c r="AF19" s="35"/>
      <c r="AG19" s="54"/>
      <c r="AH19" s="54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>
        <v>0</v>
      </c>
      <c r="BF19" s="30">
        <v>0</v>
      </c>
      <c r="BG19" s="30">
        <v>0</v>
      </c>
      <c r="BH19" s="30">
        <v>0</v>
      </c>
      <c r="BI19" s="30">
        <v>0</v>
      </c>
      <c r="BJ19" s="30">
        <v>166</v>
      </c>
      <c r="BK19" s="30">
        <v>300</v>
      </c>
      <c r="BL19" s="30">
        <v>308</v>
      </c>
      <c r="BM19" s="30">
        <v>342</v>
      </c>
      <c r="BN19" s="30">
        <v>297</v>
      </c>
      <c r="BO19" s="30">
        <v>314</v>
      </c>
      <c r="BP19" s="30">
        <v>296</v>
      </c>
      <c r="BQ19" s="30">
        <v>266</v>
      </c>
      <c r="BR19" s="30">
        <v>305</v>
      </c>
      <c r="BS19" s="30">
        <v>214</v>
      </c>
      <c r="BT19" s="30">
        <v>241</v>
      </c>
      <c r="BU19" s="30">
        <f t="shared" ref="BU19:BZ19" si="80">+BT19-20</f>
        <v>221</v>
      </c>
      <c r="BV19" s="30">
        <f t="shared" si="80"/>
        <v>201</v>
      </c>
      <c r="BW19" s="30">
        <f t="shared" si="80"/>
        <v>181</v>
      </c>
      <c r="BX19" s="30">
        <f t="shared" si="80"/>
        <v>161</v>
      </c>
      <c r="BY19" s="30">
        <f t="shared" si="80"/>
        <v>141</v>
      </c>
      <c r="BZ19" s="30">
        <f t="shared" si="80"/>
        <v>121</v>
      </c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54"/>
      <c r="CY19" s="50"/>
      <c r="CZ19" s="54"/>
      <c r="DA19" s="35"/>
      <c r="DB19" s="66"/>
      <c r="DC19" s="66"/>
      <c r="DD19" s="35"/>
      <c r="DE19" s="35"/>
      <c r="DF19" s="30"/>
      <c r="DG19" s="30">
        <v>0</v>
      </c>
      <c r="DH19" s="30">
        <v>166</v>
      </c>
      <c r="DI19" s="30">
        <f t="shared" si="58"/>
        <v>1247</v>
      </c>
      <c r="DJ19" s="35">
        <f t="shared" si="16"/>
        <v>1181</v>
      </c>
      <c r="DK19" s="30">
        <f t="shared" si="59"/>
        <v>877</v>
      </c>
      <c r="DL19" s="30">
        <f>SUM(BW19:BZ19)</f>
        <v>604</v>
      </c>
      <c r="DM19" s="30">
        <f t="shared" ref="DM19:DR19" si="81">+DL19*0.9</f>
        <v>543.6</v>
      </c>
      <c r="DN19" s="30">
        <f t="shared" si="81"/>
        <v>489.24</v>
      </c>
      <c r="DO19" s="30">
        <f t="shared" si="81"/>
        <v>440.31600000000003</v>
      </c>
      <c r="DP19" s="30">
        <f t="shared" si="81"/>
        <v>396.28440000000006</v>
      </c>
      <c r="DQ19" s="30">
        <f t="shared" si="81"/>
        <v>356.65596000000005</v>
      </c>
      <c r="DR19" s="30">
        <f t="shared" si="81"/>
        <v>320.99036400000006</v>
      </c>
      <c r="DS19" s="30">
        <f t="shared" ref="DS19" si="82">+DR19*0.9</f>
        <v>288.89132760000007</v>
      </c>
    </row>
    <row r="20" spans="2:123" s="25" customFormat="1" x14ac:dyDescent="0.2">
      <c r="B20" s="44" t="s">
        <v>649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5"/>
      <c r="W20" s="35"/>
      <c r="X20" s="35"/>
      <c r="Y20" s="54"/>
      <c r="Z20" s="54"/>
      <c r="AA20" s="54"/>
      <c r="AB20" s="54"/>
      <c r="AC20" s="54"/>
      <c r="AD20" s="54"/>
      <c r="AE20" s="54"/>
      <c r="AF20" s="35"/>
      <c r="AG20" s="54"/>
      <c r="AH20" s="54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>
        <v>0</v>
      </c>
      <c r="BF20" s="30">
        <v>0</v>
      </c>
      <c r="BG20" s="30">
        <v>0</v>
      </c>
      <c r="BH20" s="30">
        <v>0</v>
      </c>
      <c r="BI20" s="30">
        <v>0</v>
      </c>
      <c r="BJ20" s="30">
        <v>0</v>
      </c>
      <c r="BK20" s="30">
        <v>0</v>
      </c>
      <c r="BL20" s="30">
        <v>0</v>
      </c>
      <c r="BM20" s="30">
        <v>0</v>
      </c>
      <c r="BN20" s="30">
        <v>0</v>
      </c>
      <c r="BO20" s="30">
        <v>0</v>
      </c>
      <c r="BP20" s="30">
        <v>0</v>
      </c>
      <c r="BQ20" s="30">
        <v>0</v>
      </c>
      <c r="BR20" s="30">
        <v>0</v>
      </c>
      <c r="BS20" s="30">
        <v>0</v>
      </c>
      <c r="BT20" s="30">
        <v>3</v>
      </c>
      <c r="BU20" s="30">
        <f>+BT20+15</f>
        <v>18</v>
      </c>
      <c r="BV20" s="30">
        <f>+BU20+25</f>
        <v>43</v>
      </c>
      <c r="BW20" s="30">
        <f>+BV20+25</f>
        <v>68</v>
      </c>
      <c r="BX20" s="30">
        <f>+BW20+30</f>
        <v>98</v>
      </c>
      <c r="BY20" s="30">
        <f t="shared" ref="BY20:BZ20" si="83">+BX20+30</f>
        <v>128</v>
      </c>
      <c r="BZ20" s="30">
        <f t="shared" si="83"/>
        <v>158</v>
      </c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54"/>
      <c r="CY20" s="50"/>
      <c r="CZ20" s="54"/>
      <c r="DA20" s="35"/>
      <c r="DB20" s="66"/>
      <c r="DC20" s="66"/>
      <c r="DD20" s="35"/>
      <c r="DE20" s="35"/>
      <c r="DF20" s="30"/>
      <c r="DG20" s="30">
        <v>0</v>
      </c>
      <c r="DH20" s="30">
        <v>0</v>
      </c>
      <c r="DI20" s="30">
        <f t="shared" si="58"/>
        <v>0</v>
      </c>
      <c r="DJ20" s="35">
        <f t="shared" si="16"/>
        <v>0</v>
      </c>
      <c r="DK20" s="30">
        <f t="shared" si="59"/>
        <v>64</v>
      </c>
      <c r="DL20" s="30">
        <f t="shared" ref="DL20" si="84">SUM(BW20:BZ20)</f>
        <v>452</v>
      </c>
      <c r="DM20" s="30">
        <f>+DL20*1.5</f>
        <v>678</v>
      </c>
      <c r="DN20" s="35">
        <f>+DM20*1.3</f>
        <v>881.4</v>
      </c>
      <c r="DO20" s="35">
        <f>+DN20*1.3</f>
        <v>1145.82</v>
      </c>
      <c r="DP20" s="35">
        <f>+DO20*1.3</f>
        <v>1489.566</v>
      </c>
      <c r="DQ20" s="35">
        <f>+DP20*1.2</f>
        <v>1787.4792</v>
      </c>
      <c r="DR20" s="35">
        <f>+DQ20*1.15</f>
        <v>2055.6010799999999</v>
      </c>
      <c r="DS20" s="25">
        <f>+DR20*1.1</f>
        <v>2261.161188</v>
      </c>
    </row>
    <row r="21" spans="2:123" s="25" customFormat="1" x14ac:dyDescent="0.2">
      <c r="B21" s="44" t="s">
        <v>675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5"/>
      <c r="W21" s="35"/>
      <c r="X21" s="35"/>
      <c r="Y21" s="54"/>
      <c r="Z21" s="54"/>
      <c r="AA21" s="54"/>
      <c r="AB21" s="54"/>
      <c r="AC21" s="54"/>
      <c r="AD21" s="54"/>
      <c r="AE21" s="54"/>
      <c r="AF21" s="35"/>
      <c r="AG21" s="54"/>
      <c r="AH21" s="54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>
        <v>25</v>
      </c>
      <c r="BV21" s="30">
        <v>50</v>
      </c>
      <c r="BW21" s="30">
        <v>75</v>
      </c>
      <c r="BX21" s="30">
        <v>100</v>
      </c>
      <c r="BY21" s="30">
        <v>125</v>
      </c>
      <c r="BZ21" s="30">
        <v>150</v>
      </c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54"/>
      <c r="CY21" s="50"/>
      <c r="CZ21" s="54"/>
      <c r="DA21" s="35"/>
      <c r="DB21" s="66"/>
      <c r="DC21" s="66"/>
      <c r="DD21" s="35"/>
      <c r="DE21" s="35"/>
      <c r="DF21" s="30"/>
      <c r="DG21" s="30">
        <v>0</v>
      </c>
      <c r="DH21" s="30">
        <v>0</v>
      </c>
      <c r="DI21" s="30">
        <f t="shared" ref="DI21" si="85">SUM(BK21:BN21)</f>
        <v>0</v>
      </c>
      <c r="DJ21" s="35">
        <f t="shared" ref="DJ21" si="86">SUM(BO21:BR21)</f>
        <v>0</v>
      </c>
      <c r="DK21" s="30">
        <f t="shared" si="59"/>
        <v>75</v>
      </c>
      <c r="DL21" s="30">
        <f t="shared" ref="DL21" si="87">SUM(BW21:BZ21)</f>
        <v>450</v>
      </c>
      <c r="DM21" s="30">
        <f>+DL21*1.5</f>
        <v>675</v>
      </c>
      <c r="DN21" s="30">
        <f t="shared" ref="DN21:DP21" si="88">+DM21*1.5</f>
        <v>1012.5</v>
      </c>
      <c r="DO21" s="30">
        <f t="shared" si="88"/>
        <v>1518.75</v>
      </c>
      <c r="DP21" s="30">
        <f t="shared" si="88"/>
        <v>2278.125</v>
      </c>
      <c r="DQ21" s="35">
        <f>+DP21*1.3</f>
        <v>2961.5625</v>
      </c>
      <c r="DR21" s="35">
        <f>+DQ21*1.25</f>
        <v>3701.953125</v>
      </c>
      <c r="DS21" s="25">
        <f>+DR21*1.05</f>
        <v>3887.05078125</v>
      </c>
    </row>
    <row r="22" spans="2:123" s="25" customFormat="1" x14ac:dyDescent="0.2">
      <c r="B22" s="44" t="s">
        <v>650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5"/>
      <c r="W22" s="35"/>
      <c r="X22" s="35"/>
      <c r="Y22" s="54"/>
      <c r="Z22" s="54"/>
      <c r="AA22" s="54"/>
      <c r="AB22" s="54"/>
      <c r="AC22" s="54"/>
      <c r="AD22" s="54"/>
      <c r="AE22" s="54"/>
      <c r="AF22" s="35"/>
      <c r="AG22" s="54"/>
      <c r="AH22" s="54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>
        <v>0</v>
      </c>
      <c r="BF22" s="30">
        <v>0</v>
      </c>
      <c r="BG22" s="30">
        <v>0</v>
      </c>
      <c r="BH22" s="30">
        <v>0</v>
      </c>
      <c r="BI22" s="30">
        <v>0</v>
      </c>
      <c r="BJ22" s="30">
        <v>58</v>
      </c>
      <c r="BK22" s="30">
        <v>158</v>
      </c>
      <c r="BL22" s="30">
        <v>126</v>
      </c>
      <c r="BM22" s="30">
        <v>106</v>
      </c>
      <c r="BN22" s="30"/>
      <c r="BO22" s="30"/>
      <c r="BP22" s="30"/>
      <c r="BQ22" s="30">
        <v>36</v>
      </c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54"/>
      <c r="CY22" s="50"/>
      <c r="CZ22" s="54"/>
      <c r="DA22" s="35"/>
      <c r="DB22" s="66"/>
      <c r="DC22" s="66"/>
      <c r="DD22" s="35"/>
      <c r="DE22" s="35"/>
      <c r="DF22" s="30"/>
      <c r="DG22" s="30">
        <v>0</v>
      </c>
      <c r="DH22" s="30">
        <v>58</v>
      </c>
      <c r="DI22" s="30">
        <f t="shared" si="58"/>
        <v>390</v>
      </c>
      <c r="DJ22" s="35">
        <f>SUM(BO22:BR22)</f>
        <v>36</v>
      </c>
      <c r="DK22" s="30"/>
      <c r="DL22" s="30"/>
      <c r="DM22" s="30"/>
      <c r="DN22" s="30"/>
      <c r="DO22" s="30"/>
      <c r="DP22" s="30"/>
      <c r="DQ22" s="30"/>
      <c r="DR22" s="30"/>
      <c r="DS22" s="30"/>
    </row>
    <row r="23" spans="2:123" ht="2.25" customHeight="1" x14ac:dyDescent="0.2">
      <c r="B23" s="23" t="s">
        <v>423</v>
      </c>
      <c r="V23" s="35"/>
      <c r="W23" s="33"/>
      <c r="X23" s="33"/>
      <c r="Y23" s="49"/>
      <c r="Z23" s="49"/>
      <c r="AA23" s="49"/>
      <c r="AB23" s="49"/>
      <c r="AC23" s="49"/>
      <c r="AD23" s="49"/>
      <c r="AE23" s="49"/>
      <c r="AF23" s="35"/>
      <c r="AG23" s="54"/>
      <c r="AH23" s="54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54" t="s">
        <v>362</v>
      </c>
      <c r="CY23" s="54" t="s">
        <v>362</v>
      </c>
      <c r="CZ23" s="54" t="s">
        <v>362</v>
      </c>
      <c r="DA23" s="35" t="s">
        <v>480</v>
      </c>
      <c r="DB23" s="66" t="s">
        <v>480</v>
      </c>
      <c r="DC23" s="66" t="s">
        <v>480</v>
      </c>
      <c r="DD23" s="35" t="s">
        <v>481</v>
      </c>
      <c r="DE23" s="35">
        <v>50</v>
      </c>
      <c r="DF23" s="30">
        <v>100</v>
      </c>
      <c r="DG23" s="85" t="s">
        <v>653</v>
      </c>
      <c r="DH23" s="85" t="s">
        <v>651</v>
      </c>
      <c r="DI23" s="85" t="s">
        <v>651</v>
      </c>
      <c r="DJ23" s="30"/>
      <c r="DK23" s="30"/>
      <c r="DL23" s="30"/>
      <c r="DM23" s="30"/>
      <c r="DN23" s="35"/>
    </row>
    <row r="24" spans="2:123" ht="2.25" customHeight="1" x14ac:dyDescent="0.2">
      <c r="B24" s="23" t="s">
        <v>422</v>
      </c>
      <c r="V24" s="35" t="s">
        <v>362</v>
      </c>
      <c r="W24" s="33" t="s">
        <v>362</v>
      </c>
      <c r="X24" s="33" t="s">
        <v>362</v>
      </c>
      <c r="Y24" s="49" t="s">
        <v>362</v>
      </c>
      <c r="Z24" s="49" t="s">
        <v>362</v>
      </c>
      <c r="AA24" s="49" t="s">
        <v>362</v>
      </c>
      <c r="AB24" s="49">
        <v>2</v>
      </c>
      <c r="AC24" s="49" t="s">
        <v>362</v>
      </c>
      <c r="AD24" s="48">
        <v>1</v>
      </c>
      <c r="AE24" s="28">
        <v>1</v>
      </c>
      <c r="AF24" s="30">
        <v>3</v>
      </c>
      <c r="AG24" s="50">
        <v>3</v>
      </c>
      <c r="AH24" s="50">
        <f>11-SUM(AE24:AG24)</f>
        <v>4</v>
      </c>
      <c r="AI24" s="30">
        <v>5</v>
      </c>
      <c r="AJ24" s="30">
        <v>6</v>
      </c>
      <c r="AK24" s="30">
        <v>7</v>
      </c>
      <c r="AL24" s="30"/>
      <c r="AM24" s="30"/>
      <c r="AN24" s="30"/>
      <c r="AO24" s="30"/>
      <c r="AP24" s="30"/>
      <c r="AQ24" s="30"/>
      <c r="AR24" s="30"/>
      <c r="AS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50"/>
      <c r="CY24" s="50"/>
      <c r="CZ24" s="50">
        <f>SUM(AA24:AD24)</f>
        <v>3</v>
      </c>
      <c r="DA24" s="30">
        <f>SUM(AE24:AH24)</f>
        <v>11</v>
      </c>
      <c r="DB24" s="65">
        <v>15</v>
      </c>
      <c r="DC24" s="65">
        <v>20</v>
      </c>
      <c r="DD24" s="30">
        <v>20</v>
      </c>
      <c r="DE24" s="30">
        <v>20</v>
      </c>
      <c r="DF24" s="30">
        <v>20</v>
      </c>
      <c r="DG24" s="85" t="s">
        <v>652</v>
      </c>
      <c r="DH24" s="85" t="s">
        <v>652</v>
      </c>
      <c r="DI24" s="85" t="s">
        <v>652</v>
      </c>
      <c r="DJ24" s="30"/>
      <c r="DK24" s="30"/>
      <c r="DL24" s="30"/>
      <c r="DM24" s="30"/>
      <c r="DN24" s="30"/>
    </row>
    <row r="25" spans="2:123" ht="2.25" customHeight="1" x14ac:dyDescent="0.2">
      <c r="B25" s="1" t="s">
        <v>89</v>
      </c>
      <c r="V25" s="35" t="s">
        <v>362</v>
      </c>
      <c r="W25" s="33" t="s">
        <v>362</v>
      </c>
      <c r="X25" s="33" t="s">
        <v>362</v>
      </c>
      <c r="Y25" s="49" t="s">
        <v>362</v>
      </c>
      <c r="Z25" s="49" t="s">
        <v>362</v>
      </c>
      <c r="AA25" s="49" t="s">
        <v>362</v>
      </c>
      <c r="AB25" s="49" t="s">
        <v>362</v>
      </c>
      <c r="AC25" s="49" t="s">
        <v>362</v>
      </c>
      <c r="AD25" s="49" t="s">
        <v>362</v>
      </c>
      <c r="AE25" s="33" t="s">
        <v>362</v>
      </c>
      <c r="AF25" s="35" t="s">
        <v>362</v>
      </c>
      <c r="AG25" s="54" t="s">
        <v>362</v>
      </c>
      <c r="AH25" s="54" t="s">
        <v>362</v>
      </c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>
        <v>363</v>
      </c>
      <c r="CR25" s="30">
        <v>336</v>
      </c>
      <c r="CS25" s="30">
        <v>318</v>
      </c>
      <c r="CT25" s="30"/>
      <c r="CU25" s="30"/>
      <c r="CV25" s="30"/>
      <c r="CW25" s="30"/>
      <c r="CX25" s="54" t="s">
        <v>362</v>
      </c>
      <c r="CY25" s="54" t="s">
        <v>362</v>
      </c>
      <c r="CZ25" s="54" t="s">
        <v>362</v>
      </c>
      <c r="DA25" s="35" t="s">
        <v>362</v>
      </c>
      <c r="DB25" s="66" t="s">
        <v>362</v>
      </c>
      <c r="DC25" s="66" t="s">
        <v>362</v>
      </c>
      <c r="DD25" s="35" t="s">
        <v>362</v>
      </c>
      <c r="DE25" s="35" t="s">
        <v>362</v>
      </c>
      <c r="DF25" s="35" t="s">
        <v>362</v>
      </c>
      <c r="DG25" s="35"/>
      <c r="DH25" s="35"/>
      <c r="DI25" s="35"/>
      <c r="DJ25" s="35"/>
      <c r="DK25" s="35"/>
      <c r="DL25" s="35"/>
      <c r="DM25" s="35"/>
      <c r="DN25" s="35"/>
    </row>
    <row r="26" spans="2:123" ht="2.25" customHeight="1" x14ac:dyDescent="0.2">
      <c r="B26" s="1" t="s">
        <v>96</v>
      </c>
      <c r="V26" s="35" t="s">
        <v>362</v>
      </c>
      <c r="W26" s="33" t="s">
        <v>362</v>
      </c>
      <c r="X26" s="33" t="s">
        <v>362</v>
      </c>
      <c r="Y26" s="49" t="s">
        <v>362</v>
      </c>
      <c r="Z26" s="49" t="s">
        <v>362</v>
      </c>
      <c r="AA26" s="49" t="s">
        <v>362</v>
      </c>
      <c r="AB26" s="49" t="s">
        <v>362</v>
      </c>
      <c r="AC26" s="49" t="s">
        <v>362</v>
      </c>
      <c r="AD26" s="49" t="s">
        <v>362</v>
      </c>
      <c r="AE26" s="33" t="s">
        <v>362</v>
      </c>
      <c r="AF26" s="35" t="s">
        <v>362</v>
      </c>
      <c r="AG26" s="54" t="s">
        <v>362</v>
      </c>
      <c r="AH26" s="54" t="s">
        <v>362</v>
      </c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>
        <v>1026</v>
      </c>
      <c r="CR26" s="30">
        <v>1166</v>
      </c>
      <c r="CS26" s="30">
        <v>903</v>
      </c>
      <c r="CT26" s="30"/>
      <c r="CU26" s="30"/>
      <c r="CV26" s="30"/>
      <c r="CW26" s="30"/>
      <c r="CX26" s="54" t="s">
        <v>362</v>
      </c>
      <c r="CY26" s="54" t="s">
        <v>362</v>
      </c>
      <c r="CZ26" s="54" t="s">
        <v>362</v>
      </c>
      <c r="DA26" s="35" t="s">
        <v>362</v>
      </c>
      <c r="DB26" s="66" t="s">
        <v>362</v>
      </c>
      <c r="DC26" s="66" t="s">
        <v>362</v>
      </c>
      <c r="DD26" s="35" t="s">
        <v>362</v>
      </c>
      <c r="DE26" s="35" t="s">
        <v>362</v>
      </c>
      <c r="DF26" s="35" t="s">
        <v>362</v>
      </c>
      <c r="DG26" s="35"/>
      <c r="DH26" s="35"/>
      <c r="DI26" s="35"/>
      <c r="DJ26" s="35"/>
      <c r="DK26" s="35"/>
      <c r="DL26" s="35"/>
      <c r="DM26" s="35"/>
      <c r="DN26" s="35"/>
    </row>
    <row r="27" spans="2:123" ht="2.25" customHeight="1" x14ac:dyDescent="0.2">
      <c r="B27" s="1" t="s">
        <v>98</v>
      </c>
      <c r="C27" s="30">
        <f>3578-SUM(C3:C26)-C44-C45</f>
        <v>2853</v>
      </c>
      <c r="D27" s="30">
        <f>3886-SUM(D3:D26)-C44-C45</f>
        <v>3161</v>
      </c>
      <c r="E27" s="30">
        <f>3778-SUM(E3:E26)-C44-C45</f>
        <v>3053</v>
      </c>
      <c r="F27" s="30">
        <f>4012-SUM(F3:F26)-C44-C45</f>
        <v>3287</v>
      </c>
      <c r="G27" s="30">
        <f>3700-SUM(G3:G26)-C44-C45</f>
        <v>2970</v>
      </c>
      <c r="H27" s="30">
        <f>3859-SUM(H3:H26)-C44-C45</f>
        <v>3116</v>
      </c>
      <c r="I27" s="30">
        <f>3154-SUM(I3:I26)-C44-C45</f>
        <v>2384</v>
      </c>
      <c r="J27" s="30">
        <f>3145-SUM(J3:J26)-C44-C45</f>
        <v>2374</v>
      </c>
      <c r="K27" s="30">
        <f>3457-SUM(K2:K26)-C44-C45</f>
        <v>2670</v>
      </c>
      <c r="L27" s="30">
        <f>3851-SUM(L3:L26)-C44-C45</f>
        <v>3036</v>
      </c>
      <c r="M27" s="30">
        <f>3926-SUM(M3:M26)-M44-M45</f>
        <v>3632</v>
      </c>
      <c r="N27" s="30">
        <f>4388-SUM(N3:N26)-N44-N45</f>
        <v>4053</v>
      </c>
      <c r="O27" s="30">
        <f>4188-SUM(O3:O26)-O44-O45</f>
        <v>3868</v>
      </c>
      <c r="P27" s="30">
        <f>4475-SUM(P3:P26)-P44-P45</f>
        <v>4123</v>
      </c>
      <c r="Q27" s="30">
        <f>4510-SUM(Q3:Q26)-Q44-Q45</f>
        <v>4184</v>
      </c>
      <c r="R27" s="30">
        <f>4542-SUM(R3:R26)-R44-R45</f>
        <v>4201</v>
      </c>
      <c r="S27" s="30">
        <f>4322-SUM(S3:S26)</f>
        <v>4110</v>
      </c>
      <c r="T27" s="30">
        <f>4665-SUM(T3:T26)</f>
        <v>4410</v>
      </c>
      <c r="U27" s="30">
        <f>4788-SUM(U3:U26)</f>
        <v>4519</v>
      </c>
      <c r="V27" s="30">
        <f>5033-SUM(V3:V26)</f>
        <v>4746</v>
      </c>
      <c r="W27" s="30">
        <v>781</v>
      </c>
      <c r="X27" s="30">
        <f>4768-SUM(X3:X26)</f>
        <v>4458</v>
      </c>
      <c r="Y27" s="50">
        <v>721</v>
      </c>
      <c r="Z27" s="50">
        <v>830</v>
      </c>
      <c r="AA27" s="50">
        <v>734</v>
      </c>
      <c r="AB27" s="50">
        <v>750</v>
      </c>
      <c r="AC27" s="50">
        <v>725</v>
      </c>
      <c r="AD27" s="50">
        <v>741</v>
      </c>
      <c r="AE27" s="35">
        <v>681</v>
      </c>
      <c r="AF27" s="30">
        <v>672</v>
      </c>
      <c r="AG27" s="50">
        <v>644</v>
      </c>
      <c r="AH27" s="50">
        <f>2695-SUM(AE27:AG27)</f>
        <v>698</v>
      </c>
      <c r="AI27" s="30">
        <v>691</v>
      </c>
      <c r="AJ27" s="30">
        <v>671</v>
      </c>
      <c r="AK27" s="30">
        <v>670</v>
      </c>
      <c r="AL27" s="30"/>
      <c r="AM27" s="30"/>
      <c r="AN27" s="30">
        <v>767</v>
      </c>
      <c r="AO27" s="30"/>
      <c r="AP27" s="30"/>
      <c r="AQ27" s="30"/>
      <c r="AR27" s="30"/>
      <c r="AS27" s="30"/>
      <c r="CD27" s="30"/>
      <c r="CE27" s="30"/>
      <c r="CF27" s="30"/>
      <c r="CG27" s="30"/>
      <c r="CH27" s="30"/>
      <c r="CI27" s="30"/>
      <c r="CJ27" s="30"/>
      <c r="CK27" s="30"/>
      <c r="CL27" s="30"/>
      <c r="CM27" s="30"/>
      <c r="CN27" s="30"/>
      <c r="CO27" s="30"/>
      <c r="CP27" s="30"/>
      <c r="CQ27" s="30">
        <v>1878</v>
      </c>
      <c r="CR27" s="30">
        <v>3087</v>
      </c>
      <c r="CS27" s="30">
        <v>2667</v>
      </c>
      <c r="CT27" s="30">
        <f>SUM(C27:F27)</f>
        <v>12354</v>
      </c>
      <c r="CU27" s="30">
        <f>SUM(G27:J27)</f>
        <v>10844</v>
      </c>
      <c r="CV27" s="30">
        <f>SUM(K27:N27)</f>
        <v>13391</v>
      </c>
      <c r="CW27" s="30">
        <f>SUM(O27:R27)</f>
        <v>16376</v>
      </c>
      <c r="CX27" s="50">
        <f>SUM(S27:V27)</f>
        <v>17785</v>
      </c>
      <c r="CY27" s="50">
        <f>SUM(W27:Z27)</f>
        <v>6790</v>
      </c>
      <c r="CZ27" s="50">
        <f>SUM(AA27:AD27)</f>
        <v>2950</v>
      </c>
      <c r="DA27" s="30">
        <f>SUM(AE27:AH27)</f>
        <v>2695</v>
      </c>
      <c r="DB27" s="65">
        <f>DA27*0.95</f>
        <v>2560.25</v>
      </c>
      <c r="DC27" s="65">
        <f>DB27*0.95</f>
        <v>2432.2374999999997</v>
      </c>
      <c r="DD27" s="30">
        <f>DC27*0.95</f>
        <v>2310.6256249999997</v>
      </c>
      <c r="DE27" s="30">
        <f>DD27*0.95</f>
        <v>2195.0943437499996</v>
      </c>
      <c r="DF27" s="30">
        <f>DE27*0.95</f>
        <v>2085.3396265624997</v>
      </c>
    </row>
    <row r="28" spans="2:123" ht="2.25" customHeight="1" x14ac:dyDescent="0.2">
      <c r="B28" s="1" t="s">
        <v>94</v>
      </c>
      <c r="V28" s="30"/>
      <c r="AF28" s="30"/>
      <c r="AG28" s="50"/>
      <c r="AH28" s="5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>
        <v>1211</v>
      </c>
      <c r="CR28" s="30">
        <v>1267</v>
      </c>
      <c r="CS28" s="30">
        <v>1343</v>
      </c>
      <c r="CT28" s="30"/>
      <c r="CU28" s="30"/>
      <c r="CV28" s="30">
        <v>897</v>
      </c>
      <c r="CW28" s="30"/>
      <c r="CX28" s="54" t="s">
        <v>362</v>
      </c>
      <c r="CY28" s="54" t="s">
        <v>362</v>
      </c>
      <c r="CZ28" s="54" t="s">
        <v>362</v>
      </c>
      <c r="DA28" s="35" t="s">
        <v>362</v>
      </c>
      <c r="DB28" s="66" t="s">
        <v>362</v>
      </c>
      <c r="DC28" s="66" t="s">
        <v>362</v>
      </c>
      <c r="DD28" s="35" t="s">
        <v>362</v>
      </c>
      <c r="DE28" s="35" t="s">
        <v>362</v>
      </c>
      <c r="DF28" s="35" t="s">
        <v>362</v>
      </c>
      <c r="DG28" s="35"/>
      <c r="DH28" s="35"/>
      <c r="DI28" s="35"/>
      <c r="DJ28" s="35"/>
      <c r="DK28" s="35"/>
      <c r="DL28" s="35"/>
      <c r="DM28" s="35"/>
      <c r="DN28" s="35"/>
    </row>
    <row r="29" spans="2:123" ht="2.25" customHeight="1" x14ac:dyDescent="0.2">
      <c r="B29" s="1" t="s">
        <v>88</v>
      </c>
      <c r="C29" s="28">
        <v>49</v>
      </c>
      <c r="D29" s="28">
        <v>50</v>
      </c>
      <c r="E29" s="28">
        <v>53</v>
      </c>
      <c r="F29" s="28">
        <v>56</v>
      </c>
      <c r="G29" s="28">
        <v>55</v>
      </c>
      <c r="H29" s="28">
        <v>55</v>
      </c>
      <c r="I29" s="28">
        <v>53</v>
      </c>
      <c r="J29" s="28">
        <v>57</v>
      </c>
      <c r="K29" s="28">
        <v>46</v>
      </c>
      <c r="L29" s="28">
        <v>52</v>
      </c>
      <c r="M29" s="28">
        <v>50</v>
      </c>
      <c r="N29" s="28">
        <v>53</v>
      </c>
      <c r="V29" s="30"/>
      <c r="AF29" s="30"/>
      <c r="AG29" s="50"/>
      <c r="AH29" s="5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>
        <v>300</v>
      </c>
      <c r="CR29" s="30">
        <v>303</v>
      </c>
      <c r="CS29" s="30">
        <v>255</v>
      </c>
      <c r="CT29" s="30">
        <v>212</v>
      </c>
      <c r="CU29" s="30">
        <f t="shared" ref="CU29:CU47" si="89">SUM(G29:J29)</f>
        <v>220</v>
      </c>
      <c r="CV29" s="30">
        <v>213</v>
      </c>
      <c r="CW29" s="30"/>
      <c r="CX29" s="54" t="s">
        <v>362</v>
      </c>
      <c r="CY29" s="54" t="s">
        <v>362</v>
      </c>
      <c r="CZ29" s="54" t="s">
        <v>362</v>
      </c>
      <c r="DA29" s="35" t="s">
        <v>362</v>
      </c>
      <c r="DB29" s="66" t="s">
        <v>362</v>
      </c>
      <c r="DC29" s="66" t="s">
        <v>362</v>
      </c>
      <c r="DD29" s="35" t="s">
        <v>362</v>
      </c>
      <c r="DE29" s="35" t="s">
        <v>362</v>
      </c>
      <c r="DF29" s="35" t="s">
        <v>362</v>
      </c>
      <c r="DG29" s="35"/>
      <c r="DH29" s="35"/>
      <c r="DI29" s="35"/>
      <c r="DJ29" s="35"/>
      <c r="DK29" s="35"/>
      <c r="DL29" s="35"/>
      <c r="DM29" s="35"/>
      <c r="DN29" s="35"/>
    </row>
    <row r="30" spans="2:123" ht="2.25" customHeight="1" x14ac:dyDescent="0.2">
      <c r="B30" s="23" t="s">
        <v>585</v>
      </c>
      <c r="V30" s="30"/>
      <c r="AF30" s="30"/>
      <c r="AG30" s="50"/>
      <c r="AH30" s="50"/>
      <c r="AI30" s="30"/>
      <c r="AJ30" s="30"/>
      <c r="AK30" s="30"/>
      <c r="AL30" s="30"/>
      <c r="AM30" s="30"/>
      <c r="AN30" s="30">
        <v>27</v>
      </c>
      <c r="AO30" s="30"/>
      <c r="AP30" s="30"/>
      <c r="AQ30" s="30"/>
      <c r="AR30" s="30"/>
      <c r="AS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50"/>
      <c r="CY30" s="50"/>
      <c r="CZ30" s="50"/>
      <c r="DA30" s="30"/>
      <c r="DB30" s="65"/>
      <c r="DC30" s="65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</row>
    <row r="31" spans="2:123" ht="2.25" customHeight="1" x14ac:dyDescent="0.2">
      <c r="B31" s="23" t="s">
        <v>463</v>
      </c>
      <c r="C31" s="28">
        <v>196</v>
      </c>
      <c r="D31" s="28">
        <v>258</v>
      </c>
      <c r="E31" s="28">
        <v>251</v>
      </c>
      <c r="F31" s="28">
        <v>277</v>
      </c>
      <c r="G31" s="28">
        <v>233</v>
      </c>
      <c r="H31" s="28">
        <v>280</v>
      </c>
      <c r="I31" s="28">
        <v>277</v>
      </c>
      <c r="J31" s="28">
        <v>307</v>
      </c>
      <c r="K31" s="28">
        <v>270</v>
      </c>
      <c r="L31" s="28">
        <v>297</v>
      </c>
      <c r="M31" s="28">
        <v>309</v>
      </c>
      <c r="N31" s="28">
        <v>328</v>
      </c>
      <c r="O31" s="28">
        <v>305</v>
      </c>
      <c r="P31" s="28">
        <v>335</v>
      </c>
      <c r="Q31" s="28">
        <v>334</v>
      </c>
      <c r="R31" s="28">
        <v>316</v>
      </c>
      <c r="S31" s="28">
        <v>302</v>
      </c>
      <c r="T31" s="28">
        <v>313</v>
      </c>
      <c r="U31" s="28">
        <v>329</v>
      </c>
      <c r="V31" s="30">
        <v>339</v>
      </c>
      <c r="W31" s="28">
        <v>314</v>
      </c>
      <c r="X31" s="30">
        <v>307</v>
      </c>
      <c r="Y31" s="50">
        <v>303</v>
      </c>
      <c r="Z31" s="50">
        <v>252</v>
      </c>
      <c r="AA31" s="50">
        <v>290</v>
      </c>
      <c r="AB31" s="50">
        <v>251</v>
      </c>
      <c r="AC31" s="50">
        <v>216</v>
      </c>
      <c r="AD31" s="50">
        <v>195</v>
      </c>
      <c r="AE31" s="30">
        <v>207</v>
      </c>
      <c r="AF31" s="30">
        <v>117</v>
      </c>
      <c r="AG31" s="50">
        <v>95</v>
      </c>
      <c r="AH31" s="50">
        <f>503-SUM(AE31:AG31)</f>
        <v>84</v>
      </c>
      <c r="AI31" s="30">
        <v>46</v>
      </c>
      <c r="AJ31" s="30">
        <v>56</v>
      </c>
      <c r="AK31" s="30">
        <v>71</v>
      </c>
      <c r="AL31" s="30"/>
      <c r="AM31" s="30"/>
      <c r="AN31" s="30"/>
      <c r="AO31" s="30"/>
      <c r="AP31" s="30"/>
      <c r="AQ31" s="30"/>
      <c r="AR31" s="30"/>
      <c r="AS31" s="30"/>
      <c r="CD31" s="30"/>
      <c r="CE31" s="30"/>
      <c r="CF31" s="30"/>
      <c r="CH31" s="30" t="s">
        <v>327</v>
      </c>
      <c r="CI31" s="30"/>
      <c r="CJ31" s="30"/>
      <c r="CK31" s="30"/>
      <c r="CL31" s="30"/>
      <c r="CM31" s="30"/>
      <c r="CN31" s="30"/>
      <c r="CO31" s="30"/>
      <c r="CP31" s="30"/>
      <c r="CQ31" s="30">
        <v>586</v>
      </c>
      <c r="CR31" s="30">
        <v>757</v>
      </c>
      <c r="CS31" s="30">
        <v>930</v>
      </c>
      <c r="CT31" s="30">
        <f>SUM(C31:F31)</f>
        <v>982</v>
      </c>
      <c r="CU31" s="30">
        <f>SUM(G31:J31)</f>
        <v>1097</v>
      </c>
      <c r="CV31" s="30">
        <f>SUM(K31:N31)</f>
        <v>1204</v>
      </c>
      <c r="CW31" s="30">
        <f>SUM(O31:R31)</f>
        <v>1290</v>
      </c>
      <c r="CX31" s="50">
        <f>SUM(S31:V31)</f>
        <v>1283</v>
      </c>
      <c r="CY31" s="50">
        <f>SUM(W31:Z31)</f>
        <v>1176</v>
      </c>
      <c r="CZ31" s="50">
        <f>SUM(AA31:AD31)</f>
        <v>952</v>
      </c>
      <c r="DA31" s="30">
        <f>SUM(AE31:AH31)</f>
        <v>503</v>
      </c>
      <c r="DB31" s="65">
        <f>DA31*0.5</f>
        <v>251.5</v>
      </c>
      <c r="DC31" s="65">
        <f>DB31*0.9</f>
        <v>226.35</v>
      </c>
      <c r="DD31" s="30">
        <f>DC31*0.9</f>
        <v>203.715</v>
      </c>
      <c r="DE31" s="30">
        <f>DD31*0.9</f>
        <v>183.34350000000001</v>
      </c>
      <c r="DF31" s="30">
        <f>DE31*0.9</f>
        <v>165.00915000000001</v>
      </c>
      <c r="DG31" s="30"/>
      <c r="DH31" s="30"/>
      <c r="DI31" s="30"/>
      <c r="DJ31" s="30"/>
      <c r="DK31" s="30"/>
      <c r="DL31" s="30"/>
      <c r="DM31" s="30"/>
      <c r="DN31" s="30"/>
    </row>
    <row r="32" spans="2:123" ht="2.25" customHeight="1" x14ac:dyDescent="0.2">
      <c r="B32" s="23" t="s">
        <v>210</v>
      </c>
      <c r="N32" s="28">
        <v>15</v>
      </c>
      <c r="O32" s="28">
        <v>25</v>
      </c>
      <c r="P32" s="28">
        <v>26</v>
      </c>
      <c r="Q32" s="28">
        <v>25</v>
      </c>
      <c r="R32" s="28">
        <v>25</v>
      </c>
      <c r="S32" s="28">
        <v>24</v>
      </c>
      <c r="T32" s="28">
        <v>29</v>
      </c>
      <c r="U32" s="28">
        <v>28</v>
      </c>
      <c r="V32" s="30">
        <v>28</v>
      </c>
      <c r="W32" s="28">
        <v>29</v>
      </c>
      <c r="X32" s="33">
        <v>29</v>
      </c>
      <c r="Y32" s="49">
        <v>29</v>
      </c>
      <c r="Z32" s="49" t="s">
        <v>362</v>
      </c>
      <c r="AA32" s="49" t="s">
        <v>362</v>
      </c>
      <c r="AB32" s="49" t="s">
        <v>362</v>
      </c>
      <c r="AC32" s="49" t="s">
        <v>362</v>
      </c>
      <c r="AD32" s="49" t="s">
        <v>362</v>
      </c>
      <c r="AE32" s="33" t="s">
        <v>362</v>
      </c>
      <c r="AF32" s="35" t="s">
        <v>362</v>
      </c>
      <c r="AG32" s="54" t="s">
        <v>362</v>
      </c>
      <c r="AH32" s="54" t="s">
        <v>362</v>
      </c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>
        <f>SUM(K32:N32)</f>
        <v>15</v>
      </c>
      <c r="CW32" s="30">
        <f>SUM(O32:R32)</f>
        <v>101</v>
      </c>
      <c r="CX32" s="50">
        <f>SUM(S32:V32)</f>
        <v>109</v>
      </c>
      <c r="CY32" s="50">
        <f>SUM(W32:Z32)</f>
        <v>87</v>
      </c>
      <c r="CZ32" s="54" t="s">
        <v>362</v>
      </c>
      <c r="DA32" s="35" t="s">
        <v>362</v>
      </c>
      <c r="DB32" s="66" t="s">
        <v>362</v>
      </c>
      <c r="DC32" s="66" t="s">
        <v>362</v>
      </c>
      <c r="DD32" s="35" t="s">
        <v>362</v>
      </c>
      <c r="DE32" s="35" t="s">
        <v>362</v>
      </c>
      <c r="DF32" s="35" t="s">
        <v>362</v>
      </c>
      <c r="DG32" s="35"/>
      <c r="DH32" s="35"/>
      <c r="DI32" s="35"/>
      <c r="DJ32" s="35"/>
      <c r="DK32" s="35"/>
      <c r="DL32" s="35"/>
      <c r="DM32" s="35"/>
      <c r="DN32" s="35"/>
    </row>
    <row r="33" spans="2:119" ht="2.25" customHeight="1" x14ac:dyDescent="0.2">
      <c r="B33" s="1" t="s">
        <v>238</v>
      </c>
      <c r="C33" s="28">
        <v>235</v>
      </c>
      <c r="D33" s="28">
        <v>250</v>
      </c>
      <c r="E33" s="28">
        <v>230</v>
      </c>
      <c r="F33" s="28">
        <v>277</v>
      </c>
      <c r="G33" s="28">
        <v>237</v>
      </c>
      <c r="H33" s="28">
        <v>253</v>
      </c>
      <c r="I33" s="28">
        <v>246</v>
      </c>
      <c r="J33" s="28">
        <v>271</v>
      </c>
      <c r="K33" s="28">
        <v>254</v>
      </c>
      <c r="L33" s="28">
        <v>267</v>
      </c>
      <c r="M33" s="28">
        <v>281</v>
      </c>
      <c r="N33" s="28">
        <v>280</v>
      </c>
      <c r="O33" s="28">
        <v>290</v>
      </c>
      <c r="P33" s="28">
        <v>287</v>
      </c>
      <c r="Q33" s="28">
        <v>295</v>
      </c>
      <c r="R33" s="28">
        <v>285</v>
      </c>
      <c r="S33" s="33" t="s">
        <v>362</v>
      </c>
      <c r="T33" s="33" t="s">
        <v>362</v>
      </c>
      <c r="U33" s="33" t="s">
        <v>362</v>
      </c>
      <c r="V33" s="30" t="str">
        <f>U33</f>
        <v>-</v>
      </c>
      <c r="W33" s="33" t="s">
        <v>362</v>
      </c>
      <c r="X33" s="33" t="s">
        <v>362</v>
      </c>
      <c r="Y33" s="49" t="s">
        <v>362</v>
      </c>
      <c r="Z33" s="49" t="s">
        <v>362</v>
      </c>
      <c r="AA33" s="49" t="s">
        <v>362</v>
      </c>
      <c r="AB33" s="49" t="s">
        <v>362</v>
      </c>
      <c r="AC33" s="49" t="s">
        <v>362</v>
      </c>
      <c r="AD33" s="49" t="s">
        <v>362</v>
      </c>
      <c r="AE33" s="49" t="s">
        <v>362</v>
      </c>
      <c r="AF33" s="35" t="s">
        <v>362</v>
      </c>
      <c r="AG33" s="54" t="s">
        <v>362</v>
      </c>
      <c r="AH33" s="54" t="s">
        <v>362</v>
      </c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>
        <f>SUM(C33:F33)</f>
        <v>992</v>
      </c>
      <c r="CU33" s="30">
        <f>SUM(G33:J33)</f>
        <v>1007</v>
      </c>
      <c r="CV33" s="30">
        <f>SUM(K33:N33)</f>
        <v>1082</v>
      </c>
      <c r="CW33" s="30">
        <f>SUM(O33:R33)</f>
        <v>1157</v>
      </c>
      <c r="CX33" s="54" t="s">
        <v>362</v>
      </c>
      <c r="CY33" s="54" t="s">
        <v>362</v>
      </c>
      <c r="CZ33" s="54" t="s">
        <v>362</v>
      </c>
      <c r="DA33" s="35" t="s">
        <v>362</v>
      </c>
      <c r="DB33" s="66" t="s">
        <v>362</v>
      </c>
      <c r="DC33" s="66" t="s">
        <v>362</v>
      </c>
      <c r="DD33" s="35" t="s">
        <v>362</v>
      </c>
      <c r="DE33" s="35" t="s">
        <v>362</v>
      </c>
      <c r="DF33" s="35" t="s">
        <v>362</v>
      </c>
      <c r="DG33" s="35"/>
      <c r="DH33" s="35"/>
      <c r="DI33" s="35"/>
      <c r="DJ33" s="35"/>
      <c r="DK33" s="35"/>
      <c r="DL33" s="35"/>
      <c r="DM33" s="35"/>
      <c r="DN33" s="35"/>
    </row>
    <row r="34" spans="2:119" ht="2.25" customHeight="1" x14ac:dyDescent="0.2">
      <c r="B34" s="23" t="s">
        <v>462</v>
      </c>
      <c r="V34" s="30">
        <v>4</v>
      </c>
      <c r="W34" s="28">
        <v>10</v>
      </c>
      <c r="X34" s="28">
        <v>28</v>
      </c>
      <c r="Y34" s="48">
        <v>47</v>
      </c>
      <c r="Z34" s="48">
        <v>73</v>
      </c>
      <c r="AA34" s="48">
        <v>81</v>
      </c>
      <c r="AB34" s="48">
        <v>112</v>
      </c>
      <c r="AC34" s="48">
        <v>127</v>
      </c>
      <c r="AD34" s="48">
        <v>153</v>
      </c>
      <c r="AE34" s="28">
        <v>161</v>
      </c>
      <c r="AF34" s="30">
        <v>172</v>
      </c>
      <c r="AG34" s="50">
        <v>178</v>
      </c>
      <c r="AH34" s="50">
        <f>709-AG34-AF34-AE34</f>
        <v>198</v>
      </c>
      <c r="AI34" s="30">
        <v>202</v>
      </c>
      <c r="AJ34" s="30">
        <v>240</v>
      </c>
      <c r="AK34" s="30">
        <v>211</v>
      </c>
      <c r="AL34" s="30"/>
      <c r="AM34" s="30"/>
      <c r="AN34" s="30"/>
      <c r="AO34" s="30"/>
      <c r="AP34" s="30"/>
      <c r="AQ34" s="30"/>
      <c r="AR34" s="30"/>
      <c r="AS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50">
        <f>SUM(S34:V34)</f>
        <v>4</v>
      </c>
      <c r="CY34" s="50">
        <f>SUM(W34:Z34)</f>
        <v>158</v>
      </c>
      <c r="CZ34" s="50">
        <f>SUM(AA34:AD34)</f>
        <v>473</v>
      </c>
      <c r="DA34" s="30">
        <f>SUM(AE34:AH34)</f>
        <v>709</v>
      </c>
      <c r="DB34" s="65">
        <f>+DA34*1.3</f>
        <v>921.7</v>
      </c>
      <c r="DC34" s="65">
        <f>+DB34*1.15</f>
        <v>1059.9549999999999</v>
      </c>
      <c r="DD34" s="30">
        <f t="shared" ref="DD34:DF34" si="90">+DC34*1.1</f>
        <v>1165.9504999999999</v>
      </c>
      <c r="DE34" s="30">
        <f t="shared" si="90"/>
        <v>1282.54555</v>
      </c>
      <c r="DF34" s="30">
        <f t="shared" si="90"/>
        <v>1410.8001050000003</v>
      </c>
      <c r="DG34" s="30"/>
      <c r="DH34" s="30"/>
      <c r="DI34" s="30"/>
      <c r="DJ34" s="30"/>
      <c r="DK34" s="30"/>
      <c r="DL34" s="30"/>
      <c r="DM34" s="30"/>
      <c r="DN34" s="30"/>
      <c r="DO34" s="30"/>
    </row>
    <row r="35" spans="2:119" ht="2.25" customHeight="1" x14ac:dyDescent="0.2">
      <c r="B35" s="23" t="s">
        <v>456</v>
      </c>
      <c r="C35" s="30">
        <v>814</v>
      </c>
      <c r="D35" s="30">
        <v>968</v>
      </c>
      <c r="E35" s="30">
        <v>980</v>
      </c>
      <c r="F35" s="30">
        <v>1061</v>
      </c>
      <c r="G35" s="30">
        <v>986</v>
      </c>
      <c r="H35" s="30">
        <v>1145</v>
      </c>
      <c r="I35" s="30">
        <v>630</v>
      </c>
      <c r="J35" s="30">
        <v>496</v>
      </c>
      <c r="K35" s="30">
        <v>938</v>
      </c>
      <c r="L35" s="30">
        <v>1189</v>
      </c>
      <c r="M35" s="30">
        <v>1254</v>
      </c>
      <c r="N35" s="30">
        <v>1374</v>
      </c>
      <c r="O35" s="30">
        <v>1308</v>
      </c>
      <c r="P35" s="30">
        <v>1387</v>
      </c>
      <c r="Q35" s="30">
        <v>1439</v>
      </c>
      <c r="R35" s="30">
        <v>1469</v>
      </c>
      <c r="S35" s="30">
        <v>1435</v>
      </c>
      <c r="T35" s="30">
        <v>1539</v>
      </c>
      <c r="U35" s="30">
        <v>1554</v>
      </c>
      <c r="V35" s="30">
        <v>1618</v>
      </c>
      <c r="W35" s="30">
        <v>1666</v>
      </c>
      <c r="X35" s="30">
        <v>1627</v>
      </c>
      <c r="Y35" s="50">
        <v>1658</v>
      </c>
      <c r="Z35" s="50">
        <v>1715</v>
      </c>
      <c r="AA35" s="50">
        <v>1762</v>
      </c>
      <c r="AB35" s="50">
        <v>1865</v>
      </c>
      <c r="AC35" s="50">
        <v>1788</v>
      </c>
      <c r="AD35" s="50">
        <v>1672</v>
      </c>
      <c r="AE35" s="30">
        <v>1693</v>
      </c>
      <c r="AF35" s="30">
        <v>741</v>
      </c>
      <c r="AG35" s="50">
        <v>64</v>
      </c>
      <c r="AH35" s="50">
        <f>2547-AG35-AF35-AE35</f>
        <v>49</v>
      </c>
      <c r="AI35" s="30">
        <v>91</v>
      </c>
      <c r="AJ35" s="30">
        <v>44</v>
      </c>
      <c r="AK35" s="30">
        <v>42</v>
      </c>
      <c r="AL35" s="30"/>
      <c r="AM35" s="30"/>
      <c r="AN35" s="30"/>
      <c r="AO35" s="30"/>
      <c r="AP35" s="30"/>
      <c r="AQ35" s="30"/>
      <c r="AR35" s="30"/>
      <c r="AS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>
        <v>1890</v>
      </c>
      <c r="CR35" s="30">
        <v>2467</v>
      </c>
      <c r="CS35" s="30">
        <v>3327</v>
      </c>
      <c r="CT35" s="30">
        <f>SUM(C35:F35)</f>
        <v>3823</v>
      </c>
      <c r="CU35" s="30">
        <f>SUM(G35:J35)</f>
        <v>3257</v>
      </c>
      <c r="CV35" s="30">
        <f>SUM(K35:N35)</f>
        <v>4755</v>
      </c>
      <c r="CW35" s="30">
        <f>SUM(O35:R35)</f>
        <v>5603</v>
      </c>
      <c r="CX35" s="50">
        <f>SUM(S35:V35)</f>
        <v>6146</v>
      </c>
      <c r="CY35" s="50">
        <f>SUM(W35:Z35)</f>
        <v>6666</v>
      </c>
      <c r="CZ35" s="50">
        <f>SUM(AA35:AD35)</f>
        <v>7087</v>
      </c>
      <c r="DA35" s="30">
        <f>SUM(AE35:AH35)</f>
        <v>2547</v>
      </c>
      <c r="DB35" s="65">
        <f>DA35*0.2</f>
        <v>509.40000000000003</v>
      </c>
      <c r="DC35" s="65">
        <f>+DB35*0.5</f>
        <v>254.70000000000002</v>
      </c>
      <c r="DD35" s="30">
        <f>+DC35*0.5</f>
        <v>127.35000000000001</v>
      </c>
      <c r="DE35" s="30">
        <f t="shared" ref="DE35:DF35" si="91">+DD35*0.9</f>
        <v>114.61500000000001</v>
      </c>
      <c r="DF35" s="30">
        <f t="shared" si="91"/>
        <v>103.15350000000001</v>
      </c>
      <c r="DG35" s="30"/>
      <c r="DH35" s="30"/>
      <c r="DI35" s="30"/>
      <c r="DJ35" s="30"/>
      <c r="DK35" s="30"/>
      <c r="DL35" s="30"/>
      <c r="DM35" s="30"/>
      <c r="DN35" s="30"/>
    </row>
    <row r="36" spans="2:119" ht="2.25" customHeight="1" x14ac:dyDescent="0.2">
      <c r="B36" s="23" t="s">
        <v>578</v>
      </c>
      <c r="V36" s="35"/>
      <c r="W36" s="33"/>
      <c r="X36" s="33"/>
      <c r="Y36" s="49"/>
      <c r="Z36" s="49"/>
      <c r="AA36" s="49"/>
      <c r="AB36" s="49"/>
      <c r="AC36" s="49"/>
      <c r="AD36" s="49"/>
      <c r="AE36" s="49"/>
      <c r="AF36" s="35"/>
      <c r="AG36" s="54">
        <f>55+20</f>
        <v>75</v>
      </c>
      <c r="AH36" s="54">
        <f>149-AG36</f>
        <v>74</v>
      </c>
      <c r="AI36" s="35">
        <f>52+85</f>
        <v>137</v>
      </c>
      <c r="AJ36" s="35">
        <f>66+104</f>
        <v>170</v>
      </c>
      <c r="AK36" s="35">
        <f>87+106</f>
        <v>193</v>
      </c>
      <c r="AL36" s="35"/>
      <c r="AM36" s="35"/>
      <c r="AN36" s="35"/>
      <c r="AO36" s="35"/>
      <c r="AP36" s="35"/>
      <c r="AQ36" s="35"/>
      <c r="AR36" s="35"/>
      <c r="AS36" s="35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54"/>
      <c r="CY36" s="54"/>
      <c r="CZ36" s="54"/>
      <c r="DA36" s="35">
        <v>50</v>
      </c>
      <c r="DB36" s="66">
        <v>800</v>
      </c>
      <c r="DC36" s="66">
        <v>1000</v>
      </c>
      <c r="DD36" s="35">
        <v>1100</v>
      </c>
      <c r="DE36" s="35">
        <f>+DD36*1.05</f>
        <v>1155</v>
      </c>
      <c r="DF36" s="35">
        <f t="shared" ref="DF36" si="92">+DE36*1.05</f>
        <v>1212.75</v>
      </c>
      <c r="DG36" s="35"/>
      <c r="DH36" s="35"/>
      <c r="DI36" s="35"/>
      <c r="DJ36" s="35"/>
      <c r="DK36" s="35"/>
      <c r="DL36" s="35"/>
      <c r="DM36" s="35"/>
      <c r="DN36" s="35"/>
    </row>
    <row r="37" spans="2:119" ht="2.25" customHeight="1" x14ac:dyDescent="0.2">
      <c r="B37" s="23" t="s">
        <v>577</v>
      </c>
      <c r="V37" s="35"/>
      <c r="W37" s="33"/>
      <c r="X37" s="33"/>
      <c r="Y37" s="49"/>
      <c r="Z37" s="49"/>
      <c r="AA37" s="49"/>
      <c r="AB37" s="49"/>
      <c r="AC37" s="49"/>
      <c r="AD37" s="49"/>
      <c r="AE37" s="49"/>
      <c r="AF37" s="35"/>
      <c r="AG37" s="54"/>
      <c r="AH37" s="54"/>
      <c r="AI37" s="35">
        <v>3</v>
      </c>
      <c r="AJ37" s="35">
        <v>5</v>
      </c>
      <c r="AK37" s="35">
        <v>7</v>
      </c>
      <c r="AL37" s="35"/>
      <c r="AM37" s="35"/>
      <c r="AN37" s="35"/>
      <c r="AO37" s="35"/>
      <c r="AP37" s="35"/>
      <c r="AQ37" s="35"/>
      <c r="AR37" s="35"/>
      <c r="AS37" s="35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54"/>
      <c r="CY37" s="50"/>
      <c r="CZ37" s="54"/>
      <c r="DA37" s="35">
        <v>50</v>
      </c>
      <c r="DB37" s="65">
        <v>100</v>
      </c>
      <c r="DC37" s="65">
        <v>150</v>
      </c>
      <c r="DD37" s="30">
        <v>200</v>
      </c>
      <c r="DE37" s="30">
        <v>200</v>
      </c>
      <c r="DF37" s="30">
        <v>200</v>
      </c>
      <c r="DG37" s="85" t="s">
        <v>651</v>
      </c>
      <c r="DH37" s="85" t="s">
        <v>651</v>
      </c>
      <c r="DI37" s="85" t="s">
        <v>651</v>
      </c>
      <c r="DJ37" s="35"/>
      <c r="DK37" s="35"/>
      <c r="DL37" s="35"/>
      <c r="DM37" s="35"/>
      <c r="DN37" s="35"/>
    </row>
    <row r="38" spans="2:119" ht="2.25" customHeight="1" x14ac:dyDescent="0.2">
      <c r="B38" s="23" t="s">
        <v>449</v>
      </c>
      <c r="C38" s="28">
        <v>87</v>
      </c>
      <c r="D38" s="28">
        <v>98</v>
      </c>
      <c r="E38" s="28">
        <v>107</v>
      </c>
      <c r="F38" s="28">
        <v>121</v>
      </c>
      <c r="G38" s="28">
        <v>138</v>
      </c>
      <c r="H38" s="28">
        <v>172</v>
      </c>
      <c r="I38" s="28">
        <v>175</v>
      </c>
      <c r="J38" s="28">
        <v>167</v>
      </c>
      <c r="K38" s="28">
        <v>160</v>
      </c>
      <c r="L38" s="28">
        <v>162</v>
      </c>
      <c r="M38" s="28">
        <v>185</v>
      </c>
      <c r="N38" s="28">
        <v>185</v>
      </c>
      <c r="O38" s="28">
        <v>187</v>
      </c>
      <c r="P38" s="28">
        <v>196</v>
      </c>
      <c r="Q38" s="28">
        <v>184</v>
      </c>
      <c r="R38" s="28">
        <v>182</v>
      </c>
      <c r="S38" s="28">
        <v>164</v>
      </c>
      <c r="T38" s="28">
        <v>173</v>
      </c>
      <c r="U38" s="28">
        <v>179</v>
      </c>
      <c r="V38" s="30">
        <v>167</v>
      </c>
      <c r="W38" s="28">
        <v>166</v>
      </c>
      <c r="X38" s="28">
        <v>172</v>
      </c>
      <c r="Y38" s="48">
        <v>159</v>
      </c>
      <c r="Z38" s="48">
        <v>165</v>
      </c>
      <c r="AA38" s="48">
        <v>165</v>
      </c>
      <c r="AB38" s="48">
        <v>173</v>
      </c>
      <c r="AC38" s="48">
        <v>172</v>
      </c>
      <c r="AD38" s="48">
        <v>181</v>
      </c>
      <c r="AE38" s="28">
        <v>179</v>
      </c>
      <c r="AF38" s="30">
        <v>179</v>
      </c>
      <c r="AG38" s="50">
        <v>173</v>
      </c>
      <c r="AH38" s="50">
        <f>702-AG38-AF38-AE38</f>
        <v>171</v>
      </c>
      <c r="AI38" s="30">
        <v>162</v>
      </c>
      <c r="AJ38" s="30">
        <v>171</v>
      </c>
      <c r="AK38" s="30">
        <v>183</v>
      </c>
      <c r="AL38" s="30"/>
      <c r="AM38" s="30"/>
      <c r="AN38" s="30">
        <v>186</v>
      </c>
      <c r="AO38" s="30"/>
      <c r="AP38" s="30"/>
      <c r="AQ38" s="30"/>
      <c r="AR38" s="30"/>
      <c r="AS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>
        <v>260</v>
      </c>
      <c r="CT38" s="30">
        <f t="shared" ref="CT38:CT47" si="93">SUM(C38:F38)</f>
        <v>413</v>
      </c>
      <c r="CU38" s="30">
        <f>SUM(G38:J38)</f>
        <v>652</v>
      </c>
      <c r="CV38" s="30">
        <f>SUM(K38:N38)</f>
        <v>692</v>
      </c>
      <c r="CW38" s="30">
        <f>SUM(O38:R38)</f>
        <v>749</v>
      </c>
      <c r="CX38" s="50">
        <f>SUM(S38:V38)</f>
        <v>683</v>
      </c>
      <c r="CY38" s="50">
        <f>SUM(W38:Z38)</f>
        <v>662</v>
      </c>
      <c r="CZ38" s="50">
        <f>SUM(AA38:AD38)</f>
        <v>691</v>
      </c>
      <c r="DA38" s="30">
        <f>SUM(AE38:AH38)</f>
        <v>702</v>
      </c>
      <c r="DB38" s="65">
        <f>DA38*1.05</f>
        <v>737.1</v>
      </c>
      <c r="DC38" s="65">
        <f>DB38*1.05</f>
        <v>773.95500000000004</v>
      </c>
      <c r="DD38" s="30">
        <f>DC38*1.05</f>
        <v>812.65275000000008</v>
      </c>
      <c r="DE38" s="30">
        <f>DD38*1.05</f>
        <v>853.28538750000007</v>
      </c>
      <c r="DF38" s="30">
        <f>DE38*1.01</f>
        <v>861.81824137500007</v>
      </c>
      <c r="DG38" s="30"/>
      <c r="DH38" s="30"/>
      <c r="DI38" s="30"/>
      <c r="DJ38" s="30"/>
      <c r="DK38" s="30"/>
      <c r="DL38" s="30"/>
      <c r="DM38" s="30"/>
      <c r="DN38" s="30"/>
    </row>
    <row r="39" spans="2:119" ht="2.25" customHeight="1" x14ac:dyDescent="0.2">
      <c r="B39" s="23" t="s">
        <v>457</v>
      </c>
      <c r="C39" s="28">
        <v>188</v>
      </c>
      <c r="D39" s="28">
        <v>240</v>
      </c>
      <c r="E39" s="28">
        <v>260</v>
      </c>
      <c r="F39" s="28">
        <v>224</v>
      </c>
      <c r="G39" s="28">
        <v>283</v>
      </c>
      <c r="H39" s="28">
        <v>324</v>
      </c>
      <c r="I39" s="28">
        <v>313</v>
      </c>
      <c r="J39" s="28">
        <v>362</v>
      </c>
      <c r="K39" s="28">
        <v>366</v>
      </c>
      <c r="L39" s="28">
        <v>412</v>
      </c>
      <c r="M39" s="28">
        <v>420</v>
      </c>
      <c r="N39" s="28">
        <v>462</v>
      </c>
      <c r="O39" s="28">
        <v>454</v>
      </c>
      <c r="P39" s="28">
        <v>529</v>
      </c>
      <c r="Q39" s="28">
        <v>564</v>
      </c>
      <c r="R39" s="28">
        <v>606</v>
      </c>
      <c r="S39" s="28">
        <v>589</v>
      </c>
      <c r="T39" s="28">
        <v>643</v>
      </c>
      <c r="U39" s="28">
        <v>653</v>
      </c>
      <c r="V39" s="30">
        <v>707</v>
      </c>
      <c r="W39" s="28">
        <v>617</v>
      </c>
      <c r="X39" s="28">
        <v>633</v>
      </c>
      <c r="Y39" s="48">
        <v>608</v>
      </c>
      <c r="Z39" s="48">
        <v>707</v>
      </c>
      <c r="AA39" s="48">
        <v>624</v>
      </c>
      <c r="AB39" s="48">
        <v>706</v>
      </c>
      <c r="AC39" s="48">
        <v>691</v>
      </c>
      <c r="AD39" s="48">
        <v>737</v>
      </c>
      <c r="AE39" s="28">
        <v>621</v>
      </c>
      <c r="AF39" s="30">
        <v>711</v>
      </c>
      <c r="AG39" s="50">
        <v>676</v>
      </c>
      <c r="AH39" s="50">
        <f>2827-AG39-AF39-AE39</f>
        <v>819</v>
      </c>
      <c r="AI39" s="30">
        <v>522</v>
      </c>
      <c r="AJ39" s="30">
        <v>563</v>
      </c>
      <c r="AK39" s="30">
        <v>569</v>
      </c>
      <c r="AL39" s="30"/>
      <c r="AM39" s="30"/>
      <c r="AN39" s="30">
        <v>555</v>
      </c>
      <c r="AO39" s="30"/>
      <c r="AP39" s="30"/>
      <c r="AQ39" s="30"/>
      <c r="AR39" s="30"/>
      <c r="AS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>
        <v>284</v>
      </c>
      <c r="CS39" s="30">
        <v>593</v>
      </c>
      <c r="CT39" s="30">
        <f t="shared" si="93"/>
        <v>912</v>
      </c>
      <c r="CU39" s="30">
        <f>SUM(G39:J39)</f>
        <v>1282</v>
      </c>
      <c r="CV39" s="30">
        <f>SUM(K39:N39)</f>
        <v>1660</v>
      </c>
      <c r="CW39" s="30">
        <f>SUM(O39:R39)</f>
        <v>2153</v>
      </c>
      <c r="CX39" s="50">
        <f>SUM(S39:V39)</f>
        <v>2592</v>
      </c>
      <c r="CY39" s="50">
        <f>SUM(W39:Z39)</f>
        <v>2565</v>
      </c>
      <c r="CZ39" s="50">
        <f>SUM(AA39:AD39)</f>
        <v>2758</v>
      </c>
      <c r="DA39" s="30">
        <f>SUM(AE39:AH39)</f>
        <v>2827</v>
      </c>
      <c r="DB39" s="65">
        <f>DA39*1.05</f>
        <v>2968.35</v>
      </c>
      <c r="DC39" s="65">
        <f>DB39*1</f>
        <v>2968.35</v>
      </c>
      <c r="DD39" s="30">
        <f>DC39*0.2</f>
        <v>593.66999999999996</v>
      </c>
      <c r="DE39" s="30">
        <f t="shared" ref="DE39:DF39" si="94">DD39*0.5</f>
        <v>296.83499999999998</v>
      </c>
      <c r="DF39" s="30">
        <f t="shared" si="94"/>
        <v>148.41749999999999</v>
      </c>
      <c r="DG39" s="30"/>
      <c r="DH39" s="30"/>
      <c r="DI39" s="30"/>
      <c r="DJ39" s="30"/>
      <c r="DK39" s="30"/>
      <c r="DL39" s="30"/>
      <c r="DM39" s="30"/>
      <c r="DN39" s="30"/>
    </row>
    <row r="40" spans="2:119" ht="2.25" customHeight="1" x14ac:dyDescent="0.2">
      <c r="B40" s="23" t="s">
        <v>458</v>
      </c>
      <c r="C40" s="28">
        <v>173</v>
      </c>
      <c r="D40" s="28">
        <v>167</v>
      </c>
      <c r="E40" s="28">
        <v>170</v>
      </c>
      <c r="F40" s="28">
        <v>170</v>
      </c>
      <c r="G40" s="28">
        <v>175</v>
      </c>
      <c r="H40" s="28">
        <v>193</v>
      </c>
      <c r="I40" s="28">
        <v>201</v>
      </c>
      <c r="J40" s="28">
        <v>222</v>
      </c>
      <c r="K40" s="28">
        <v>226</v>
      </c>
      <c r="L40" s="28">
        <v>233</v>
      </c>
      <c r="M40" s="28">
        <v>237</v>
      </c>
      <c r="N40" s="28">
        <v>260</v>
      </c>
      <c r="O40" s="28">
        <v>273</v>
      </c>
      <c r="P40" s="28">
        <v>282</v>
      </c>
      <c r="Q40" s="28">
        <v>294</v>
      </c>
      <c r="R40" s="28">
        <v>300</v>
      </c>
      <c r="S40" s="28">
        <v>292</v>
      </c>
      <c r="T40" s="28">
        <v>312</v>
      </c>
      <c r="U40" s="28">
        <v>315</v>
      </c>
      <c r="V40" s="30">
        <v>358</v>
      </c>
      <c r="W40" s="28">
        <v>335</v>
      </c>
      <c r="X40" s="28">
        <v>331</v>
      </c>
      <c r="Y40" s="48">
        <v>342</v>
      </c>
      <c r="Z40" s="48">
        <v>360</v>
      </c>
      <c r="AA40" s="48">
        <v>343</v>
      </c>
      <c r="AB40" s="48">
        <v>371</v>
      </c>
      <c r="AC40" s="48">
        <v>359</v>
      </c>
      <c r="AD40" s="50">
        <v>412</v>
      </c>
      <c r="AE40" s="30">
        <v>386</v>
      </c>
      <c r="AF40" s="30">
        <v>388</v>
      </c>
      <c r="AG40" s="50">
        <v>370</v>
      </c>
      <c r="AH40" s="50">
        <f>1527-AG40-AF40-AE40</f>
        <v>383</v>
      </c>
      <c r="AI40" s="30">
        <v>387</v>
      </c>
      <c r="AJ40" s="30">
        <v>411</v>
      </c>
      <c r="AK40" s="30">
        <v>389</v>
      </c>
      <c r="AL40" s="30"/>
      <c r="AM40" s="30"/>
      <c r="AN40" s="30">
        <v>361</v>
      </c>
      <c r="AO40" s="30"/>
      <c r="AP40" s="30"/>
      <c r="AQ40" s="30"/>
      <c r="AR40" s="30"/>
      <c r="AS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>
        <v>455</v>
      </c>
      <c r="CR40" s="30">
        <v>544</v>
      </c>
      <c r="CS40" s="30">
        <v>621</v>
      </c>
      <c r="CT40" s="30">
        <f t="shared" si="93"/>
        <v>680</v>
      </c>
      <c r="CU40" s="30">
        <f>SUM(G40:J40)</f>
        <v>791</v>
      </c>
      <c r="CV40" s="30">
        <f>SUM(K40:N40)</f>
        <v>956</v>
      </c>
      <c r="CW40" s="30">
        <f>SUM(O40:R40)</f>
        <v>1149</v>
      </c>
      <c r="CX40" s="50">
        <f>SUM(S40:V40)</f>
        <v>1277</v>
      </c>
      <c r="CY40" s="50">
        <f>SUM(W40:Z40)</f>
        <v>1368</v>
      </c>
      <c r="CZ40" s="50">
        <f>SUM(AA40:AD40)</f>
        <v>1485</v>
      </c>
      <c r="DA40" s="30">
        <f>SUM(AE40:AH40)</f>
        <v>1527</v>
      </c>
      <c r="DB40" s="65">
        <f>DA40*0.8</f>
        <v>1221.6000000000001</v>
      </c>
      <c r="DC40" s="65">
        <f t="shared" ref="DC40:DF40" si="95">DB40*0.3</f>
        <v>366.48</v>
      </c>
      <c r="DD40" s="30">
        <f t="shared" si="95"/>
        <v>109.944</v>
      </c>
      <c r="DE40" s="30">
        <f t="shared" si="95"/>
        <v>32.983199999999997</v>
      </c>
      <c r="DF40" s="30">
        <f t="shared" si="95"/>
        <v>9.8949599999999993</v>
      </c>
      <c r="DG40" s="30"/>
      <c r="DH40" s="30"/>
      <c r="DI40" s="30"/>
      <c r="DJ40" s="30"/>
      <c r="DK40" s="30"/>
      <c r="DL40" s="30"/>
      <c r="DM40" s="30"/>
      <c r="DN40" s="30"/>
    </row>
    <row r="41" spans="2:119" ht="2.25" customHeight="1" x14ac:dyDescent="0.2">
      <c r="B41" s="23" t="s">
        <v>459</v>
      </c>
      <c r="C41" s="28">
        <v>149</v>
      </c>
      <c r="D41" s="28">
        <v>183</v>
      </c>
      <c r="E41" s="28">
        <v>176</v>
      </c>
      <c r="F41" s="28">
        <v>188</v>
      </c>
      <c r="G41" s="28">
        <v>207</v>
      </c>
      <c r="H41" s="28">
        <v>236</v>
      </c>
      <c r="I41" s="28">
        <v>233</v>
      </c>
      <c r="J41" s="28">
        <v>255</v>
      </c>
      <c r="K41" s="28">
        <v>263</v>
      </c>
      <c r="L41" s="28">
        <v>254</v>
      </c>
      <c r="M41" s="28">
        <v>273</v>
      </c>
      <c r="N41" s="28">
        <v>334</v>
      </c>
      <c r="O41" s="28">
        <v>297</v>
      </c>
      <c r="P41" s="28">
        <v>324</v>
      </c>
      <c r="Q41" s="28">
        <v>342</v>
      </c>
      <c r="R41" s="28">
        <v>329</v>
      </c>
      <c r="S41" s="28">
        <v>322</v>
      </c>
      <c r="T41" s="28">
        <v>331</v>
      </c>
      <c r="U41" s="33">
        <v>360</v>
      </c>
      <c r="V41" s="30">
        <v>388</v>
      </c>
      <c r="W41" s="28">
        <v>373</v>
      </c>
      <c r="X41" s="28">
        <v>357</v>
      </c>
      <c r="Y41" s="48">
        <v>375</v>
      </c>
      <c r="Z41" s="48">
        <v>374</v>
      </c>
      <c r="AA41" s="48">
        <v>366</v>
      </c>
      <c r="AB41" s="48">
        <v>396</v>
      </c>
      <c r="AC41" s="48">
        <v>391</v>
      </c>
      <c r="AD41" s="48">
        <v>416</v>
      </c>
      <c r="AE41" s="28">
        <v>358</v>
      </c>
      <c r="AF41" s="30">
        <v>406</v>
      </c>
      <c r="AG41" s="50">
        <v>363</v>
      </c>
      <c r="AH41" s="50">
        <f>1521-AG41-AF41-AE41</f>
        <v>394</v>
      </c>
      <c r="AI41" s="30">
        <v>361</v>
      </c>
      <c r="AJ41" s="30">
        <v>431</v>
      </c>
      <c r="AK41" s="30">
        <v>375</v>
      </c>
      <c r="AL41" s="30"/>
      <c r="AM41" s="30"/>
      <c r="AN41" s="30">
        <v>362</v>
      </c>
      <c r="AO41" s="30"/>
      <c r="AP41" s="30"/>
      <c r="AQ41" s="30"/>
      <c r="AR41" s="30"/>
      <c r="AS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>
        <v>88</v>
      </c>
      <c r="CS41" s="30">
        <v>414</v>
      </c>
      <c r="CT41" s="30">
        <f t="shared" si="93"/>
        <v>696</v>
      </c>
      <c r="CU41" s="30">
        <f>SUM(G41:J41)</f>
        <v>931</v>
      </c>
      <c r="CV41" s="30">
        <f>SUM(K41:N41)</f>
        <v>1124</v>
      </c>
      <c r="CW41" s="30">
        <f>SUM(O41:R41)</f>
        <v>1292</v>
      </c>
      <c r="CX41" s="50">
        <f>SUM(S41:V41)</f>
        <v>1401</v>
      </c>
      <c r="CY41" s="50">
        <f>SUM(W41:Z41)</f>
        <v>1479</v>
      </c>
      <c r="CZ41" s="50">
        <f>SUM(AA41:AD41)</f>
        <v>1569</v>
      </c>
      <c r="DA41" s="30">
        <f>SUM(AE41:AH41)</f>
        <v>1521</v>
      </c>
      <c r="DB41" s="65">
        <f>+DA41*1.05</f>
        <v>1597.05</v>
      </c>
      <c r="DC41" s="65">
        <f>+DB41*1.05</f>
        <v>1676.9024999999999</v>
      </c>
      <c r="DD41" s="30">
        <f>DC41</f>
        <v>1676.9024999999999</v>
      </c>
      <c r="DE41" s="30">
        <f>+DD41</f>
        <v>1676.9024999999999</v>
      </c>
      <c r="DF41" s="30">
        <f>+DE41</f>
        <v>1676.9024999999999</v>
      </c>
      <c r="DG41" s="25"/>
      <c r="DH41" s="25"/>
      <c r="DI41" s="25"/>
      <c r="DJ41" s="25"/>
      <c r="DK41" s="25"/>
      <c r="DL41" s="25"/>
      <c r="DM41" s="25"/>
      <c r="DN41" s="25"/>
    </row>
    <row r="42" spans="2:119" x14ac:dyDescent="0.2">
      <c r="B42" s="23" t="s">
        <v>460</v>
      </c>
      <c r="D42" s="28">
        <v>5</v>
      </c>
      <c r="E42" s="28">
        <v>2</v>
      </c>
      <c r="F42" s="28">
        <v>5</v>
      </c>
      <c r="G42" s="28">
        <v>11</v>
      </c>
      <c r="H42" s="28">
        <v>14</v>
      </c>
      <c r="I42" s="28">
        <v>22</v>
      </c>
      <c r="J42" s="28">
        <v>36</v>
      </c>
      <c r="K42" s="28">
        <v>45</v>
      </c>
      <c r="L42" s="28">
        <v>59</v>
      </c>
      <c r="M42" s="28">
        <v>72</v>
      </c>
      <c r="N42" s="28">
        <v>99</v>
      </c>
      <c r="O42" s="28">
        <v>108</v>
      </c>
      <c r="P42" s="28">
        <v>136</v>
      </c>
      <c r="Q42" s="28">
        <v>144</v>
      </c>
      <c r="R42" s="28">
        <v>153</v>
      </c>
      <c r="S42" s="28">
        <v>152</v>
      </c>
      <c r="T42" s="28">
        <v>179</v>
      </c>
      <c r="U42" s="28">
        <v>191</v>
      </c>
      <c r="V42" s="30">
        <v>212</v>
      </c>
      <c r="W42" s="28">
        <v>216</v>
      </c>
      <c r="X42" s="28">
        <v>223</v>
      </c>
      <c r="Y42" s="48">
        <v>228</v>
      </c>
      <c r="Z42" s="48">
        <v>264</v>
      </c>
      <c r="AA42" s="48">
        <v>275</v>
      </c>
      <c r="AB42" s="48">
        <v>292</v>
      </c>
      <c r="AC42" s="48">
        <v>311</v>
      </c>
      <c r="AD42" s="48">
        <v>318</v>
      </c>
      <c r="AE42" s="28">
        <v>325</v>
      </c>
      <c r="AF42" s="30">
        <v>357</v>
      </c>
      <c r="AG42" s="50">
        <v>346</v>
      </c>
      <c r="AH42" s="50">
        <f>1527-AG42-AF42-AE42</f>
        <v>499</v>
      </c>
      <c r="AI42" s="30">
        <v>366</v>
      </c>
      <c r="AJ42" s="30">
        <v>371</v>
      </c>
      <c r="AK42" s="30">
        <v>378</v>
      </c>
      <c r="AL42" s="30"/>
      <c r="AM42" s="30"/>
      <c r="AN42" s="30">
        <v>369</v>
      </c>
      <c r="AO42" s="30"/>
      <c r="AP42" s="30"/>
      <c r="AQ42" s="30"/>
      <c r="AR42" s="30"/>
      <c r="AS42" s="30"/>
      <c r="BE42" s="28">
        <v>175</v>
      </c>
      <c r="BF42" s="28">
        <v>165</v>
      </c>
      <c r="BG42" s="28">
        <v>141</v>
      </c>
      <c r="BH42" s="28">
        <v>147</v>
      </c>
      <c r="BI42" s="28">
        <v>145</v>
      </c>
      <c r="BJ42" s="28">
        <v>122</v>
      </c>
      <c r="BK42" s="28">
        <v>122</v>
      </c>
      <c r="BL42" s="28">
        <v>121</v>
      </c>
      <c r="BM42" s="28">
        <v>100</v>
      </c>
      <c r="BQ42" s="28">
        <v>105</v>
      </c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>
        <f t="shared" si="93"/>
        <v>12</v>
      </c>
      <c r="CU42" s="30">
        <f>SUM(G42:J42)</f>
        <v>83</v>
      </c>
      <c r="CV42" s="30">
        <f>SUM(K42:N42)</f>
        <v>275</v>
      </c>
      <c r="CW42" s="30">
        <f>SUM(O42:R42)</f>
        <v>541</v>
      </c>
      <c r="CX42" s="50">
        <f>SUM(S42:V42)</f>
        <v>734</v>
      </c>
      <c r="CY42" s="50">
        <f>SUM(W42:Z42)</f>
        <v>931</v>
      </c>
      <c r="CZ42" s="50">
        <f>SUM(AA42:AD42)</f>
        <v>1196</v>
      </c>
      <c r="DA42" s="30">
        <f>SUM(AE42:AH42)</f>
        <v>1527</v>
      </c>
      <c r="DB42" s="65">
        <f>DA42*1.1</f>
        <v>1679.7</v>
      </c>
      <c r="DC42" s="65">
        <f>DB42*1.1</f>
        <v>1847.6700000000003</v>
      </c>
      <c r="DD42" s="30">
        <f>DC42*1.1</f>
        <v>2032.4370000000006</v>
      </c>
      <c r="DE42" s="30">
        <f>DD42*0.5</f>
        <v>1016.2185000000003</v>
      </c>
      <c r="DF42" s="30">
        <f t="shared" ref="DF42" si="96">+DE42*0.1</f>
        <v>101.62185000000004</v>
      </c>
      <c r="DG42" s="30">
        <v>744</v>
      </c>
      <c r="DH42" s="30">
        <v>555</v>
      </c>
      <c r="DI42" s="30">
        <f t="shared" ref="DI42" si="97">SUM(BK42:BN42)</f>
        <v>343</v>
      </c>
      <c r="DJ42" s="35">
        <f>SUM(BO42:BR42)</f>
        <v>105</v>
      </c>
      <c r="DK42" s="30"/>
      <c r="DL42" s="30"/>
      <c r="DM42" s="30"/>
      <c r="DN42" s="30"/>
    </row>
    <row r="43" spans="2:119" ht="6.75" customHeight="1" x14ac:dyDescent="0.2">
      <c r="B43" s="1" t="s">
        <v>87</v>
      </c>
      <c r="C43" s="28">
        <v>59</v>
      </c>
      <c r="D43" s="28">
        <v>54</v>
      </c>
      <c r="E43" s="28">
        <v>49</v>
      </c>
      <c r="F43" s="28">
        <v>46</v>
      </c>
      <c r="G43" s="28">
        <v>48</v>
      </c>
      <c r="H43" s="28">
        <v>49</v>
      </c>
      <c r="I43" s="28">
        <v>34</v>
      </c>
      <c r="J43" s="28">
        <v>28</v>
      </c>
      <c r="V43" s="30"/>
      <c r="AF43" s="30"/>
      <c r="AG43" s="50"/>
      <c r="AH43" s="5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>
        <v>426</v>
      </c>
      <c r="CR43" s="30">
        <v>470</v>
      </c>
      <c r="CS43" s="30">
        <v>275</v>
      </c>
      <c r="CT43" s="30">
        <f t="shared" si="93"/>
        <v>208</v>
      </c>
      <c r="CU43" s="30">
        <f t="shared" si="89"/>
        <v>159</v>
      </c>
      <c r="CV43" s="30">
        <v>156</v>
      </c>
      <c r="CW43" s="30"/>
      <c r="CX43" s="54" t="s">
        <v>362</v>
      </c>
      <c r="CY43" s="54" t="s">
        <v>362</v>
      </c>
      <c r="CZ43" s="54" t="s">
        <v>362</v>
      </c>
      <c r="DA43" s="35" t="s">
        <v>362</v>
      </c>
      <c r="DB43" s="66" t="s">
        <v>362</v>
      </c>
      <c r="DC43" s="66" t="s">
        <v>362</v>
      </c>
      <c r="DD43" s="35" t="s">
        <v>362</v>
      </c>
      <c r="DE43" s="35" t="s">
        <v>362</v>
      </c>
      <c r="DF43" s="35" t="s">
        <v>362</v>
      </c>
      <c r="DG43" s="35"/>
      <c r="DH43" s="35" t="s">
        <v>362</v>
      </c>
      <c r="DI43" s="35"/>
      <c r="DJ43" s="35"/>
      <c r="DK43" s="35"/>
      <c r="DL43" s="35"/>
      <c r="DM43" s="35"/>
      <c r="DN43" s="35"/>
    </row>
    <row r="44" spans="2:119" ht="6.75" customHeight="1" x14ac:dyDescent="0.2">
      <c r="B44" s="1" t="s">
        <v>7</v>
      </c>
      <c r="C44" s="28">
        <v>520</v>
      </c>
      <c r="D44" s="28">
        <v>625</v>
      </c>
      <c r="E44" s="28">
        <v>527</v>
      </c>
      <c r="F44" s="28">
        <v>584</v>
      </c>
      <c r="G44" s="28">
        <v>536</v>
      </c>
      <c r="H44" s="28">
        <v>323</v>
      </c>
      <c r="I44" s="28">
        <v>192</v>
      </c>
      <c r="J44" s="28">
        <v>146</v>
      </c>
      <c r="K44" s="28">
        <v>135</v>
      </c>
      <c r="L44" s="28">
        <v>135</v>
      </c>
      <c r="M44" s="28">
        <v>86</v>
      </c>
      <c r="N44" s="28">
        <v>90</v>
      </c>
      <c r="O44" s="28">
        <v>73</v>
      </c>
      <c r="P44" s="28">
        <v>69</v>
      </c>
      <c r="Q44" s="28">
        <v>34</v>
      </c>
      <c r="R44" s="28">
        <v>27</v>
      </c>
      <c r="S44" s="33" t="s">
        <v>362</v>
      </c>
      <c r="T44" s="33" t="s">
        <v>362</v>
      </c>
      <c r="U44" s="28" t="s">
        <v>362</v>
      </c>
      <c r="V44" s="30" t="str">
        <f>U44</f>
        <v>-</v>
      </c>
      <c r="W44" s="33" t="s">
        <v>362</v>
      </c>
      <c r="X44" s="28" t="s">
        <v>362</v>
      </c>
      <c r="Y44" s="28" t="s">
        <v>362</v>
      </c>
      <c r="Z44" s="28" t="s">
        <v>362</v>
      </c>
      <c r="AA44" s="48" t="s">
        <v>362</v>
      </c>
      <c r="AB44" s="28" t="s">
        <v>362</v>
      </c>
      <c r="AC44" s="28" t="s">
        <v>362</v>
      </c>
      <c r="AD44" s="28" t="s">
        <v>362</v>
      </c>
      <c r="AE44" s="28" t="s">
        <v>362</v>
      </c>
      <c r="AF44" s="35" t="s">
        <v>362</v>
      </c>
      <c r="AG44" s="54" t="s">
        <v>362</v>
      </c>
      <c r="AH44" s="54" t="s">
        <v>362</v>
      </c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CD44" s="30"/>
      <c r="CE44" s="30"/>
      <c r="CF44" s="30"/>
      <c r="CG44" s="30"/>
      <c r="CH44" s="30">
        <v>500</v>
      </c>
      <c r="CI44" s="30"/>
      <c r="CJ44" s="30"/>
      <c r="CK44" s="30"/>
      <c r="CL44" s="30"/>
      <c r="CM44" s="30"/>
      <c r="CN44" s="30"/>
      <c r="CO44" s="30"/>
      <c r="CP44" s="30"/>
      <c r="CQ44" s="30">
        <v>2266</v>
      </c>
      <c r="CR44" s="30">
        <v>2827</v>
      </c>
      <c r="CS44" s="30">
        <v>2635</v>
      </c>
      <c r="CT44" s="30">
        <f t="shared" si="93"/>
        <v>2256</v>
      </c>
      <c r="CU44" s="30">
        <f t="shared" si="89"/>
        <v>1197</v>
      </c>
      <c r="CV44" s="30">
        <f>SUM(K44:N44)</f>
        <v>446</v>
      </c>
      <c r="CW44" s="30">
        <f>SUM(O44:R44)</f>
        <v>203</v>
      </c>
      <c r="CX44" s="54" t="s">
        <v>362</v>
      </c>
      <c r="CY44" s="54" t="s">
        <v>362</v>
      </c>
      <c r="CZ44" s="54" t="s">
        <v>362</v>
      </c>
      <c r="DA44" s="35" t="s">
        <v>362</v>
      </c>
      <c r="DB44" s="66" t="s">
        <v>362</v>
      </c>
      <c r="DC44" s="66" t="s">
        <v>362</v>
      </c>
      <c r="DD44" s="35" t="s">
        <v>362</v>
      </c>
      <c r="DE44" s="35" t="s">
        <v>362</v>
      </c>
      <c r="DF44" s="35" t="s">
        <v>362</v>
      </c>
      <c r="DG44" s="35"/>
      <c r="DH44" s="35" t="s">
        <v>362</v>
      </c>
      <c r="DI44" s="35"/>
      <c r="DJ44" s="35"/>
      <c r="DK44" s="35"/>
      <c r="DL44" s="35"/>
      <c r="DM44" s="35"/>
      <c r="DN44" s="35"/>
    </row>
    <row r="45" spans="2:119" ht="5.25" customHeight="1" x14ac:dyDescent="0.2">
      <c r="B45" s="1" t="s">
        <v>95</v>
      </c>
      <c r="C45" s="28">
        <v>205</v>
      </c>
      <c r="D45" s="28">
        <v>186</v>
      </c>
      <c r="E45" s="28">
        <v>175</v>
      </c>
      <c r="F45" s="28">
        <v>181</v>
      </c>
      <c r="G45" s="28">
        <v>147</v>
      </c>
      <c r="H45" s="28">
        <v>149</v>
      </c>
      <c r="I45" s="28">
        <v>137</v>
      </c>
      <c r="J45" s="28">
        <v>130</v>
      </c>
      <c r="K45" s="28">
        <v>111</v>
      </c>
      <c r="L45" s="28">
        <v>95</v>
      </c>
      <c r="M45" s="28">
        <v>102</v>
      </c>
      <c r="N45" s="28">
        <v>114</v>
      </c>
      <c r="O45" s="28">
        <v>94</v>
      </c>
      <c r="P45" s="28">
        <v>101</v>
      </c>
      <c r="Q45" s="28">
        <v>91</v>
      </c>
      <c r="R45" s="28">
        <v>99</v>
      </c>
      <c r="S45" s="33" t="s">
        <v>362</v>
      </c>
      <c r="T45" s="33" t="s">
        <v>362</v>
      </c>
      <c r="U45" s="28" t="s">
        <v>362</v>
      </c>
      <c r="V45" s="30" t="str">
        <f>U45</f>
        <v>-</v>
      </c>
      <c r="W45" s="33" t="s">
        <v>362</v>
      </c>
      <c r="X45" s="28" t="s">
        <v>362</v>
      </c>
      <c r="Y45" s="28" t="s">
        <v>362</v>
      </c>
      <c r="Z45" s="28" t="s">
        <v>362</v>
      </c>
      <c r="AA45" s="48" t="s">
        <v>362</v>
      </c>
      <c r="AB45" s="28" t="s">
        <v>362</v>
      </c>
      <c r="AC45" s="28" t="s">
        <v>362</v>
      </c>
      <c r="AD45" s="28" t="s">
        <v>362</v>
      </c>
      <c r="AE45" s="28" t="s">
        <v>362</v>
      </c>
      <c r="AF45" s="35" t="s">
        <v>362</v>
      </c>
      <c r="AG45" s="54" t="s">
        <v>362</v>
      </c>
      <c r="AH45" s="54" t="s">
        <v>362</v>
      </c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>
        <v>857</v>
      </c>
      <c r="CR45" s="30">
        <v>934</v>
      </c>
      <c r="CS45" s="30">
        <v>991</v>
      </c>
      <c r="CT45" s="30">
        <f t="shared" si="93"/>
        <v>747</v>
      </c>
      <c r="CU45" s="30">
        <f t="shared" si="89"/>
        <v>563</v>
      </c>
      <c r="CV45" s="30">
        <f>SUM(K45:N45)</f>
        <v>422</v>
      </c>
      <c r="CW45" s="30">
        <f>SUM(O45:R45)</f>
        <v>385</v>
      </c>
      <c r="CX45" s="54" t="s">
        <v>362</v>
      </c>
      <c r="CY45" s="54" t="s">
        <v>362</v>
      </c>
      <c r="CZ45" s="54" t="s">
        <v>362</v>
      </c>
      <c r="DA45" s="35" t="s">
        <v>362</v>
      </c>
      <c r="DB45" s="66" t="s">
        <v>362</v>
      </c>
      <c r="DC45" s="66" t="s">
        <v>362</v>
      </c>
      <c r="DD45" s="35" t="s">
        <v>362</v>
      </c>
      <c r="DE45" s="35" t="s">
        <v>362</v>
      </c>
      <c r="DF45" s="35" t="s">
        <v>362</v>
      </c>
      <c r="DG45" s="35"/>
      <c r="DH45" s="35" t="s">
        <v>362</v>
      </c>
      <c r="DI45" s="35"/>
      <c r="DJ45" s="35"/>
      <c r="DK45" s="35"/>
      <c r="DL45" s="35"/>
      <c r="DM45" s="35"/>
      <c r="DN45" s="35"/>
    </row>
    <row r="46" spans="2:119" ht="5.25" customHeight="1" x14ac:dyDescent="0.2">
      <c r="B46" s="1" t="s">
        <v>91</v>
      </c>
      <c r="C46" s="28">
        <v>59</v>
      </c>
      <c r="D46" s="28">
        <v>59</v>
      </c>
      <c r="E46" s="28">
        <v>51</v>
      </c>
      <c r="F46" s="28">
        <v>47</v>
      </c>
      <c r="G46" s="28">
        <v>40</v>
      </c>
      <c r="H46" s="28">
        <v>41</v>
      </c>
      <c r="I46" s="28">
        <v>38</v>
      </c>
      <c r="J46" s="28">
        <v>36</v>
      </c>
      <c r="V46" s="30"/>
      <c r="Y46" s="28"/>
      <c r="Z46" s="28"/>
      <c r="AB46" s="28"/>
      <c r="AC46" s="28"/>
      <c r="AD46" s="28"/>
      <c r="AF46" s="30"/>
      <c r="AG46" s="50"/>
      <c r="AH46" s="5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>
        <v>443</v>
      </c>
      <c r="CR46" s="30">
        <v>354</v>
      </c>
      <c r="CS46" s="30">
        <v>272</v>
      </c>
      <c r="CT46" s="30">
        <f t="shared" si="93"/>
        <v>216</v>
      </c>
      <c r="CU46" s="30">
        <f t="shared" si="89"/>
        <v>155</v>
      </c>
      <c r="CV46" s="30">
        <v>129</v>
      </c>
      <c r="CW46" s="30"/>
      <c r="CX46" s="54" t="s">
        <v>362</v>
      </c>
      <c r="CY46" s="54" t="s">
        <v>362</v>
      </c>
      <c r="CZ46" s="54" t="s">
        <v>362</v>
      </c>
      <c r="DA46" s="35" t="s">
        <v>362</v>
      </c>
      <c r="DB46" s="66" t="s">
        <v>362</v>
      </c>
      <c r="DC46" s="66" t="s">
        <v>362</v>
      </c>
      <c r="DD46" s="35" t="s">
        <v>362</v>
      </c>
      <c r="DE46" s="35" t="s">
        <v>362</v>
      </c>
      <c r="DF46" s="35" t="s">
        <v>362</v>
      </c>
      <c r="DG46" s="35"/>
      <c r="DH46" s="35" t="s">
        <v>362</v>
      </c>
      <c r="DI46" s="35"/>
      <c r="DJ46" s="35"/>
      <c r="DK46" s="35"/>
      <c r="DL46" s="35"/>
      <c r="DM46" s="35"/>
      <c r="DN46" s="35"/>
    </row>
    <row r="47" spans="2:119" ht="5.25" customHeight="1" x14ac:dyDescent="0.2">
      <c r="B47" s="1" t="s">
        <v>93</v>
      </c>
      <c r="C47" s="28">
        <v>82</v>
      </c>
      <c r="D47" s="28">
        <v>54</v>
      </c>
      <c r="E47" s="28">
        <v>48</v>
      </c>
      <c r="F47" s="28">
        <v>75</v>
      </c>
      <c r="G47" s="28">
        <v>23</v>
      </c>
      <c r="H47" s="28">
        <v>23</v>
      </c>
      <c r="I47" s="28">
        <v>18</v>
      </c>
      <c r="J47" s="28">
        <v>23</v>
      </c>
      <c r="V47" s="30"/>
      <c r="Y47" s="28"/>
      <c r="Z47" s="28"/>
      <c r="AB47" s="28"/>
      <c r="AC47" s="28"/>
      <c r="AD47" s="28"/>
      <c r="AF47" s="30"/>
      <c r="AG47" s="50"/>
      <c r="AH47" s="5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>
        <v>287</v>
      </c>
      <c r="CR47" s="30">
        <v>327</v>
      </c>
      <c r="CS47" s="30">
        <v>270</v>
      </c>
      <c r="CT47" s="30">
        <f t="shared" si="93"/>
        <v>259</v>
      </c>
      <c r="CU47" s="30">
        <f t="shared" si="89"/>
        <v>87</v>
      </c>
      <c r="CV47" s="30">
        <v>110</v>
      </c>
      <c r="CW47" s="30"/>
      <c r="CX47" s="54" t="s">
        <v>362</v>
      </c>
      <c r="CY47" s="54" t="s">
        <v>362</v>
      </c>
      <c r="CZ47" s="54" t="s">
        <v>362</v>
      </c>
      <c r="DA47" s="35" t="s">
        <v>362</v>
      </c>
      <c r="DB47" s="66" t="s">
        <v>362</v>
      </c>
      <c r="DC47" s="66" t="s">
        <v>362</v>
      </c>
      <c r="DD47" s="35" t="s">
        <v>362</v>
      </c>
      <c r="DE47" s="35" t="s">
        <v>362</v>
      </c>
      <c r="DF47" s="35" t="s">
        <v>362</v>
      </c>
      <c r="DG47" s="35"/>
      <c r="DH47" s="35" t="s">
        <v>362</v>
      </c>
      <c r="DI47" s="35"/>
      <c r="DJ47" s="35"/>
      <c r="DK47" s="35"/>
      <c r="DL47" s="35"/>
      <c r="DM47" s="35"/>
      <c r="DN47" s="35"/>
    </row>
    <row r="48" spans="2:119" ht="5.25" customHeight="1" x14ac:dyDescent="0.2">
      <c r="B48" s="1" t="s">
        <v>92</v>
      </c>
      <c r="V48" s="30"/>
      <c r="Y48" s="28"/>
      <c r="Z48" s="28"/>
      <c r="AB48" s="28"/>
      <c r="AC48" s="28"/>
      <c r="AD48" s="28"/>
      <c r="AF48" s="30"/>
      <c r="AG48" s="50"/>
      <c r="AH48" s="5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CX48" s="49" t="s">
        <v>362</v>
      </c>
      <c r="CY48" s="54" t="s">
        <v>362</v>
      </c>
      <c r="CZ48" s="54" t="s">
        <v>362</v>
      </c>
      <c r="DA48" s="35" t="s">
        <v>362</v>
      </c>
      <c r="DB48" s="66" t="s">
        <v>362</v>
      </c>
      <c r="DC48" s="66" t="s">
        <v>362</v>
      </c>
      <c r="DD48" s="35" t="s">
        <v>362</v>
      </c>
      <c r="DE48" s="35" t="s">
        <v>362</v>
      </c>
      <c r="DF48" s="35" t="s">
        <v>362</v>
      </c>
      <c r="DG48" s="35"/>
      <c r="DH48" s="35" t="s">
        <v>362</v>
      </c>
      <c r="DI48" s="35"/>
      <c r="DJ48" s="35"/>
      <c r="DK48" s="35"/>
      <c r="DL48" s="35"/>
      <c r="DM48" s="35"/>
      <c r="DN48" s="35"/>
    </row>
    <row r="49" spans="2:160" ht="5.25" customHeight="1" x14ac:dyDescent="0.2">
      <c r="B49" s="1" t="s">
        <v>97</v>
      </c>
      <c r="V49" s="30"/>
      <c r="Y49" s="28"/>
      <c r="Z49" s="28"/>
      <c r="AB49" s="28"/>
      <c r="AC49" s="28"/>
      <c r="AD49" s="28"/>
      <c r="AF49" s="30"/>
      <c r="AG49" s="50"/>
      <c r="AH49" s="5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CX49" s="49" t="s">
        <v>362</v>
      </c>
      <c r="CY49" s="54" t="s">
        <v>362</v>
      </c>
      <c r="CZ49" s="54" t="s">
        <v>362</v>
      </c>
      <c r="DA49" s="35" t="s">
        <v>362</v>
      </c>
      <c r="DB49" s="66" t="s">
        <v>362</v>
      </c>
      <c r="DC49" s="66" t="s">
        <v>362</v>
      </c>
      <c r="DD49" s="35" t="s">
        <v>362</v>
      </c>
      <c r="DE49" s="35" t="s">
        <v>362</v>
      </c>
      <c r="DF49" s="35" t="s">
        <v>362</v>
      </c>
      <c r="DG49" s="35"/>
      <c r="DH49" s="35" t="s">
        <v>362</v>
      </c>
      <c r="DI49" s="35"/>
      <c r="DJ49" s="35"/>
      <c r="DK49" s="35"/>
      <c r="DL49" s="35"/>
      <c r="DM49" s="35"/>
      <c r="DN49" s="35"/>
    </row>
    <row r="50" spans="2:160" ht="5.25" customHeight="1" x14ac:dyDescent="0.2">
      <c r="B50" s="1" t="s">
        <v>99</v>
      </c>
      <c r="C50" s="30">
        <f>526-C33</f>
        <v>291</v>
      </c>
      <c r="D50" s="30">
        <f>548-D33</f>
        <v>298</v>
      </c>
      <c r="E50" s="30">
        <f>547-E33</f>
        <v>317</v>
      </c>
      <c r="F50" s="30">
        <f>584-F33</f>
        <v>307</v>
      </c>
      <c r="G50" s="30">
        <f>565-G33</f>
        <v>328</v>
      </c>
      <c r="H50" s="30">
        <f>582-H33</f>
        <v>329</v>
      </c>
      <c r="I50" s="30">
        <f>582-I33</f>
        <v>336</v>
      </c>
      <c r="J50" s="30">
        <f>618-J33</f>
        <v>347</v>
      </c>
      <c r="K50" s="30">
        <f>606-K33</f>
        <v>352</v>
      </c>
      <c r="L50" s="30">
        <f>620-L33</f>
        <v>353</v>
      </c>
      <c r="M50" s="30">
        <f>675-M33</f>
        <v>394</v>
      </c>
      <c r="N50" s="30">
        <f>670-N33</f>
        <v>390</v>
      </c>
      <c r="O50" s="30">
        <f>703-O33</f>
        <v>413</v>
      </c>
      <c r="P50" s="30">
        <f>728-P33</f>
        <v>441</v>
      </c>
      <c r="Q50" s="30">
        <f>744-Q33</f>
        <v>449</v>
      </c>
      <c r="R50" s="30">
        <f>707-R33</f>
        <v>422</v>
      </c>
      <c r="S50" s="30">
        <v>693</v>
      </c>
      <c r="T50" s="30">
        <v>719</v>
      </c>
      <c r="U50" s="30">
        <v>699</v>
      </c>
      <c r="V50" s="35" t="s">
        <v>362</v>
      </c>
      <c r="W50" s="35" t="s">
        <v>362</v>
      </c>
      <c r="X50" s="30" t="s">
        <v>362</v>
      </c>
      <c r="Y50" s="30" t="s">
        <v>362</v>
      </c>
      <c r="Z50" s="30" t="s">
        <v>362</v>
      </c>
      <c r="AA50" s="50" t="s">
        <v>362</v>
      </c>
      <c r="AB50" s="30" t="s">
        <v>362</v>
      </c>
      <c r="AC50" s="30" t="s">
        <v>362</v>
      </c>
      <c r="AD50" s="30" t="s">
        <v>362</v>
      </c>
      <c r="AE50" s="30" t="s">
        <v>362</v>
      </c>
      <c r="AF50" s="35" t="s">
        <v>362</v>
      </c>
      <c r="AG50" s="54" t="s">
        <v>362</v>
      </c>
      <c r="AH50" s="54" t="s">
        <v>362</v>
      </c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CT50" s="30">
        <f>SUM(C50:F50)</f>
        <v>1213</v>
      </c>
      <c r="CU50" s="30">
        <f>SUM(G50:J50)</f>
        <v>1340</v>
      </c>
      <c r="CV50" s="30">
        <f>SUM(K50:N50)</f>
        <v>1489</v>
      </c>
      <c r="CW50" s="30">
        <f>SUM(O50:R50)</f>
        <v>1725</v>
      </c>
      <c r="CX50" s="50">
        <f>SUM(S50:V50)</f>
        <v>2111</v>
      </c>
      <c r="CY50" s="54" t="s">
        <v>362</v>
      </c>
      <c r="CZ50" s="54" t="s">
        <v>362</v>
      </c>
      <c r="DA50" s="35" t="s">
        <v>362</v>
      </c>
      <c r="DB50" s="66" t="s">
        <v>362</v>
      </c>
      <c r="DC50" s="66" t="s">
        <v>362</v>
      </c>
      <c r="DD50" s="35" t="s">
        <v>362</v>
      </c>
      <c r="DE50" s="35" t="s">
        <v>362</v>
      </c>
      <c r="DF50" s="35" t="s">
        <v>362</v>
      </c>
      <c r="DG50" s="35"/>
      <c r="DH50" s="35" t="s">
        <v>362</v>
      </c>
      <c r="DI50" s="35"/>
      <c r="DJ50" s="35"/>
      <c r="DK50" s="35"/>
      <c r="DL50" s="35"/>
      <c r="DM50" s="35"/>
      <c r="DN50" s="35"/>
    </row>
    <row r="51" spans="2:160" ht="5.25" customHeight="1" x14ac:dyDescent="0.2">
      <c r="B51" s="1" t="s">
        <v>100</v>
      </c>
      <c r="C51" s="30">
        <v>428</v>
      </c>
      <c r="D51" s="30">
        <v>455</v>
      </c>
      <c r="E51" s="30">
        <v>442</v>
      </c>
      <c r="F51" s="30">
        <v>423</v>
      </c>
      <c r="G51" s="30">
        <v>411</v>
      </c>
      <c r="H51" s="30">
        <v>430</v>
      </c>
      <c r="I51" s="30">
        <v>418</v>
      </c>
      <c r="J51" s="30">
        <v>291</v>
      </c>
      <c r="K51" s="30">
        <v>254</v>
      </c>
      <c r="L51" s="30">
        <v>457</v>
      </c>
      <c r="M51" s="30">
        <v>449</v>
      </c>
      <c r="N51" s="30">
        <v>323</v>
      </c>
      <c r="O51" s="30">
        <v>290</v>
      </c>
      <c r="P51" s="30"/>
      <c r="Q51" s="30"/>
      <c r="R51" s="30">
        <f>Q51</f>
        <v>0</v>
      </c>
      <c r="S51" s="30">
        <v>0</v>
      </c>
      <c r="T51" s="30">
        <v>0</v>
      </c>
      <c r="U51" s="30">
        <v>0</v>
      </c>
      <c r="V51" s="35" t="s">
        <v>362</v>
      </c>
      <c r="W51" s="35" t="s">
        <v>362</v>
      </c>
      <c r="X51" s="30" t="s">
        <v>362</v>
      </c>
      <c r="Y51" s="30" t="s">
        <v>362</v>
      </c>
      <c r="Z51" s="30" t="s">
        <v>362</v>
      </c>
      <c r="AA51" s="50" t="s">
        <v>362</v>
      </c>
      <c r="AB51" s="30" t="s">
        <v>362</v>
      </c>
      <c r="AC51" s="30" t="s">
        <v>362</v>
      </c>
      <c r="AD51" s="30" t="s">
        <v>362</v>
      </c>
      <c r="AE51" s="30" t="s">
        <v>362</v>
      </c>
      <c r="AF51" s="35" t="s">
        <v>362</v>
      </c>
      <c r="AG51" s="54" t="s">
        <v>362</v>
      </c>
      <c r="AH51" s="54" t="s">
        <v>362</v>
      </c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CT51" s="30">
        <f>SUM(C51:F51)</f>
        <v>1748</v>
      </c>
      <c r="CU51" s="30">
        <f>SUM(G51:J51)</f>
        <v>1550</v>
      </c>
      <c r="CV51" s="30">
        <f>SUM(K51:N51)</f>
        <v>1483</v>
      </c>
      <c r="CW51" s="30">
        <f>SUM(O51:R51)</f>
        <v>290</v>
      </c>
      <c r="CX51" s="54" t="s">
        <v>362</v>
      </c>
      <c r="CY51" s="50" t="s">
        <v>362</v>
      </c>
      <c r="CZ51" s="50" t="s">
        <v>362</v>
      </c>
      <c r="DA51" s="30" t="s">
        <v>362</v>
      </c>
      <c r="DB51" s="65" t="s">
        <v>362</v>
      </c>
      <c r="DC51" s="65" t="s">
        <v>362</v>
      </c>
      <c r="DD51" s="30" t="s">
        <v>362</v>
      </c>
      <c r="DE51" s="30" t="s">
        <v>362</v>
      </c>
      <c r="DF51" s="30" t="s">
        <v>362</v>
      </c>
      <c r="DG51" s="30"/>
      <c r="DH51" s="30" t="s">
        <v>362</v>
      </c>
      <c r="DI51" s="30"/>
      <c r="DJ51" s="30"/>
      <c r="DK51" s="30"/>
      <c r="DL51" s="30"/>
      <c r="DM51" s="30"/>
      <c r="DN51" s="30"/>
    </row>
    <row r="52" spans="2:160" s="19" customFormat="1" x14ac:dyDescent="0.2">
      <c r="B52" s="19" t="s">
        <v>240</v>
      </c>
      <c r="C52" s="36">
        <f t="shared" ref="C52:AN52" si="98">SUM(C3:C51)</f>
        <v>6388</v>
      </c>
      <c r="D52" s="36">
        <f t="shared" si="98"/>
        <v>7111</v>
      </c>
      <c r="E52" s="36">
        <f t="shared" si="98"/>
        <v>6891</v>
      </c>
      <c r="F52" s="36">
        <f t="shared" si="98"/>
        <v>7329</v>
      </c>
      <c r="G52" s="36">
        <f t="shared" si="98"/>
        <v>6833</v>
      </c>
      <c r="H52" s="36">
        <f t="shared" si="98"/>
        <v>7150</v>
      </c>
      <c r="I52" s="36">
        <f t="shared" si="98"/>
        <v>5752</v>
      </c>
      <c r="J52" s="36">
        <f t="shared" si="98"/>
        <v>5594</v>
      </c>
      <c r="K52" s="36">
        <f t="shared" si="98"/>
        <v>6152</v>
      </c>
      <c r="L52" s="36">
        <f t="shared" si="98"/>
        <v>7091</v>
      </c>
      <c r="M52" s="36">
        <f t="shared" si="98"/>
        <v>7850</v>
      </c>
      <c r="N52" s="36">
        <f t="shared" si="98"/>
        <v>8491</v>
      </c>
      <c r="O52" s="36">
        <f t="shared" si="98"/>
        <v>8138</v>
      </c>
      <c r="P52" s="36">
        <f t="shared" si="98"/>
        <v>8418</v>
      </c>
      <c r="Q52" s="36">
        <f t="shared" si="98"/>
        <v>8580</v>
      </c>
      <c r="R52" s="36">
        <f t="shared" si="98"/>
        <v>8629</v>
      </c>
      <c r="S52" s="36">
        <f t="shared" si="98"/>
        <v>8295</v>
      </c>
      <c r="T52" s="36">
        <f t="shared" si="98"/>
        <v>8903</v>
      </c>
      <c r="U52" s="36">
        <f t="shared" si="98"/>
        <v>9096</v>
      </c>
      <c r="V52" s="36">
        <f t="shared" si="98"/>
        <v>8854</v>
      </c>
      <c r="W52" s="36">
        <f t="shared" si="98"/>
        <v>4807</v>
      </c>
      <c r="X52" s="36">
        <f t="shared" si="98"/>
        <v>8475</v>
      </c>
      <c r="Y52" s="51">
        <f t="shared" si="98"/>
        <v>4798</v>
      </c>
      <c r="Z52" s="51">
        <f t="shared" si="98"/>
        <v>5111</v>
      </c>
      <c r="AA52" s="51">
        <f t="shared" si="98"/>
        <v>5011</v>
      </c>
      <c r="AB52" s="51">
        <f t="shared" si="98"/>
        <v>5434</v>
      </c>
      <c r="AC52" s="51">
        <f t="shared" si="98"/>
        <v>5345</v>
      </c>
      <c r="AD52" s="51">
        <f t="shared" si="98"/>
        <v>5454</v>
      </c>
      <c r="AE52" s="36">
        <f t="shared" si="98"/>
        <v>5251</v>
      </c>
      <c r="AF52" s="36">
        <f t="shared" si="98"/>
        <v>4443</v>
      </c>
      <c r="AG52" s="51">
        <f t="shared" si="98"/>
        <v>3736</v>
      </c>
      <c r="AH52" s="51">
        <f t="shared" si="98"/>
        <v>4191</v>
      </c>
      <c r="AI52" s="51">
        <f t="shared" si="98"/>
        <v>3831</v>
      </c>
      <c r="AJ52" s="51">
        <f t="shared" si="98"/>
        <v>4048</v>
      </c>
      <c r="AK52" s="51">
        <f t="shared" si="98"/>
        <v>4065</v>
      </c>
      <c r="AL52" s="51">
        <f t="shared" si="98"/>
        <v>0</v>
      </c>
      <c r="AM52" s="51">
        <f t="shared" si="98"/>
        <v>0</v>
      </c>
      <c r="AN52" s="51">
        <f t="shared" si="98"/>
        <v>3889</v>
      </c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>
        <f t="shared" ref="BE52:BP52" si="99">SUM(BE3:BE42)</f>
        <v>5691</v>
      </c>
      <c r="BF52" s="36">
        <f t="shared" si="99"/>
        <v>5973</v>
      </c>
      <c r="BG52" s="36">
        <f t="shared" si="99"/>
        <v>5920</v>
      </c>
      <c r="BH52" s="36">
        <f t="shared" si="99"/>
        <v>6273</v>
      </c>
      <c r="BI52" s="36">
        <f t="shared" si="99"/>
        <v>6007</v>
      </c>
      <c r="BJ52" s="36">
        <f t="shared" si="99"/>
        <v>7945</v>
      </c>
      <c r="BK52" s="36">
        <f t="shared" si="99"/>
        <v>10781</v>
      </c>
      <c r="BL52" s="36">
        <f t="shared" si="99"/>
        <v>10129</v>
      </c>
      <c r="BM52" s="36">
        <f t="shared" si="99"/>
        <v>10540</v>
      </c>
      <c r="BN52" s="36">
        <f t="shared" si="99"/>
        <v>11068</v>
      </c>
      <c r="BO52" s="36">
        <f t="shared" si="99"/>
        <v>11073</v>
      </c>
      <c r="BP52" s="36">
        <f t="shared" si="99"/>
        <v>11703</v>
      </c>
      <c r="BQ52" s="36">
        <f>SUM(BQ3:BQ42)</f>
        <v>11624</v>
      </c>
      <c r="BR52" s="36">
        <f t="shared" ref="BR52:BZ52" si="100">SUM(BR3:BR42)</f>
        <v>11985</v>
      </c>
      <c r="BS52" s="36">
        <f t="shared" si="100"/>
        <v>11648</v>
      </c>
      <c r="BT52" s="36">
        <f t="shared" si="100"/>
        <v>11887</v>
      </c>
      <c r="BU52" s="36">
        <f t="shared" si="100"/>
        <v>10707.59</v>
      </c>
      <c r="BV52" s="36">
        <f t="shared" si="100"/>
        <v>10929.960000000001</v>
      </c>
      <c r="BW52" s="36">
        <f t="shared" si="100"/>
        <v>11213.51</v>
      </c>
      <c r="BX52" s="36">
        <f t="shared" si="100"/>
        <v>11600.85</v>
      </c>
      <c r="BY52" s="36">
        <f t="shared" si="100"/>
        <v>10717.459900000002</v>
      </c>
      <c r="BZ52" s="36">
        <f t="shared" si="100"/>
        <v>11061.7556</v>
      </c>
      <c r="CA52" s="36"/>
      <c r="CB52" s="36"/>
      <c r="CC52" s="36"/>
      <c r="CD52" s="36">
        <v>8578</v>
      </c>
      <c r="CE52" s="36">
        <v>9741</v>
      </c>
      <c r="CF52" s="36">
        <v>10571</v>
      </c>
      <c r="CG52" s="36">
        <v>11156</v>
      </c>
      <c r="CH52" s="36">
        <v>11413</v>
      </c>
      <c r="CI52" s="36"/>
      <c r="CJ52" s="36"/>
      <c r="CK52" s="36"/>
      <c r="CL52" s="36"/>
      <c r="CM52" s="36"/>
      <c r="CN52" s="36"/>
      <c r="CO52" s="36"/>
      <c r="CP52" s="36"/>
      <c r="CQ52" s="36">
        <f t="shared" ref="CQ52:DS52" si="101">SUM(CQ3:CQ51)</f>
        <v>11988</v>
      </c>
      <c r="CR52" s="36">
        <f t="shared" si="101"/>
        <v>15211</v>
      </c>
      <c r="CS52" s="36">
        <f t="shared" si="101"/>
        <v>16074</v>
      </c>
      <c r="CT52" s="36">
        <f t="shared" si="101"/>
        <v>27723</v>
      </c>
      <c r="CU52" s="36">
        <f t="shared" si="101"/>
        <v>25329</v>
      </c>
      <c r="CV52" s="36">
        <f t="shared" si="101"/>
        <v>30888</v>
      </c>
      <c r="CW52" s="36">
        <f t="shared" si="101"/>
        <v>33765</v>
      </c>
      <c r="CX52" s="51">
        <f t="shared" si="101"/>
        <v>35148</v>
      </c>
      <c r="CY52" s="51">
        <f t="shared" si="101"/>
        <v>23191</v>
      </c>
      <c r="CZ52" s="51">
        <f t="shared" si="101"/>
        <v>21244</v>
      </c>
      <c r="DA52" s="36">
        <f t="shared" si="101"/>
        <v>17570</v>
      </c>
      <c r="DB52" s="67">
        <f t="shared" si="101"/>
        <v>13361.65</v>
      </c>
      <c r="DC52" s="67">
        <f t="shared" si="101"/>
        <v>12776.599999999999</v>
      </c>
      <c r="DD52" s="36">
        <f t="shared" si="101"/>
        <v>10353.247375000001</v>
      </c>
      <c r="DE52" s="36">
        <f t="shared" si="101"/>
        <v>9076.8229812499994</v>
      </c>
      <c r="DF52" s="36">
        <f t="shared" si="101"/>
        <v>8095.7074329375</v>
      </c>
      <c r="DG52" s="36">
        <f t="shared" si="101"/>
        <v>22561</v>
      </c>
      <c r="DH52" s="36">
        <f t="shared" si="101"/>
        <v>26145</v>
      </c>
      <c r="DI52" s="36">
        <f t="shared" si="101"/>
        <v>42518</v>
      </c>
      <c r="DJ52" s="36">
        <f t="shared" si="101"/>
        <v>46385</v>
      </c>
      <c r="DK52" s="36">
        <f t="shared" si="101"/>
        <v>45172.55</v>
      </c>
      <c r="DL52" s="36">
        <f t="shared" si="101"/>
        <v>44593.575500000006</v>
      </c>
      <c r="DM52" s="36">
        <f t="shared" si="101"/>
        <v>40838.716090000002</v>
      </c>
      <c r="DN52" s="36">
        <f t="shared" si="101"/>
        <v>38666.349181200007</v>
      </c>
      <c r="DO52" s="36">
        <f t="shared" si="101"/>
        <v>39089.498134306006</v>
      </c>
      <c r="DP52" s="36">
        <f t="shared" si="101"/>
        <v>40643.256810158586</v>
      </c>
      <c r="DQ52" s="36">
        <f t="shared" si="101"/>
        <v>42303.200689073215</v>
      </c>
      <c r="DR52" s="36">
        <f t="shared" si="101"/>
        <v>36352.193671982299</v>
      </c>
      <c r="DS52" s="36">
        <f t="shared" si="101"/>
        <v>30314.693110508742</v>
      </c>
      <c r="DT52" s="36"/>
      <c r="DU52" s="36"/>
    </row>
    <row r="53" spans="2:160" s="25" customFormat="1" x14ac:dyDescent="0.2">
      <c r="B53" s="25" t="s">
        <v>101</v>
      </c>
      <c r="C53" s="30">
        <v>1367</v>
      </c>
      <c r="D53" s="30">
        <v>1483</v>
      </c>
      <c r="E53" s="30">
        <v>1483</v>
      </c>
      <c r="F53" s="30">
        <v>1595</v>
      </c>
      <c r="G53" s="30">
        <v>1476</v>
      </c>
      <c r="H53" s="30">
        <v>1568</v>
      </c>
      <c r="I53" s="30">
        <v>1465</v>
      </c>
      <c r="J53" s="30">
        <v>1395</v>
      </c>
      <c r="K53" s="30">
        <v>1340</v>
      </c>
      <c r="L53" s="30">
        <v>1549</v>
      </c>
      <c r="M53" s="30">
        <v>1622</v>
      </c>
      <c r="N53" s="30">
        <v>1817</v>
      </c>
      <c r="O53" s="30">
        <v>1657</v>
      </c>
      <c r="P53" s="30">
        <v>1612</v>
      </c>
      <c r="Q53" s="30">
        <v>1581</v>
      </c>
      <c r="R53" s="30">
        <f>R52-R54</f>
        <v>8629</v>
      </c>
      <c r="S53" s="30">
        <v>1413</v>
      </c>
      <c r="T53" s="30">
        <v>1461</v>
      </c>
      <c r="U53" s="30">
        <v>1562</v>
      </c>
      <c r="V53" s="30">
        <v>1433</v>
      </c>
      <c r="W53" s="30">
        <v>1306</v>
      </c>
      <c r="X53" s="30">
        <v>1277</v>
      </c>
      <c r="Y53" s="50">
        <v>1280</v>
      </c>
      <c r="Z53" s="50">
        <v>1414</v>
      </c>
      <c r="AA53" s="50">
        <v>1343</v>
      </c>
      <c r="AB53" s="50">
        <v>1481</v>
      </c>
      <c r="AC53" s="50">
        <v>1407</v>
      </c>
      <c r="AD53" s="50">
        <v>1367</v>
      </c>
      <c r="AE53" s="30">
        <v>1303</v>
      </c>
      <c r="AF53" s="30">
        <v>1245</v>
      </c>
      <c r="AG53" s="50">
        <v>987</v>
      </c>
      <c r="AH53" s="50">
        <f>4610-SUM(AE53:AG53)</f>
        <v>1075</v>
      </c>
      <c r="AI53" s="30">
        <v>1063</v>
      </c>
      <c r="AJ53" s="30">
        <v>1108</v>
      </c>
      <c r="AK53" s="30">
        <v>1175</v>
      </c>
      <c r="AL53" s="30"/>
      <c r="AM53" s="30"/>
      <c r="AN53" s="30">
        <v>991</v>
      </c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>
        <v>1824</v>
      </c>
      <c r="BH53" s="30">
        <v>1972</v>
      </c>
      <c r="BI53" s="30"/>
      <c r="BJ53" s="30"/>
      <c r="BK53" s="30">
        <f>3662-1438</f>
        <v>2224</v>
      </c>
      <c r="BL53" s="30">
        <v>2699</v>
      </c>
      <c r="BM53" s="30">
        <v>2502</v>
      </c>
      <c r="BN53" s="30">
        <f>2910-675</f>
        <v>2235</v>
      </c>
      <c r="BO53" s="30">
        <f>2841-417</f>
        <v>2424</v>
      </c>
      <c r="BP53" s="30">
        <f>2452-89</f>
        <v>2363</v>
      </c>
      <c r="BQ53" s="30">
        <v>2291</v>
      </c>
      <c r="BR53" s="30">
        <v>2356</v>
      </c>
      <c r="BS53" s="30">
        <f>2471-52</f>
        <v>2419</v>
      </c>
      <c r="BT53" s="30">
        <f>2720-145</f>
        <v>2575</v>
      </c>
      <c r="BU53" s="30">
        <f>+BU52-BU54</f>
        <v>2248.5938999999998</v>
      </c>
      <c r="BV53" s="30">
        <f t="shared" ref="BV53:BZ53" si="102">+BV52-BV54</f>
        <v>2295.2916000000005</v>
      </c>
      <c r="BW53" s="30">
        <f t="shared" si="102"/>
        <v>2354.8370999999988</v>
      </c>
      <c r="BX53" s="30">
        <f t="shared" si="102"/>
        <v>2436.1785</v>
      </c>
      <c r="BY53" s="30">
        <f t="shared" si="102"/>
        <v>2250.6665790000006</v>
      </c>
      <c r="BZ53" s="30">
        <f t="shared" si="102"/>
        <v>2322.9686760000004</v>
      </c>
      <c r="CA53" s="30"/>
      <c r="CB53" s="30"/>
      <c r="CC53" s="30"/>
      <c r="CD53" s="30">
        <v>2418</v>
      </c>
      <c r="CE53" s="30">
        <v>2665</v>
      </c>
      <c r="CF53" s="30">
        <v>2717</v>
      </c>
      <c r="CG53" s="30">
        <v>2857</v>
      </c>
      <c r="CH53" s="30">
        <v>3029</v>
      </c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>
        <f>CV52-CV54</f>
        <v>9884.16</v>
      </c>
      <c r="CW53" s="30">
        <f>CW52-CW54</f>
        <v>13479</v>
      </c>
      <c r="CX53" s="50">
        <f>CX52-CX54</f>
        <v>5869</v>
      </c>
      <c r="CY53" s="50">
        <f>SUM(W53:Z53)</f>
        <v>5277</v>
      </c>
      <c r="CZ53" s="50">
        <f>SUM(AA53:AD53)</f>
        <v>5598</v>
      </c>
      <c r="DA53" s="30">
        <f t="shared" ref="DA53:DH53" si="103">DA52-DA54</f>
        <v>4743.8999999999996</v>
      </c>
      <c r="DB53" s="65">
        <f t="shared" si="103"/>
        <v>3607.6455000000005</v>
      </c>
      <c r="DC53" s="65">
        <f t="shared" si="103"/>
        <v>3449.6820000000007</v>
      </c>
      <c r="DD53" s="30">
        <f t="shared" si="103"/>
        <v>2795.3767912500007</v>
      </c>
      <c r="DE53" s="30">
        <f t="shared" si="103"/>
        <v>2359.9739751249999</v>
      </c>
      <c r="DF53" s="30">
        <f t="shared" si="103"/>
        <v>2023.9268582343748</v>
      </c>
      <c r="DG53" s="30">
        <f t="shared" si="103"/>
        <v>5640.25</v>
      </c>
      <c r="DH53" s="30">
        <f t="shared" si="103"/>
        <v>6536.25</v>
      </c>
      <c r="DI53" s="30"/>
      <c r="DJ53" s="30"/>
      <c r="DK53" s="30"/>
      <c r="DL53" s="30"/>
      <c r="DM53" s="30"/>
      <c r="DN53" s="30"/>
    </row>
    <row r="54" spans="2:160" s="25" customFormat="1" x14ac:dyDescent="0.2">
      <c r="B54" s="25" t="s">
        <v>239</v>
      </c>
      <c r="C54" s="30">
        <f t="shared" ref="C54:Q54" si="104">C52-C53</f>
        <v>5021</v>
      </c>
      <c r="D54" s="30">
        <f t="shared" si="104"/>
        <v>5628</v>
      </c>
      <c r="E54" s="30">
        <f t="shared" si="104"/>
        <v>5408</v>
      </c>
      <c r="F54" s="30">
        <f t="shared" si="104"/>
        <v>5734</v>
      </c>
      <c r="G54" s="30">
        <f t="shared" si="104"/>
        <v>5357</v>
      </c>
      <c r="H54" s="30">
        <f t="shared" si="104"/>
        <v>5582</v>
      </c>
      <c r="I54" s="30">
        <f t="shared" si="104"/>
        <v>4287</v>
      </c>
      <c r="J54" s="30">
        <f t="shared" si="104"/>
        <v>4199</v>
      </c>
      <c r="K54" s="30">
        <f t="shared" si="104"/>
        <v>4812</v>
      </c>
      <c r="L54" s="30">
        <f t="shared" si="104"/>
        <v>5542</v>
      </c>
      <c r="M54" s="30">
        <f t="shared" si="104"/>
        <v>6228</v>
      </c>
      <c r="N54" s="30">
        <f t="shared" si="104"/>
        <v>6674</v>
      </c>
      <c r="O54" s="30">
        <f t="shared" si="104"/>
        <v>6481</v>
      </c>
      <c r="P54" s="30">
        <f t="shared" si="104"/>
        <v>6806</v>
      </c>
      <c r="Q54" s="30">
        <f t="shared" si="104"/>
        <v>6999</v>
      </c>
      <c r="R54" s="30"/>
      <c r="S54" s="30">
        <f t="shared" ref="S54:X54" si="105">S52-S53</f>
        <v>6882</v>
      </c>
      <c r="T54" s="30">
        <f t="shared" si="105"/>
        <v>7442</v>
      </c>
      <c r="U54" s="30">
        <f t="shared" si="105"/>
        <v>7534</v>
      </c>
      <c r="V54" s="30">
        <f t="shared" si="105"/>
        <v>7421</v>
      </c>
      <c r="W54" s="30">
        <f t="shared" si="105"/>
        <v>3501</v>
      </c>
      <c r="X54" s="30">
        <f t="shared" si="105"/>
        <v>7198</v>
      </c>
      <c r="Y54" s="30">
        <f>+Y52-Y53</f>
        <v>3518</v>
      </c>
      <c r="Z54" s="30">
        <f>Z52-Z53</f>
        <v>3697</v>
      </c>
      <c r="AA54" s="50">
        <f t="shared" ref="AA54:AF54" si="106">+AA52-AA53</f>
        <v>3668</v>
      </c>
      <c r="AB54" s="30">
        <f t="shared" si="106"/>
        <v>3953</v>
      </c>
      <c r="AC54" s="30">
        <f t="shared" si="106"/>
        <v>3938</v>
      </c>
      <c r="AD54" s="30">
        <f t="shared" si="106"/>
        <v>4087</v>
      </c>
      <c r="AE54" s="30">
        <f t="shared" si="106"/>
        <v>3948</v>
      </c>
      <c r="AF54" s="30">
        <f t="shared" si="106"/>
        <v>3198</v>
      </c>
      <c r="AG54" s="50">
        <f>AG52-AG53</f>
        <v>2749</v>
      </c>
      <c r="AH54" s="50">
        <f>AH52-AH53</f>
        <v>3116</v>
      </c>
      <c r="AI54" s="50">
        <f>AI52-AI53</f>
        <v>2768</v>
      </c>
      <c r="AJ54" s="50">
        <f>AJ52-AJ53</f>
        <v>2940</v>
      </c>
      <c r="AK54" s="50">
        <f>AK52-AK53</f>
        <v>2890</v>
      </c>
      <c r="AL54" s="30"/>
      <c r="AM54" s="30"/>
      <c r="AN54" s="30">
        <f>+AN52-AN53</f>
        <v>2898</v>
      </c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>
        <f t="shared" ref="BG54:BH54" si="107">BG52-BG53</f>
        <v>4096</v>
      </c>
      <c r="BH54" s="30">
        <f t="shared" si="107"/>
        <v>4301</v>
      </c>
      <c r="BI54" s="30"/>
      <c r="BJ54" s="30"/>
      <c r="BK54" s="30">
        <f t="shared" ref="BK54" si="108">BK52-BK53</f>
        <v>8557</v>
      </c>
      <c r="BL54" s="30">
        <f t="shared" ref="BL54:BN54" si="109">BL52-BL53</f>
        <v>7430</v>
      </c>
      <c r="BM54" s="30">
        <f t="shared" si="109"/>
        <v>8038</v>
      </c>
      <c r="BN54" s="30">
        <f t="shared" si="109"/>
        <v>8833</v>
      </c>
      <c r="BO54" s="30">
        <f t="shared" ref="BO54:BQ54" si="110">BO52-BO53</f>
        <v>8649</v>
      </c>
      <c r="BP54" s="30">
        <f t="shared" si="110"/>
        <v>9340</v>
      </c>
      <c r="BQ54" s="30">
        <f t="shared" si="110"/>
        <v>9333</v>
      </c>
      <c r="BR54" s="30">
        <f>BR52-BR53</f>
        <v>9629</v>
      </c>
      <c r="BS54" s="30">
        <f>BS52-BS53</f>
        <v>9229</v>
      </c>
      <c r="BT54" s="30">
        <f t="shared" ref="BT54" si="111">BT52-BT53</f>
        <v>9312</v>
      </c>
      <c r="BU54" s="30">
        <f>+BU52*0.79</f>
        <v>8458.9961000000003</v>
      </c>
      <c r="BV54" s="30">
        <f t="shared" ref="BV54:BZ54" si="112">+BV52*0.79</f>
        <v>8634.6684000000005</v>
      </c>
      <c r="BW54" s="30">
        <f t="shared" si="112"/>
        <v>8858.6729000000014</v>
      </c>
      <c r="BX54" s="30">
        <f t="shared" si="112"/>
        <v>9164.6715000000004</v>
      </c>
      <c r="BY54" s="30">
        <f t="shared" si="112"/>
        <v>8466.793321000001</v>
      </c>
      <c r="BZ54" s="30">
        <f t="shared" si="112"/>
        <v>8738.786924</v>
      </c>
      <c r="CA54" s="30"/>
      <c r="CB54" s="30"/>
      <c r="CC54" s="30"/>
      <c r="CD54" s="30">
        <f>CD52-CD53</f>
        <v>6160</v>
      </c>
      <c r="CE54" s="30">
        <f>CE52-CE53</f>
        <v>7076</v>
      </c>
      <c r="CF54" s="30">
        <f>CF52-CF53</f>
        <v>7854</v>
      </c>
      <c r="CG54" s="30">
        <f>CG52-CG53</f>
        <v>8299</v>
      </c>
      <c r="CH54" s="30">
        <f>CH52-CH53</f>
        <v>8384</v>
      </c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>
        <f>CV52*0.68</f>
        <v>21003.84</v>
      </c>
      <c r="CW54" s="30">
        <f>SUM(O54:R54)</f>
        <v>20286</v>
      </c>
      <c r="CX54" s="50">
        <f>SUM(S54:V54)</f>
        <v>29279</v>
      </c>
      <c r="CY54" s="50">
        <f>CY52-CY53</f>
        <v>17914</v>
      </c>
      <c r="CZ54" s="50">
        <f>CZ52-CZ53</f>
        <v>15646</v>
      </c>
      <c r="DA54" s="30">
        <f t="shared" ref="DA54:DH54" si="113">DA52*DA84</f>
        <v>12826.1</v>
      </c>
      <c r="DB54" s="65">
        <f t="shared" si="113"/>
        <v>9754.0044999999991</v>
      </c>
      <c r="DC54" s="65">
        <f t="shared" si="113"/>
        <v>9326.9179999999978</v>
      </c>
      <c r="DD54" s="30">
        <f t="shared" si="113"/>
        <v>7557.8705837500002</v>
      </c>
      <c r="DE54" s="30">
        <f t="shared" si="113"/>
        <v>6716.8490061249995</v>
      </c>
      <c r="DF54" s="30">
        <f t="shared" si="113"/>
        <v>6071.7805747031252</v>
      </c>
      <c r="DG54" s="30">
        <f t="shared" si="113"/>
        <v>16920.75</v>
      </c>
      <c r="DH54" s="30">
        <f t="shared" si="113"/>
        <v>19608.75</v>
      </c>
      <c r="DI54" s="30"/>
      <c r="DJ54" s="30"/>
      <c r="DK54" s="30"/>
      <c r="DL54" s="30"/>
      <c r="DM54" s="30"/>
      <c r="DN54" s="30"/>
    </row>
    <row r="55" spans="2:160" s="25" customFormat="1" x14ac:dyDescent="0.2">
      <c r="B55" s="25" t="s">
        <v>241</v>
      </c>
      <c r="C55" s="30">
        <v>1183</v>
      </c>
      <c r="D55" s="30">
        <v>1268</v>
      </c>
      <c r="E55" s="30">
        <v>1286</v>
      </c>
      <c r="F55" s="30">
        <v>1369</v>
      </c>
      <c r="G55" s="30">
        <v>1238</v>
      </c>
      <c r="H55" s="30">
        <v>1181</v>
      </c>
      <c r="I55" s="30">
        <v>1189</v>
      </c>
      <c r="J55" s="30">
        <v>1284</v>
      </c>
      <c r="K55" s="30">
        <v>1133</v>
      </c>
      <c r="L55" s="30">
        <v>1209</v>
      </c>
      <c r="M55" s="30">
        <v>1214</v>
      </c>
      <c r="N55" s="30">
        <v>1343</v>
      </c>
      <c r="O55" s="30">
        <v>1223</v>
      </c>
      <c r="P55" s="30">
        <v>1143</v>
      </c>
      <c r="Q55" s="30">
        <v>1171</v>
      </c>
      <c r="R55" s="30">
        <f>Q55</f>
        <v>1171</v>
      </c>
      <c r="S55" s="30">
        <v>1064</v>
      </c>
      <c r="T55" s="30">
        <v>1077</v>
      </c>
      <c r="U55" s="30">
        <v>1117</v>
      </c>
      <c r="V55" s="30">
        <v>1170</v>
      </c>
      <c r="W55" s="30">
        <v>900</v>
      </c>
      <c r="X55" s="30">
        <v>894</v>
      </c>
      <c r="Y55" s="50">
        <v>892</v>
      </c>
      <c r="Z55" s="50">
        <v>1000</v>
      </c>
      <c r="AA55" s="50">
        <v>928</v>
      </c>
      <c r="AB55" s="50">
        <v>1040</v>
      </c>
      <c r="AC55" s="50">
        <v>1019</v>
      </c>
      <c r="AD55" s="50">
        <v>1216</v>
      </c>
      <c r="AE55" s="30">
        <v>1002</v>
      </c>
      <c r="AF55" s="30">
        <v>1004</v>
      </c>
      <c r="AG55" s="50">
        <f>1071+1830</f>
        <v>2901</v>
      </c>
      <c r="AH55" s="50">
        <f>4220-SUM(AE55:AG55)+1830</f>
        <v>1143</v>
      </c>
      <c r="AI55" s="30">
        <v>994</v>
      </c>
      <c r="AJ55" s="30">
        <v>1042</v>
      </c>
      <c r="AK55" s="30">
        <v>980</v>
      </c>
      <c r="AL55" s="30"/>
      <c r="AM55" s="30"/>
      <c r="AN55" s="30">
        <v>948</v>
      </c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>
        <v>1006</v>
      </c>
      <c r="BH55" s="30">
        <v>1076</v>
      </c>
      <c r="BI55" s="30"/>
      <c r="BJ55" s="30"/>
      <c r="BK55" s="30">
        <v>1606</v>
      </c>
      <c r="BL55" s="30">
        <v>1628</v>
      </c>
      <c r="BM55" s="30">
        <v>1706</v>
      </c>
      <c r="BN55" s="30">
        <f>2721-241</f>
        <v>2480</v>
      </c>
      <c r="BO55" s="30">
        <f>1666+1</f>
        <v>1667</v>
      </c>
      <c r="BP55" s="30">
        <f>1882-1</f>
        <v>1881</v>
      </c>
      <c r="BQ55" s="30">
        <v>1788</v>
      </c>
      <c r="BR55" s="30">
        <f>2354-2</f>
        <v>2352</v>
      </c>
      <c r="BS55" s="30">
        <v>1829</v>
      </c>
      <c r="BT55" s="30">
        <f>1787-4</f>
        <v>1783</v>
      </c>
      <c r="BU55" s="30">
        <f>+BU52*0.17</f>
        <v>1820.2903000000001</v>
      </c>
      <c r="BV55" s="30">
        <f t="shared" ref="BV55:BZ55" si="114">+BV52*0.17</f>
        <v>1858.0932000000003</v>
      </c>
      <c r="BW55" s="30">
        <f t="shared" si="114"/>
        <v>1906.2967000000001</v>
      </c>
      <c r="BX55" s="30">
        <f t="shared" si="114"/>
        <v>1972.1445000000001</v>
      </c>
      <c r="BY55" s="30">
        <f t="shared" si="114"/>
        <v>1821.9681830000004</v>
      </c>
      <c r="BZ55" s="30">
        <f t="shared" si="114"/>
        <v>1880.4984520000003</v>
      </c>
      <c r="CA55" s="30"/>
      <c r="CB55" s="30"/>
      <c r="CC55" s="30"/>
      <c r="CD55" s="30">
        <v>2461</v>
      </c>
      <c r="CE55" s="30">
        <v>2717</v>
      </c>
      <c r="CF55" s="30">
        <v>2946</v>
      </c>
      <c r="CG55" s="30">
        <v>3075</v>
      </c>
      <c r="CH55" s="30">
        <v>3098</v>
      </c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>
        <v>4900</v>
      </c>
      <c r="CW55" s="30">
        <f>SUM(O55:R55)</f>
        <v>4708</v>
      </c>
      <c r="CX55" s="50">
        <f>SUM(S55:V55)</f>
        <v>4428</v>
      </c>
      <c r="CY55" s="50">
        <f>SUM(W55:Z55)</f>
        <v>3686</v>
      </c>
      <c r="CZ55" s="50">
        <f>SUM(AA55:AD55)</f>
        <v>4203</v>
      </c>
      <c r="DA55" s="30">
        <f>+CZ55*0.95</f>
        <v>3992.85</v>
      </c>
      <c r="DB55" s="65">
        <f>+DA55*0.95</f>
        <v>3793.2074999999995</v>
      </c>
      <c r="DC55" s="65">
        <f>+DB55*0.95</f>
        <v>3603.5471249999996</v>
      </c>
      <c r="DD55" s="30">
        <f>+DC55*0.75</f>
        <v>2702.6603437499998</v>
      </c>
      <c r="DE55" s="30">
        <f>+DD55*0.95</f>
        <v>2567.5273265624996</v>
      </c>
      <c r="DF55" s="30">
        <f>+DE55*0.5</f>
        <v>1283.7636632812498</v>
      </c>
      <c r="DG55" s="30">
        <f t="shared" ref="DG55:DH55" si="115">+DF55*0.5</f>
        <v>641.88183164062491</v>
      </c>
      <c r="DH55" s="30">
        <f t="shared" si="115"/>
        <v>320.94091582031245</v>
      </c>
      <c r="DI55" s="30"/>
      <c r="DJ55" s="30"/>
      <c r="DK55" s="30"/>
      <c r="DL55" s="30"/>
      <c r="DM55" s="30"/>
      <c r="DN55" s="30"/>
    </row>
    <row r="56" spans="2:160" s="25" customFormat="1" x14ac:dyDescent="0.2">
      <c r="B56" s="25" t="s">
        <v>102</v>
      </c>
      <c r="C56" s="30">
        <v>318</v>
      </c>
      <c r="D56" s="30">
        <v>365</v>
      </c>
      <c r="E56" s="30">
        <v>349</v>
      </c>
      <c r="F56" s="30">
        <v>444</v>
      </c>
      <c r="G56" s="30">
        <v>295</v>
      </c>
      <c r="H56" s="30">
        <v>352</v>
      </c>
      <c r="I56" s="30">
        <v>286</v>
      </c>
      <c r="J56" s="30">
        <v>415</v>
      </c>
      <c r="K56" s="30">
        <v>268</v>
      </c>
      <c r="L56" s="30">
        <v>368</v>
      </c>
      <c r="M56" s="30">
        <v>351</v>
      </c>
      <c r="N56" s="30">
        <v>483</v>
      </c>
      <c r="O56" s="30">
        <v>330</v>
      </c>
      <c r="P56" s="30">
        <v>420</v>
      </c>
      <c r="Q56" s="30">
        <v>362</v>
      </c>
      <c r="R56" s="30">
        <f>Q56</f>
        <v>362</v>
      </c>
      <c r="S56" s="30">
        <v>324</v>
      </c>
      <c r="T56" s="30">
        <v>400</v>
      </c>
      <c r="U56" s="30">
        <v>361</v>
      </c>
      <c r="V56" s="30">
        <v>334</v>
      </c>
      <c r="W56" s="30">
        <v>212</v>
      </c>
      <c r="X56" s="30">
        <v>263</v>
      </c>
      <c r="Y56" s="50">
        <v>231</v>
      </c>
      <c r="Z56" s="50">
        <v>271</v>
      </c>
      <c r="AA56" s="50">
        <v>214</v>
      </c>
      <c r="AB56" s="50">
        <v>253</v>
      </c>
      <c r="AC56" s="50">
        <v>205</v>
      </c>
      <c r="AD56" s="50">
        <v>285</v>
      </c>
      <c r="AE56" s="30">
        <v>194</v>
      </c>
      <c r="AF56" s="30">
        <v>224</v>
      </c>
      <c r="AG56" s="50">
        <v>167</v>
      </c>
      <c r="AH56" s="50">
        <f>797-SUM(AE56:AG56)</f>
        <v>212</v>
      </c>
      <c r="AI56" s="30">
        <v>189</v>
      </c>
      <c r="AJ56" s="30">
        <v>218</v>
      </c>
      <c r="AK56" s="30">
        <v>194</v>
      </c>
      <c r="AL56" s="30"/>
      <c r="AM56" s="30"/>
      <c r="AN56" s="30">
        <v>187</v>
      </c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>
        <v>1073</v>
      </c>
      <c r="CE56" s="30">
        <v>1189</v>
      </c>
      <c r="CF56" s="30">
        <v>1263</v>
      </c>
      <c r="CG56" s="30">
        <v>1291</v>
      </c>
      <c r="CH56" s="30">
        <v>1255</v>
      </c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>
        <v>1400</v>
      </c>
      <c r="CW56" s="30">
        <f>SUM(O56:R56)</f>
        <v>1474</v>
      </c>
      <c r="CX56" s="50">
        <f>SUM(S56:V56)</f>
        <v>1419</v>
      </c>
      <c r="CY56" s="50">
        <f>SUM(W56:Z56)</f>
        <v>977</v>
      </c>
      <c r="CZ56" s="50">
        <f>SUM(AA56:AD56)</f>
        <v>957</v>
      </c>
      <c r="DA56" s="30">
        <f t="shared" ref="DA56:DH56" si="116">DA52*0.06</f>
        <v>1054.2</v>
      </c>
      <c r="DB56" s="65">
        <f t="shared" si="116"/>
        <v>801.69899999999996</v>
      </c>
      <c r="DC56" s="65">
        <f t="shared" si="116"/>
        <v>766.59599999999989</v>
      </c>
      <c r="DD56" s="30">
        <f t="shared" si="116"/>
        <v>621.19484250000005</v>
      </c>
      <c r="DE56" s="30">
        <f t="shared" si="116"/>
        <v>544.60937887499995</v>
      </c>
      <c r="DF56" s="30">
        <f t="shared" si="116"/>
        <v>485.74244597625</v>
      </c>
      <c r="DG56" s="30">
        <f t="shared" si="116"/>
        <v>1353.6599999999999</v>
      </c>
      <c r="DH56" s="30">
        <f t="shared" si="116"/>
        <v>1568.7</v>
      </c>
      <c r="DI56" s="30"/>
      <c r="DJ56" s="30"/>
      <c r="DK56" s="30"/>
      <c r="DL56" s="30"/>
      <c r="DM56" s="30"/>
      <c r="DN56" s="30"/>
    </row>
    <row r="57" spans="2:160" s="25" customFormat="1" x14ac:dyDescent="0.2">
      <c r="B57" s="25" t="s">
        <v>103</v>
      </c>
      <c r="C57" s="30">
        <v>653</v>
      </c>
      <c r="D57" s="30">
        <v>649</v>
      </c>
      <c r="E57" s="30">
        <v>669</v>
      </c>
      <c r="F57" s="30">
        <v>775</v>
      </c>
      <c r="G57" s="30">
        <v>750</v>
      </c>
      <c r="H57" s="30">
        <v>740</v>
      </c>
      <c r="I57" s="30">
        <v>756</v>
      </c>
      <c r="J57" s="30">
        <v>799</v>
      </c>
      <c r="K57" s="30">
        <v>791</v>
      </c>
      <c r="L57" s="30">
        <v>778</v>
      </c>
      <c r="M57" s="30">
        <v>827</v>
      </c>
      <c r="N57" s="30">
        <v>908</v>
      </c>
      <c r="O57" s="30">
        <v>795</v>
      </c>
      <c r="P57" s="30">
        <v>795</v>
      </c>
      <c r="Q57" s="30">
        <v>797</v>
      </c>
      <c r="R57" s="30">
        <f>Q57</f>
        <v>797</v>
      </c>
      <c r="S57" s="30">
        <v>923</v>
      </c>
      <c r="T57" s="30">
        <v>829</v>
      </c>
      <c r="U57" s="30">
        <v>838</v>
      </c>
      <c r="V57" s="30">
        <v>1108</v>
      </c>
      <c r="W57" s="30">
        <v>910</v>
      </c>
      <c r="X57" s="30">
        <v>822</v>
      </c>
      <c r="Y57" s="50">
        <v>824</v>
      </c>
      <c r="Z57" s="50">
        <v>1010</v>
      </c>
      <c r="AA57" s="50">
        <v>935</v>
      </c>
      <c r="AB57" s="50">
        <v>923</v>
      </c>
      <c r="AC57" s="50">
        <v>973</v>
      </c>
      <c r="AD57" s="50">
        <v>1008</v>
      </c>
      <c r="AE57" s="30">
        <v>909</v>
      </c>
      <c r="AF57" s="30">
        <v>962</v>
      </c>
      <c r="AG57" s="50">
        <v>951</v>
      </c>
      <c r="AH57" s="50">
        <f>3904-SUM(AE57:AG57)</f>
        <v>1082</v>
      </c>
      <c r="AI57" s="30">
        <v>930</v>
      </c>
      <c r="AJ57" s="30">
        <v>951</v>
      </c>
      <c r="AK57" s="30">
        <v>893</v>
      </c>
      <c r="AL57" s="30"/>
      <c r="AM57" s="30"/>
      <c r="AN57" s="30">
        <v>958</v>
      </c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>
        <v>1348</v>
      </c>
      <c r="BH57" s="30">
        <v>1325</v>
      </c>
      <c r="BI57" s="30"/>
      <c r="BJ57" s="30"/>
      <c r="BK57" s="30">
        <v>2372</v>
      </c>
      <c r="BL57" s="30">
        <v>2522</v>
      </c>
      <c r="BM57" s="30">
        <v>2499</v>
      </c>
      <c r="BN57" s="30">
        <f>3750-1213</f>
        <v>2537</v>
      </c>
      <c r="BO57" s="30">
        <f>2219-1</f>
        <v>2218</v>
      </c>
      <c r="BP57" s="30">
        <f>2478-230</f>
        <v>2248</v>
      </c>
      <c r="BQ57" s="30">
        <v>3251</v>
      </c>
      <c r="BR57" s="30">
        <v>2607</v>
      </c>
      <c r="BS57" s="30">
        <v>2133</v>
      </c>
      <c r="BT57" s="30">
        <f>2321-21</f>
        <v>2300</v>
      </c>
      <c r="BU57" s="30">
        <f>+BQ57</f>
        <v>3251</v>
      </c>
      <c r="BV57" s="30">
        <f t="shared" ref="BV57:BZ57" si="117">+BR57</f>
        <v>2607</v>
      </c>
      <c r="BW57" s="30">
        <f t="shared" si="117"/>
        <v>2133</v>
      </c>
      <c r="BX57" s="30">
        <f t="shared" si="117"/>
        <v>2300</v>
      </c>
      <c r="BY57" s="30">
        <f t="shared" si="117"/>
        <v>3251</v>
      </c>
      <c r="BZ57" s="30">
        <f t="shared" si="117"/>
        <v>2607</v>
      </c>
      <c r="CA57" s="30"/>
      <c r="CB57" s="30"/>
      <c r="CC57" s="30"/>
      <c r="CD57" s="30">
        <v>781</v>
      </c>
      <c r="CE57" s="30">
        <v>873</v>
      </c>
      <c r="CF57" s="30">
        <v>983</v>
      </c>
      <c r="CG57" s="30">
        <v>1083</v>
      </c>
      <c r="CH57" s="30">
        <v>1128</v>
      </c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>
        <v>3300</v>
      </c>
      <c r="CW57" s="30">
        <f>SUM(O57:R57)</f>
        <v>3184</v>
      </c>
      <c r="CX57" s="50">
        <f>SUM(S57:V57)</f>
        <v>3698</v>
      </c>
      <c r="CY57" s="50">
        <f>SUM(W57:Z57)</f>
        <v>3566</v>
      </c>
      <c r="CZ57" s="50">
        <f>SUM(AA57:AD57)</f>
        <v>3839</v>
      </c>
      <c r="DA57" s="30"/>
      <c r="DB57" s="65"/>
      <c r="DC57" s="65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</row>
    <row r="58" spans="2:160" x14ac:dyDescent="0.2">
      <c r="B58" s="1" t="s">
        <v>247</v>
      </c>
      <c r="C58" s="30">
        <f t="shared" ref="C58:R58" si="118">C57+C56+C55</f>
        <v>2154</v>
      </c>
      <c r="D58" s="30">
        <f t="shared" si="118"/>
        <v>2282</v>
      </c>
      <c r="E58" s="30">
        <f t="shared" si="118"/>
        <v>2304</v>
      </c>
      <c r="F58" s="30">
        <f t="shared" si="118"/>
        <v>2588</v>
      </c>
      <c r="G58" s="30">
        <f t="shared" si="118"/>
        <v>2283</v>
      </c>
      <c r="H58" s="30">
        <f t="shared" si="118"/>
        <v>2273</v>
      </c>
      <c r="I58" s="30">
        <f t="shared" si="118"/>
        <v>2231</v>
      </c>
      <c r="J58" s="30">
        <f t="shared" si="118"/>
        <v>2498</v>
      </c>
      <c r="K58" s="30">
        <f t="shared" si="118"/>
        <v>2192</v>
      </c>
      <c r="L58" s="30">
        <f t="shared" si="118"/>
        <v>2355</v>
      </c>
      <c r="M58" s="30">
        <f t="shared" si="118"/>
        <v>2392</v>
      </c>
      <c r="N58" s="30">
        <f t="shared" si="118"/>
        <v>2734</v>
      </c>
      <c r="O58" s="30">
        <f t="shared" si="118"/>
        <v>2348</v>
      </c>
      <c r="P58" s="30">
        <f>P57+P56+P55</f>
        <v>2358</v>
      </c>
      <c r="Q58" s="30">
        <f>Q57+Q56+Q55</f>
        <v>2330</v>
      </c>
      <c r="R58" s="30">
        <f t="shared" si="118"/>
        <v>2330</v>
      </c>
      <c r="S58" s="30">
        <f t="shared" ref="S58:Z58" si="119">S57+S56+S55</f>
        <v>2311</v>
      </c>
      <c r="T58" s="30">
        <f t="shared" si="119"/>
        <v>2306</v>
      </c>
      <c r="U58" s="30">
        <f t="shared" si="119"/>
        <v>2316</v>
      </c>
      <c r="V58" s="30">
        <f t="shared" si="119"/>
        <v>2612</v>
      </c>
      <c r="W58" s="30">
        <f t="shared" si="119"/>
        <v>2022</v>
      </c>
      <c r="X58" s="30">
        <f t="shared" si="119"/>
        <v>1979</v>
      </c>
      <c r="Y58" s="30">
        <f t="shared" si="119"/>
        <v>1947</v>
      </c>
      <c r="Z58" s="50">
        <f t="shared" si="119"/>
        <v>2281</v>
      </c>
      <c r="AA58" s="50">
        <f t="shared" ref="AA58:AK58" si="120">AA57+AA56+AA55</f>
        <v>2077</v>
      </c>
      <c r="AB58" s="30">
        <f t="shared" si="120"/>
        <v>2216</v>
      </c>
      <c r="AC58" s="30">
        <f t="shared" si="120"/>
        <v>2197</v>
      </c>
      <c r="AD58" s="30">
        <f t="shared" si="120"/>
        <v>2509</v>
      </c>
      <c r="AE58" s="30">
        <f t="shared" si="120"/>
        <v>2105</v>
      </c>
      <c r="AF58" s="30">
        <f>AF57+AF56+AF55</f>
        <v>2190</v>
      </c>
      <c r="AG58" s="50">
        <f t="shared" si="120"/>
        <v>4019</v>
      </c>
      <c r="AH58" s="50">
        <f t="shared" si="120"/>
        <v>2437</v>
      </c>
      <c r="AI58" s="50">
        <f t="shared" si="120"/>
        <v>2113</v>
      </c>
      <c r="AJ58" s="50">
        <f t="shared" si="120"/>
        <v>2211</v>
      </c>
      <c r="AK58" s="50">
        <f t="shared" si="120"/>
        <v>2067</v>
      </c>
      <c r="AL58" s="50">
        <f>AL57+AL56+AL55</f>
        <v>0</v>
      </c>
      <c r="AM58" s="50">
        <f>AM57+AM56+AM55</f>
        <v>0</v>
      </c>
      <c r="AN58" s="50">
        <f>AN57+AN56+AN55</f>
        <v>2093</v>
      </c>
      <c r="AO58" s="30"/>
      <c r="AP58" s="30"/>
      <c r="AQ58" s="30"/>
      <c r="AR58" s="30"/>
      <c r="AS58" s="30"/>
      <c r="BG58" s="30">
        <f t="shared" ref="BG58:BH58" si="121">SUM(BG55:BG57)</f>
        <v>2354</v>
      </c>
      <c r="BH58" s="30">
        <f t="shared" si="121"/>
        <v>2401</v>
      </c>
      <c r="BK58" s="30">
        <f t="shared" ref="BK58" si="122">SUM(BK55:BK57)</f>
        <v>3978</v>
      </c>
      <c r="BL58" s="30">
        <f t="shared" ref="BL58:BN58" si="123">SUM(BL55:BL57)</f>
        <v>4150</v>
      </c>
      <c r="BM58" s="30">
        <f t="shared" si="123"/>
        <v>4205</v>
      </c>
      <c r="BN58" s="30">
        <f t="shared" si="123"/>
        <v>5017</v>
      </c>
      <c r="BO58" s="30">
        <f t="shared" ref="BO58:BR58" si="124">SUM(BO55:BO57)</f>
        <v>3885</v>
      </c>
      <c r="BP58" s="30">
        <f t="shared" si="124"/>
        <v>4129</v>
      </c>
      <c r="BQ58" s="30">
        <f t="shared" si="124"/>
        <v>5039</v>
      </c>
      <c r="BR58" s="30">
        <f t="shared" si="124"/>
        <v>4959</v>
      </c>
      <c r="BS58" s="30">
        <f>SUM(BS55:BS57)</f>
        <v>3962</v>
      </c>
      <c r="BT58" s="30">
        <f>SUM(BT55:BT57)</f>
        <v>4083</v>
      </c>
      <c r="BU58" s="30">
        <f>SUM(BU55:BU57)</f>
        <v>5071.2903000000006</v>
      </c>
      <c r="BV58" s="30">
        <f t="shared" ref="BV58:BZ58" si="125">SUM(BV55:BV57)</f>
        <v>4465.0932000000003</v>
      </c>
      <c r="BW58" s="30">
        <f t="shared" si="125"/>
        <v>4039.2966999999999</v>
      </c>
      <c r="BX58" s="30">
        <f t="shared" si="125"/>
        <v>4272.1445000000003</v>
      </c>
      <c r="BY58" s="30">
        <f t="shared" si="125"/>
        <v>5072.9681830000009</v>
      </c>
      <c r="BZ58" s="30">
        <f t="shared" si="125"/>
        <v>4487.4984519999998</v>
      </c>
      <c r="CD58" s="30">
        <f>CD57+CD56+CD55</f>
        <v>4315</v>
      </c>
      <c r="CE58" s="30">
        <f>CE57+CE56+CE55</f>
        <v>4779</v>
      </c>
      <c r="CF58" s="30">
        <f>CF57+CF56+CF55</f>
        <v>5192</v>
      </c>
      <c r="CG58" s="30">
        <f>CG57+CG56+CG55</f>
        <v>5449</v>
      </c>
      <c r="CH58" s="30">
        <f>CH57+CH56+CH55</f>
        <v>5481</v>
      </c>
      <c r="CV58" s="30"/>
      <c r="CW58" s="30">
        <f t="shared" ref="CW58:DF58" si="126">SUM(CW55:CW57)</f>
        <v>9366</v>
      </c>
      <c r="CX58" s="50">
        <f t="shared" si="126"/>
        <v>9545</v>
      </c>
      <c r="CY58" s="50">
        <f t="shared" si="126"/>
        <v>8229</v>
      </c>
      <c r="CZ58" s="50">
        <f t="shared" si="126"/>
        <v>8999</v>
      </c>
      <c r="DA58" s="30">
        <f t="shared" si="126"/>
        <v>5047.05</v>
      </c>
      <c r="DB58" s="65">
        <f t="shared" si="126"/>
        <v>4594.9064999999991</v>
      </c>
      <c r="DC58" s="65">
        <f t="shared" si="126"/>
        <v>4370.1431249999996</v>
      </c>
      <c r="DD58" s="30">
        <f t="shared" si="126"/>
        <v>3323.8551862499999</v>
      </c>
      <c r="DE58" s="30">
        <f t="shared" si="126"/>
        <v>3112.1367054374996</v>
      </c>
      <c r="DF58" s="30">
        <f t="shared" si="126"/>
        <v>1769.5061092574997</v>
      </c>
      <c r="DG58" s="30">
        <f t="shared" ref="DG58:DN58" si="127">SUM(DG55:DG57)</f>
        <v>1995.5418316406249</v>
      </c>
      <c r="DH58" s="30">
        <f t="shared" si="127"/>
        <v>1889.6409158203126</v>
      </c>
      <c r="DI58" s="30">
        <f>SUM(DI55:DI57)</f>
        <v>0</v>
      </c>
      <c r="DJ58" s="30">
        <f t="shared" si="127"/>
        <v>0</v>
      </c>
      <c r="DK58" s="30">
        <f t="shared" si="127"/>
        <v>0</v>
      </c>
      <c r="DL58" s="30">
        <f t="shared" si="127"/>
        <v>0</v>
      </c>
      <c r="DM58" s="30">
        <f t="shared" si="127"/>
        <v>0</v>
      </c>
      <c r="DN58" s="30">
        <f t="shared" si="127"/>
        <v>0</v>
      </c>
    </row>
    <row r="59" spans="2:160" x14ac:dyDescent="0.2">
      <c r="B59" s="1" t="s">
        <v>246</v>
      </c>
      <c r="C59" s="30">
        <f t="shared" ref="C59:R59" si="128">C54-C58</f>
        <v>2867</v>
      </c>
      <c r="D59" s="30">
        <f t="shared" si="128"/>
        <v>3346</v>
      </c>
      <c r="E59" s="30">
        <f t="shared" si="128"/>
        <v>3104</v>
      </c>
      <c r="F59" s="30">
        <f t="shared" si="128"/>
        <v>3146</v>
      </c>
      <c r="G59" s="30">
        <f t="shared" si="128"/>
        <v>3074</v>
      </c>
      <c r="H59" s="30">
        <f t="shared" si="128"/>
        <v>3309</v>
      </c>
      <c r="I59" s="30">
        <f t="shared" si="128"/>
        <v>2056</v>
      </c>
      <c r="J59" s="30">
        <f t="shared" si="128"/>
        <v>1701</v>
      </c>
      <c r="K59" s="30">
        <f t="shared" si="128"/>
        <v>2620</v>
      </c>
      <c r="L59" s="30">
        <f t="shared" si="128"/>
        <v>3187</v>
      </c>
      <c r="M59" s="30">
        <f t="shared" si="128"/>
        <v>3836</v>
      </c>
      <c r="N59" s="30">
        <f t="shared" si="128"/>
        <v>3940</v>
      </c>
      <c r="O59" s="30">
        <f t="shared" si="128"/>
        <v>4133</v>
      </c>
      <c r="P59" s="30">
        <f>P54-P58</f>
        <v>4448</v>
      </c>
      <c r="Q59" s="30">
        <f>Q54-Q58</f>
        <v>4669</v>
      </c>
      <c r="R59" s="30">
        <f t="shared" si="128"/>
        <v>-2330</v>
      </c>
      <c r="S59" s="30">
        <f t="shared" ref="S59:Z59" si="129">S54-S58</f>
        <v>4571</v>
      </c>
      <c r="T59" s="30">
        <f t="shared" si="129"/>
        <v>5136</v>
      </c>
      <c r="U59" s="30">
        <f t="shared" si="129"/>
        <v>5218</v>
      </c>
      <c r="V59" s="30">
        <f t="shared" si="129"/>
        <v>4809</v>
      </c>
      <c r="W59" s="30">
        <f t="shared" si="129"/>
        <v>1479</v>
      </c>
      <c r="X59" s="30">
        <f t="shared" si="129"/>
        <v>5219</v>
      </c>
      <c r="Y59" s="30">
        <f t="shared" si="129"/>
        <v>1571</v>
      </c>
      <c r="Z59" s="50">
        <f t="shared" si="129"/>
        <v>1416</v>
      </c>
      <c r="AA59" s="50">
        <f t="shared" ref="AA59:AK59" si="130">AA54-AA58</f>
        <v>1591</v>
      </c>
      <c r="AB59" s="30">
        <f t="shared" si="130"/>
        <v>1737</v>
      </c>
      <c r="AC59" s="30">
        <f t="shared" si="130"/>
        <v>1741</v>
      </c>
      <c r="AD59" s="30">
        <f t="shared" si="130"/>
        <v>1578</v>
      </c>
      <c r="AE59" s="30">
        <f t="shared" si="130"/>
        <v>1843</v>
      </c>
      <c r="AF59" s="30">
        <f>AF54-AF58</f>
        <v>1008</v>
      </c>
      <c r="AG59" s="50">
        <f t="shared" si="130"/>
        <v>-1270</v>
      </c>
      <c r="AH59" s="50">
        <f t="shared" si="130"/>
        <v>679</v>
      </c>
      <c r="AI59" s="50">
        <f t="shared" si="130"/>
        <v>655</v>
      </c>
      <c r="AJ59" s="50">
        <f t="shared" si="130"/>
        <v>729</v>
      </c>
      <c r="AK59" s="50">
        <f t="shared" si="130"/>
        <v>823</v>
      </c>
      <c r="AL59" s="50">
        <f>AL54-AL58</f>
        <v>0</v>
      </c>
      <c r="AM59" s="50">
        <f>AM54-AM58</f>
        <v>0</v>
      </c>
      <c r="AN59" s="50">
        <f>AN54-AN58</f>
        <v>805</v>
      </c>
      <c r="AO59" s="30"/>
      <c r="AP59" s="30"/>
      <c r="AQ59" s="30"/>
      <c r="AR59" s="30"/>
      <c r="AS59" s="30"/>
      <c r="BG59" s="30">
        <f t="shared" ref="BG59:BH59" si="131">BG54-BG58</f>
        <v>1742</v>
      </c>
      <c r="BH59" s="30">
        <f t="shared" si="131"/>
        <v>1900</v>
      </c>
      <c r="BK59" s="30">
        <f t="shared" ref="BK59" si="132">BK54-BK58</f>
        <v>4579</v>
      </c>
      <c r="BL59" s="30">
        <f t="shared" ref="BL59:BN59" si="133">BL54-BL58</f>
        <v>3280</v>
      </c>
      <c r="BM59" s="30">
        <f t="shared" si="133"/>
        <v>3833</v>
      </c>
      <c r="BN59" s="30">
        <f t="shared" si="133"/>
        <v>3816</v>
      </c>
      <c r="BO59" s="30">
        <f t="shared" ref="BO59:BR59" si="134">BO54-BO58</f>
        <v>4764</v>
      </c>
      <c r="BP59" s="30">
        <f t="shared" si="134"/>
        <v>5211</v>
      </c>
      <c r="BQ59" s="30">
        <f t="shared" si="134"/>
        <v>4294</v>
      </c>
      <c r="BR59" s="30">
        <f t="shared" si="134"/>
        <v>4670</v>
      </c>
      <c r="BS59" s="30">
        <f>BS54-BS58</f>
        <v>5267</v>
      </c>
      <c r="BT59" s="30">
        <f>BT54-BT58</f>
        <v>5229</v>
      </c>
      <c r="BU59" s="30">
        <f>BU54-BU58</f>
        <v>3387.7057999999997</v>
      </c>
      <c r="BV59" s="30">
        <f t="shared" ref="BV59:BZ59" si="135">BV54-BV58</f>
        <v>4169.5752000000002</v>
      </c>
      <c r="BW59" s="30">
        <f t="shared" si="135"/>
        <v>4819.3762000000015</v>
      </c>
      <c r="BX59" s="30">
        <f t="shared" si="135"/>
        <v>4892.527</v>
      </c>
      <c r="BY59" s="30">
        <f t="shared" si="135"/>
        <v>3393.8251380000002</v>
      </c>
      <c r="BZ59" s="30">
        <f t="shared" si="135"/>
        <v>4251.2884720000002</v>
      </c>
      <c r="CD59" s="30">
        <f>CD54-CD58</f>
        <v>1845</v>
      </c>
      <c r="CE59" s="30">
        <f>CE54-CE58</f>
        <v>2297</v>
      </c>
      <c r="CF59" s="30">
        <f>CF54-CF58</f>
        <v>2662</v>
      </c>
      <c r="CG59" s="30">
        <f>CG54-CG58</f>
        <v>2850</v>
      </c>
      <c r="CH59" s="30">
        <f>CH54-CH58</f>
        <v>2903</v>
      </c>
      <c r="CW59" s="30">
        <f t="shared" ref="CW59:DF59" si="136">CW54-CW58</f>
        <v>10920</v>
      </c>
      <c r="CX59" s="50">
        <f t="shared" si="136"/>
        <v>19734</v>
      </c>
      <c r="CY59" s="50">
        <f t="shared" si="136"/>
        <v>9685</v>
      </c>
      <c r="CZ59" s="50">
        <f t="shared" si="136"/>
        <v>6647</v>
      </c>
      <c r="DA59" s="30">
        <f t="shared" si="136"/>
        <v>7779.05</v>
      </c>
      <c r="DB59" s="65">
        <f t="shared" si="136"/>
        <v>5159.098</v>
      </c>
      <c r="DC59" s="65">
        <f t="shared" si="136"/>
        <v>4956.7748749999982</v>
      </c>
      <c r="DD59" s="30">
        <f t="shared" si="136"/>
        <v>4234.0153975000003</v>
      </c>
      <c r="DE59" s="30">
        <f t="shared" si="136"/>
        <v>3604.7123006874999</v>
      </c>
      <c r="DF59" s="30">
        <f t="shared" si="136"/>
        <v>4302.2744654456255</v>
      </c>
      <c r="DG59" s="30">
        <f t="shared" ref="DG59:DN59" si="137">DG54-DG58</f>
        <v>14925.208168359375</v>
      </c>
      <c r="DH59" s="30">
        <f t="shared" si="137"/>
        <v>17719.109084179687</v>
      </c>
      <c r="DI59" s="30">
        <f t="shared" si="137"/>
        <v>0</v>
      </c>
      <c r="DJ59" s="30">
        <f t="shared" si="137"/>
        <v>0</v>
      </c>
      <c r="DK59" s="30">
        <f t="shared" si="137"/>
        <v>0</v>
      </c>
      <c r="DL59" s="30">
        <f t="shared" si="137"/>
        <v>0</v>
      </c>
      <c r="DM59" s="30">
        <f t="shared" si="137"/>
        <v>0</v>
      </c>
      <c r="DN59" s="30">
        <f t="shared" si="137"/>
        <v>0</v>
      </c>
    </row>
    <row r="60" spans="2:160" s="25" customFormat="1" x14ac:dyDescent="0.2">
      <c r="B60" s="25" t="s">
        <v>104</v>
      </c>
      <c r="C60" s="30">
        <f>69-25</f>
        <v>44</v>
      </c>
      <c r="D60" s="30">
        <f>87-105</f>
        <v>-18</v>
      </c>
      <c r="E60" s="30">
        <f>84-38</f>
        <v>46</v>
      </c>
      <c r="F60" s="30">
        <f>94+131</f>
        <v>225</v>
      </c>
      <c r="G60" s="30">
        <f>93-37</f>
        <v>56</v>
      </c>
      <c r="H60" s="30">
        <f>125-56</f>
        <v>69</v>
      </c>
      <c r="I60" s="30">
        <f>118+34</f>
        <v>152</v>
      </c>
      <c r="J60" s="30">
        <f>138-240</f>
        <v>-102</v>
      </c>
      <c r="K60" s="30">
        <f>126-22</f>
        <v>104</v>
      </c>
      <c r="L60" s="30">
        <v>128</v>
      </c>
      <c r="M60" s="30">
        <f>139-11</f>
        <v>128</v>
      </c>
      <c r="N60" s="30">
        <f>131-331</f>
        <v>-200</v>
      </c>
      <c r="O60" s="30">
        <f>164-39</f>
        <v>125</v>
      </c>
      <c r="P60" s="30">
        <v>161</v>
      </c>
      <c r="Q60" s="30">
        <f>164+57</f>
        <v>221</v>
      </c>
      <c r="R60" s="30">
        <v>120</v>
      </c>
      <c r="S60" s="30">
        <f>146+78</f>
        <v>224</v>
      </c>
      <c r="T60" s="30">
        <f>150+22</f>
        <v>172</v>
      </c>
      <c r="U60" s="30">
        <f>139+30</f>
        <v>169</v>
      </c>
      <c r="V60" s="30">
        <f>115+264</f>
        <v>379</v>
      </c>
      <c r="W60" s="30">
        <f>97-113</f>
        <v>-16</v>
      </c>
      <c r="X60" s="30">
        <f>85+19</f>
        <v>104</v>
      </c>
      <c r="Y60" s="50">
        <v>80</v>
      </c>
      <c r="Z60" s="50">
        <f>61-42</f>
        <v>19</v>
      </c>
      <c r="AA60" s="50">
        <f>82+138</f>
        <v>220</v>
      </c>
      <c r="AB60" s="50">
        <f>62+31</f>
        <v>93</v>
      </c>
      <c r="AC60" s="50">
        <f>71+26</f>
        <v>97</v>
      </c>
      <c r="AD60" s="50">
        <f>66-26</f>
        <v>40</v>
      </c>
      <c r="AE60" s="30">
        <f>57-23</f>
        <v>34</v>
      </c>
      <c r="AF60" s="30">
        <f>53+18</f>
        <v>71</v>
      </c>
      <c r="AG60" s="50">
        <f>546+13-2</f>
        <v>557</v>
      </c>
      <c r="AH60" s="50">
        <v>-80</v>
      </c>
      <c r="AI60" s="30">
        <v>19</v>
      </c>
      <c r="AJ60" s="30">
        <v>-199</v>
      </c>
      <c r="AK60" s="30">
        <v>-5</v>
      </c>
      <c r="AL60" s="30"/>
      <c r="AM60" s="30"/>
      <c r="AN60" s="30">
        <v>104</v>
      </c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>
        <f t="shared" ref="BG60" si="138">-100+106+10-71-2+15+303</f>
        <v>261</v>
      </c>
      <c r="BH60" s="30">
        <f>-100+106+10-71-2+15+303</f>
        <v>261</v>
      </c>
      <c r="BI60" s="30"/>
      <c r="BJ60" s="30"/>
      <c r="BK60" s="30">
        <f>-1163+556-16+174+160+339+32-61+76</f>
        <v>97</v>
      </c>
      <c r="BL60" s="30">
        <f>736-165-818+166+115-51+21</f>
        <v>4</v>
      </c>
      <c r="BM60" s="30">
        <f>915-988-244+195+176+10-18-13</f>
        <v>33</v>
      </c>
      <c r="BN60" s="30">
        <v>125</v>
      </c>
      <c r="BO60" s="30">
        <v>17</v>
      </c>
      <c r="BP60" s="30">
        <v>39</v>
      </c>
      <c r="BQ60" s="30">
        <f>409-465+141+27+13-6</f>
        <v>119</v>
      </c>
      <c r="BR60" s="30">
        <v>121</v>
      </c>
      <c r="BS60" s="30">
        <v>119</v>
      </c>
      <c r="BT60" s="30">
        <v>179</v>
      </c>
      <c r="BU60" s="30">
        <f>AVERAGE(BQ60:BT60)</f>
        <v>134.5</v>
      </c>
      <c r="BV60" s="30">
        <f t="shared" ref="BV60:BZ60" si="139">AVERAGE(BR60:BU60)</f>
        <v>138.375</v>
      </c>
      <c r="BW60" s="30">
        <f t="shared" si="139"/>
        <v>142.71875</v>
      </c>
      <c r="BX60" s="30">
        <f t="shared" si="139"/>
        <v>148.6484375</v>
      </c>
      <c r="BY60" s="30">
        <f t="shared" si="139"/>
        <v>141.060546875</v>
      </c>
      <c r="BZ60" s="30">
        <f t="shared" si="139"/>
        <v>142.70068359375</v>
      </c>
      <c r="CA60" s="30"/>
      <c r="CB60" s="30"/>
      <c r="CC60" s="30"/>
      <c r="CD60" s="30">
        <f>855-661</f>
        <v>194</v>
      </c>
      <c r="CE60" s="30">
        <v>136</v>
      </c>
      <c r="CF60" s="30">
        <v>122</v>
      </c>
      <c r="CG60" s="30">
        <f>890-863</f>
        <v>27</v>
      </c>
      <c r="CH60" s="30">
        <f>500-332</f>
        <v>168</v>
      </c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>
        <f>SUM(O60:R60)</f>
        <v>627</v>
      </c>
      <c r="CX60" s="50">
        <f>SUM(S60:V60)</f>
        <v>944</v>
      </c>
      <c r="CY60" s="50">
        <f>SUM(W60:Z60)</f>
        <v>187</v>
      </c>
      <c r="CZ60" s="50">
        <f>SUM(AA60:AD60)</f>
        <v>450</v>
      </c>
      <c r="DA60" s="30">
        <f t="shared" ref="DA60:DH60" si="140">CZ92*$DQ$66</f>
        <v>0</v>
      </c>
      <c r="DB60" s="65">
        <f t="shared" si="140"/>
        <v>0</v>
      </c>
      <c r="DC60" s="65">
        <f t="shared" si="140"/>
        <v>0</v>
      </c>
      <c r="DD60" s="30">
        <f t="shared" si="140"/>
        <v>0</v>
      </c>
      <c r="DE60" s="30">
        <f t="shared" si="140"/>
        <v>0</v>
      </c>
      <c r="DF60" s="30">
        <f t="shared" si="140"/>
        <v>0</v>
      </c>
      <c r="DG60" s="30">
        <f t="shared" si="140"/>
        <v>0</v>
      </c>
      <c r="DH60" s="30">
        <f t="shared" si="140"/>
        <v>0</v>
      </c>
      <c r="DI60" s="30"/>
      <c r="DJ60" s="30"/>
      <c r="DK60" s="30"/>
      <c r="DL60" s="30"/>
      <c r="DM60" s="30"/>
      <c r="DN60" s="30"/>
    </row>
    <row r="61" spans="2:160" x14ac:dyDescent="0.2">
      <c r="B61" s="1" t="s">
        <v>105</v>
      </c>
      <c r="C61" s="30">
        <f t="shared" ref="C61:R61" si="141">C59+C60</f>
        <v>2911</v>
      </c>
      <c r="D61" s="30">
        <f t="shared" si="141"/>
        <v>3328</v>
      </c>
      <c r="E61" s="30">
        <f t="shared" si="141"/>
        <v>3150</v>
      </c>
      <c r="F61" s="30">
        <f t="shared" si="141"/>
        <v>3371</v>
      </c>
      <c r="G61" s="30">
        <f t="shared" si="141"/>
        <v>3130</v>
      </c>
      <c r="H61" s="30">
        <f t="shared" si="141"/>
        <v>3378</v>
      </c>
      <c r="I61" s="30">
        <f t="shared" si="141"/>
        <v>2208</v>
      </c>
      <c r="J61" s="30">
        <f t="shared" si="141"/>
        <v>1599</v>
      </c>
      <c r="K61" s="30">
        <f t="shared" si="141"/>
        <v>2724</v>
      </c>
      <c r="L61" s="30">
        <f t="shared" si="141"/>
        <v>3315</v>
      </c>
      <c r="M61" s="30">
        <f t="shared" si="141"/>
        <v>3964</v>
      </c>
      <c r="N61" s="30">
        <f t="shared" si="141"/>
        <v>3740</v>
      </c>
      <c r="O61" s="30">
        <f t="shared" si="141"/>
        <v>4258</v>
      </c>
      <c r="P61" s="30">
        <f t="shared" si="141"/>
        <v>4609</v>
      </c>
      <c r="Q61" s="30">
        <f>Q59+Q60</f>
        <v>4890</v>
      </c>
      <c r="R61" s="30">
        <f t="shared" si="141"/>
        <v>-2210</v>
      </c>
      <c r="S61" s="30">
        <f t="shared" ref="S61:AA61" si="142">S59+S60</f>
        <v>4795</v>
      </c>
      <c r="T61" s="30">
        <f t="shared" si="142"/>
        <v>5308</v>
      </c>
      <c r="U61" s="30">
        <f t="shared" si="142"/>
        <v>5387</v>
      </c>
      <c r="V61" s="30">
        <f t="shared" si="142"/>
        <v>5188</v>
      </c>
      <c r="W61" s="30">
        <f t="shared" si="142"/>
        <v>1463</v>
      </c>
      <c r="X61" s="30">
        <f t="shared" si="142"/>
        <v>5323</v>
      </c>
      <c r="Y61" s="30">
        <f t="shared" si="142"/>
        <v>1651</v>
      </c>
      <c r="Z61" s="50">
        <f t="shared" si="142"/>
        <v>1435</v>
      </c>
      <c r="AA61" s="50">
        <f t="shared" si="142"/>
        <v>1811</v>
      </c>
      <c r="AB61" s="30">
        <f t="shared" ref="AB61:AN61" si="143">AB59+AB60</f>
        <v>1830</v>
      </c>
      <c r="AC61" s="30">
        <f t="shared" si="143"/>
        <v>1838</v>
      </c>
      <c r="AD61" s="30">
        <f t="shared" si="143"/>
        <v>1618</v>
      </c>
      <c r="AE61" s="30">
        <f t="shared" si="143"/>
        <v>1877</v>
      </c>
      <c r="AF61" s="30">
        <f t="shared" si="143"/>
        <v>1079</v>
      </c>
      <c r="AG61" s="50">
        <f t="shared" si="143"/>
        <v>-713</v>
      </c>
      <c r="AH61" s="50">
        <f t="shared" si="143"/>
        <v>599</v>
      </c>
      <c r="AI61" s="50">
        <f t="shared" si="143"/>
        <v>674</v>
      </c>
      <c r="AJ61" s="50">
        <f t="shared" si="143"/>
        <v>530</v>
      </c>
      <c r="AK61" s="50">
        <f t="shared" si="143"/>
        <v>818</v>
      </c>
      <c r="AL61" s="50">
        <f t="shared" si="143"/>
        <v>0</v>
      </c>
      <c r="AM61" s="50">
        <f t="shared" si="143"/>
        <v>0</v>
      </c>
      <c r="AN61" s="50">
        <f t="shared" si="143"/>
        <v>909</v>
      </c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>
        <f t="shared" ref="BG61:BH61" si="144">BG59+BG60</f>
        <v>2003</v>
      </c>
      <c r="BH61" s="30">
        <f t="shared" si="144"/>
        <v>2161</v>
      </c>
      <c r="BI61" s="30"/>
      <c r="BJ61" s="30"/>
      <c r="BK61" s="30">
        <f t="shared" ref="BK61" si="145">BK59+BK60</f>
        <v>4676</v>
      </c>
      <c r="BL61" s="30">
        <f t="shared" ref="BL61:BN61" si="146">BL59+BL60</f>
        <v>3284</v>
      </c>
      <c r="BM61" s="30">
        <f t="shared" si="146"/>
        <v>3866</v>
      </c>
      <c r="BN61" s="30">
        <f t="shared" si="146"/>
        <v>3941</v>
      </c>
      <c r="BO61" s="30">
        <f t="shared" ref="BO61:BR61" si="147">BO59+BO60</f>
        <v>4781</v>
      </c>
      <c r="BP61" s="30">
        <f t="shared" si="147"/>
        <v>5250</v>
      </c>
      <c r="BQ61" s="30">
        <f t="shared" si="147"/>
        <v>4413</v>
      </c>
      <c r="BR61" s="30">
        <f t="shared" si="147"/>
        <v>4791</v>
      </c>
      <c r="BS61" s="30">
        <f>BS59+BS60</f>
        <v>5386</v>
      </c>
      <c r="BT61" s="30">
        <f>BT59+BT60</f>
        <v>5408</v>
      </c>
      <c r="BU61" s="30">
        <f>BU59+BU60</f>
        <v>3522.2057999999997</v>
      </c>
      <c r="BV61" s="30">
        <f t="shared" ref="BV61:BZ61" si="148">BV59+BV60</f>
        <v>4307.9502000000002</v>
      </c>
      <c r="BW61" s="30">
        <f t="shared" si="148"/>
        <v>4962.0949500000015</v>
      </c>
      <c r="BX61" s="30">
        <f t="shared" si="148"/>
        <v>5041.1754375</v>
      </c>
      <c r="BY61" s="30">
        <f t="shared" si="148"/>
        <v>3534.8856848750002</v>
      </c>
      <c r="BZ61" s="30">
        <f t="shared" si="148"/>
        <v>4393.9891555937502</v>
      </c>
      <c r="CA61" s="30"/>
      <c r="CB61" s="30"/>
      <c r="CC61" s="30"/>
      <c r="CD61" s="30">
        <f>CD60+CD59</f>
        <v>2039</v>
      </c>
      <c r="CE61" s="30">
        <f>CE60+CE59</f>
        <v>2433</v>
      </c>
      <c r="CF61" s="30">
        <f>CF60+CF59</f>
        <v>2784</v>
      </c>
      <c r="CG61" s="30">
        <f>CG60+CG59</f>
        <v>2877</v>
      </c>
      <c r="CH61" s="30">
        <f>CH60+CH59</f>
        <v>3071</v>
      </c>
      <c r="CW61" s="30">
        <f t="shared" ref="CW61:DF61" si="149">CW60+CW59</f>
        <v>11547</v>
      </c>
      <c r="CX61" s="50">
        <f t="shared" si="149"/>
        <v>20678</v>
      </c>
      <c r="CY61" s="50">
        <f t="shared" si="149"/>
        <v>9872</v>
      </c>
      <c r="CZ61" s="50">
        <f t="shared" si="149"/>
        <v>7097</v>
      </c>
      <c r="DA61" s="30">
        <f t="shared" si="149"/>
        <v>7779.05</v>
      </c>
      <c r="DB61" s="65">
        <f t="shared" si="149"/>
        <v>5159.098</v>
      </c>
      <c r="DC61" s="65">
        <f t="shared" si="149"/>
        <v>4956.7748749999982</v>
      </c>
      <c r="DD61" s="30">
        <f t="shared" si="149"/>
        <v>4234.0153975000003</v>
      </c>
      <c r="DE61" s="30">
        <f t="shared" si="149"/>
        <v>3604.7123006874999</v>
      </c>
      <c r="DF61" s="30">
        <f t="shared" si="149"/>
        <v>4302.2744654456255</v>
      </c>
      <c r="DG61" s="30">
        <f t="shared" ref="DG61:DM61" si="150">DG60+DG59</f>
        <v>14925.208168359375</v>
      </c>
      <c r="DH61" s="30">
        <f t="shared" si="150"/>
        <v>17719.109084179687</v>
      </c>
      <c r="DI61" s="30">
        <f t="shared" si="150"/>
        <v>0</v>
      </c>
      <c r="DJ61" s="30">
        <f t="shared" si="150"/>
        <v>0</v>
      </c>
      <c r="DK61" s="30">
        <f t="shared" si="150"/>
        <v>0</v>
      </c>
      <c r="DL61" s="30">
        <f t="shared" si="150"/>
        <v>0</v>
      </c>
      <c r="DM61" s="30">
        <f t="shared" si="150"/>
        <v>0</v>
      </c>
      <c r="DN61" s="30">
        <f>DN60+DN59</f>
        <v>0</v>
      </c>
    </row>
    <row r="62" spans="2:160" s="25" customFormat="1" x14ac:dyDescent="0.2">
      <c r="B62" s="25" t="s">
        <v>106</v>
      </c>
      <c r="C62" s="30">
        <v>268</v>
      </c>
      <c r="D62" s="30">
        <v>-21</v>
      </c>
      <c r="E62" s="30">
        <v>507</v>
      </c>
      <c r="F62" s="30">
        <v>178</v>
      </c>
      <c r="G62" s="30">
        <v>328</v>
      </c>
      <c r="H62" s="30">
        <v>256</v>
      </c>
      <c r="I62" s="30">
        <v>193</v>
      </c>
      <c r="J62" s="30">
        <v>-183</v>
      </c>
      <c r="K62" s="30">
        <v>68</v>
      </c>
      <c r="L62" s="30">
        <v>257</v>
      </c>
      <c r="M62" s="30">
        <v>342</v>
      </c>
      <c r="N62" s="30">
        <v>177</v>
      </c>
      <c r="O62" s="30">
        <v>359</v>
      </c>
      <c r="P62" s="30">
        <v>292</v>
      </c>
      <c r="Q62" s="30">
        <v>395</v>
      </c>
      <c r="R62" s="30">
        <f>R61*0.25</f>
        <v>-552.5</v>
      </c>
      <c r="S62" s="30">
        <v>463</v>
      </c>
      <c r="T62" s="30">
        <v>443</v>
      </c>
      <c r="U62" s="30">
        <v>434</v>
      </c>
      <c r="V62" s="30">
        <v>188</v>
      </c>
      <c r="W62" s="30">
        <v>351</v>
      </c>
      <c r="X62" s="30">
        <v>324</v>
      </c>
      <c r="Y62" s="30">
        <v>312</v>
      </c>
      <c r="Z62" s="50">
        <v>571</v>
      </c>
      <c r="AA62" s="50">
        <v>400</v>
      </c>
      <c r="AB62" s="30">
        <v>483</v>
      </c>
      <c r="AC62" s="30">
        <v>475</v>
      </c>
      <c r="AD62" s="30">
        <v>363</v>
      </c>
      <c r="AE62" s="30">
        <v>545</v>
      </c>
      <c r="AF62" s="30">
        <v>251</v>
      </c>
      <c r="AG62" s="50">
        <v>0</v>
      </c>
      <c r="AH62" s="50">
        <v>-161</v>
      </c>
      <c r="AI62" s="30">
        <v>51</v>
      </c>
      <c r="AJ62" s="30">
        <v>0</v>
      </c>
      <c r="AK62" s="30">
        <v>126</v>
      </c>
      <c r="AL62" s="30"/>
      <c r="AM62" s="30"/>
      <c r="AN62" s="30">
        <v>114</v>
      </c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>
        <v>264</v>
      </c>
      <c r="BH62" s="30">
        <v>337</v>
      </c>
      <c r="BI62" s="30"/>
      <c r="BJ62" s="30"/>
      <c r="BK62" s="30">
        <v>462</v>
      </c>
      <c r="BL62" s="30">
        <v>1707</v>
      </c>
      <c r="BM62" s="30">
        <v>379</v>
      </c>
      <c r="BN62" s="30">
        <v>610</v>
      </c>
      <c r="BO62" s="30">
        <v>804</v>
      </c>
      <c r="BP62" s="30">
        <v>784</v>
      </c>
      <c r="BQ62" s="30">
        <v>605</v>
      </c>
      <c r="BR62" s="30">
        <v>720</v>
      </c>
      <c r="BS62" s="30">
        <v>802</v>
      </c>
      <c r="BT62" s="30">
        <v>850</v>
      </c>
      <c r="BU62" s="30">
        <f>+BU61*0.2</f>
        <v>704.44115999999997</v>
      </c>
      <c r="BV62" s="30">
        <f t="shared" ref="BV62:BZ62" si="151">+BV61*0.2</f>
        <v>861.59004000000004</v>
      </c>
      <c r="BW62" s="30">
        <f t="shared" si="151"/>
        <v>992.41899000000035</v>
      </c>
      <c r="BX62" s="30">
        <f t="shared" si="151"/>
        <v>1008.2350875000001</v>
      </c>
      <c r="BY62" s="30">
        <f t="shared" si="151"/>
        <v>706.97713697500012</v>
      </c>
      <c r="BZ62" s="30">
        <f t="shared" si="151"/>
        <v>878.79783111875008</v>
      </c>
      <c r="CA62" s="30"/>
      <c r="CB62" s="30"/>
      <c r="CC62" s="30"/>
      <c r="CD62" s="30">
        <f>496+162</f>
        <v>658</v>
      </c>
      <c r="CE62" s="30">
        <v>742</v>
      </c>
      <c r="CF62" s="30">
        <v>793</v>
      </c>
      <c r="CG62" s="30">
        <f>449+320</f>
        <v>769</v>
      </c>
      <c r="CH62" s="30">
        <f>612+290</f>
        <v>902</v>
      </c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>
        <f>SUM(O62:R62)</f>
        <v>493.5</v>
      </c>
      <c r="CX62" s="50">
        <f>SUM(S62:V62)</f>
        <v>1528</v>
      </c>
      <c r="CY62" s="50">
        <f>SUM(W62:Z62)</f>
        <v>1558</v>
      </c>
      <c r="CZ62" s="50">
        <f>SUM(AA62:AD62)</f>
        <v>1721</v>
      </c>
      <c r="DA62" s="30">
        <f>DA61*0.29</f>
        <v>2255.9245000000001</v>
      </c>
      <c r="DB62" s="65">
        <f>DB61*0.28</f>
        <v>1444.5474400000001</v>
      </c>
      <c r="DC62" s="65">
        <f>DC61*0.28</f>
        <v>1387.8969649999997</v>
      </c>
      <c r="DD62" s="30">
        <f>DD61*0.28</f>
        <v>1185.5243113000001</v>
      </c>
      <c r="DE62" s="30">
        <f>DE61*0.28</f>
        <v>1009.3194441925001</v>
      </c>
      <c r="DF62" s="30">
        <f>DF61*0.28</f>
        <v>1204.6368503247752</v>
      </c>
      <c r="DG62" s="30">
        <f t="shared" ref="DG62:DH62" si="152">DG61*0.28</f>
        <v>4179.058287140625</v>
      </c>
      <c r="DH62" s="30">
        <f t="shared" si="152"/>
        <v>4961.3505435703128</v>
      </c>
      <c r="DI62" s="30"/>
      <c r="DJ62" s="30"/>
      <c r="DK62" s="30"/>
      <c r="DL62" s="30"/>
      <c r="DM62" s="30"/>
      <c r="DN62" s="30"/>
    </row>
    <row r="63" spans="2:160" x14ac:dyDescent="0.2">
      <c r="B63" s="1" t="s">
        <v>107</v>
      </c>
      <c r="C63" s="30">
        <v>122</v>
      </c>
      <c r="D63" s="28">
        <v>160</v>
      </c>
      <c r="E63" s="28">
        <v>155</v>
      </c>
      <c r="F63" s="28">
        <v>155</v>
      </c>
      <c r="G63" s="28">
        <v>151</v>
      </c>
      <c r="H63" s="28">
        <v>187</v>
      </c>
      <c r="I63" s="28">
        <v>86</v>
      </c>
      <c r="J63" s="28">
        <v>16</v>
      </c>
      <c r="K63" s="28">
        <v>141</v>
      </c>
      <c r="L63" s="28">
        <v>194</v>
      </c>
      <c r="M63" s="28">
        <v>211</v>
      </c>
      <c r="N63" s="28">
        <v>217</v>
      </c>
      <c r="O63" s="28">
        <v>230</v>
      </c>
      <c r="P63" s="30">
        <v>241</v>
      </c>
      <c r="Q63" s="30">
        <v>259</v>
      </c>
      <c r="R63" s="30">
        <v>200</v>
      </c>
      <c r="S63" s="30">
        <v>283</v>
      </c>
      <c r="T63" s="30">
        <v>315</v>
      </c>
      <c r="U63" s="30">
        <v>324</v>
      </c>
      <c r="V63" s="30">
        <v>328</v>
      </c>
      <c r="W63" s="30">
        <v>358</v>
      </c>
      <c r="X63" s="30">
        <v>341</v>
      </c>
      <c r="Y63" s="30">
        <v>353</v>
      </c>
      <c r="Z63" s="50">
        <v>359</v>
      </c>
      <c r="AA63" s="50">
        <v>381</v>
      </c>
      <c r="AB63" s="30">
        <v>405</v>
      </c>
      <c r="AC63" s="30">
        <v>386</v>
      </c>
      <c r="AD63" s="30">
        <v>379</v>
      </c>
      <c r="AE63" s="30">
        <v>381</v>
      </c>
      <c r="AF63" s="30">
        <v>163</v>
      </c>
      <c r="AG63" s="50">
        <v>0</v>
      </c>
      <c r="AH63" s="50">
        <f>+AG63</f>
        <v>0</v>
      </c>
      <c r="AI63" s="30">
        <v>14</v>
      </c>
      <c r="AJ63" s="30">
        <v>-6</v>
      </c>
      <c r="AK63" s="30">
        <v>0</v>
      </c>
      <c r="AL63" s="30">
        <v>0</v>
      </c>
      <c r="AM63" s="30">
        <v>0</v>
      </c>
      <c r="AN63" s="30">
        <v>0</v>
      </c>
      <c r="AO63" s="30"/>
      <c r="AP63" s="30"/>
      <c r="AQ63" s="30"/>
      <c r="AR63" s="30"/>
      <c r="AS63" s="30"/>
      <c r="BG63" s="30">
        <v>5</v>
      </c>
      <c r="BH63" s="30">
        <v>7</v>
      </c>
      <c r="BK63" s="30">
        <v>9</v>
      </c>
      <c r="BL63" s="30">
        <v>5</v>
      </c>
      <c r="BM63" s="30">
        <v>6</v>
      </c>
      <c r="BN63" s="30">
        <v>0</v>
      </c>
      <c r="BO63" s="30">
        <v>8</v>
      </c>
      <c r="BP63" s="30">
        <v>6</v>
      </c>
      <c r="BQ63" s="30">
        <v>6</v>
      </c>
      <c r="BR63" s="30">
        <v>0</v>
      </c>
      <c r="BS63" s="30">
        <v>5</v>
      </c>
      <c r="BT63" s="30">
        <v>8</v>
      </c>
      <c r="BU63" s="30">
        <f>AVERAGE(BQ63:BT63)</f>
        <v>4.75</v>
      </c>
      <c r="BV63" s="30">
        <f t="shared" ref="BV63:BZ63" si="153">AVERAGE(BR63:BU63)</f>
        <v>4.4375</v>
      </c>
      <c r="BW63" s="30">
        <f t="shared" si="153"/>
        <v>5.546875</v>
      </c>
      <c r="BX63" s="30">
        <f t="shared" si="153"/>
        <v>5.68359375</v>
      </c>
      <c r="BY63" s="30">
        <f t="shared" si="153"/>
        <v>5.1044921875</v>
      </c>
      <c r="BZ63" s="30">
        <f t="shared" si="153"/>
        <v>5.193115234375</v>
      </c>
      <c r="CD63" s="30">
        <v>0</v>
      </c>
      <c r="CE63" s="30">
        <v>0</v>
      </c>
      <c r="CF63" s="30">
        <v>0</v>
      </c>
      <c r="CG63" s="30">
        <v>0</v>
      </c>
      <c r="CH63" s="30">
        <v>0</v>
      </c>
      <c r="CW63" s="30">
        <f>SUM(O63:R63)</f>
        <v>930</v>
      </c>
      <c r="CX63" s="50">
        <f>SUM(S63:V63)</f>
        <v>1250</v>
      </c>
      <c r="CY63" s="50">
        <f>SUM(W63:Z63)</f>
        <v>1411</v>
      </c>
      <c r="CZ63" s="50">
        <f>SUM(AA63:AD63)</f>
        <v>1551</v>
      </c>
      <c r="DA63" s="30">
        <f>CZ63*0.2</f>
        <v>310.20000000000005</v>
      </c>
      <c r="DB63" s="65">
        <f>DA63*0.1</f>
        <v>31.020000000000007</v>
      </c>
      <c r="DC63" s="65">
        <f>DB63*0.1</f>
        <v>3.1020000000000008</v>
      </c>
      <c r="DD63" s="30">
        <f>DC63*0.1</f>
        <v>0.31020000000000009</v>
      </c>
      <c r="DE63" s="30">
        <f>DD63*0.1</f>
        <v>3.1020000000000009E-2</v>
      </c>
      <c r="DF63" s="30">
        <f>DE63*0.1</f>
        <v>3.102000000000001E-3</v>
      </c>
      <c r="DG63" s="30">
        <f t="shared" ref="DG63:DN63" si="154">DF63*0.1</f>
        <v>3.1020000000000011E-4</v>
      </c>
      <c r="DH63" s="30">
        <f t="shared" si="154"/>
        <v>3.1020000000000011E-5</v>
      </c>
      <c r="DI63" s="30">
        <f t="shared" si="154"/>
        <v>3.1020000000000014E-6</v>
      </c>
      <c r="DJ63" s="30">
        <f t="shared" si="154"/>
        <v>3.1020000000000017E-7</v>
      </c>
      <c r="DK63" s="30">
        <f t="shared" si="154"/>
        <v>3.1020000000000016E-8</v>
      </c>
      <c r="DL63" s="30">
        <f t="shared" si="154"/>
        <v>3.1020000000000019E-9</v>
      </c>
      <c r="DM63" s="30">
        <f t="shared" si="154"/>
        <v>3.1020000000000023E-10</v>
      </c>
      <c r="DN63" s="30">
        <f t="shared" si="154"/>
        <v>3.1020000000000026E-11</v>
      </c>
    </row>
    <row r="64" spans="2:160" x14ac:dyDescent="0.2">
      <c r="B64" s="23" t="s">
        <v>443</v>
      </c>
      <c r="C64" s="30">
        <f t="shared" ref="C64:R64" si="155">C61-C62-C63</f>
        <v>2521</v>
      </c>
      <c r="D64" s="28">
        <f t="shared" si="155"/>
        <v>3189</v>
      </c>
      <c r="E64" s="28">
        <f t="shared" si="155"/>
        <v>2488</v>
      </c>
      <c r="F64" s="28">
        <f t="shared" si="155"/>
        <v>3038</v>
      </c>
      <c r="G64" s="28">
        <f t="shared" si="155"/>
        <v>2651</v>
      </c>
      <c r="H64" s="28">
        <f t="shared" si="155"/>
        <v>2935</v>
      </c>
      <c r="I64" s="30">
        <f t="shared" si="155"/>
        <v>1929</v>
      </c>
      <c r="J64" s="30">
        <f t="shared" si="155"/>
        <v>1766</v>
      </c>
      <c r="K64" s="30">
        <f t="shared" si="155"/>
        <v>2515</v>
      </c>
      <c r="L64" s="30">
        <f t="shared" si="155"/>
        <v>2864</v>
      </c>
      <c r="M64" s="30">
        <f t="shared" si="155"/>
        <v>3411</v>
      </c>
      <c r="N64" s="30">
        <f t="shared" si="155"/>
        <v>3346</v>
      </c>
      <c r="O64" s="30">
        <f t="shared" si="155"/>
        <v>3669</v>
      </c>
      <c r="P64" s="30">
        <f t="shared" si="155"/>
        <v>4076</v>
      </c>
      <c r="Q64" s="30">
        <f>Q61-Q62-Q63</f>
        <v>4236</v>
      </c>
      <c r="R64" s="30">
        <f t="shared" si="155"/>
        <v>-1857.5</v>
      </c>
      <c r="S64" s="30">
        <f t="shared" ref="S64:Y64" si="156">S61-S62-S63</f>
        <v>4049</v>
      </c>
      <c r="T64" s="30">
        <f t="shared" si="156"/>
        <v>4550</v>
      </c>
      <c r="U64" s="30">
        <f t="shared" si="156"/>
        <v>4629</v>
      </c>
      <c r="V64" s="30">
        <f t="shared" si="156"/>
        <v>4672</v>
      </c>
      <c r="W64" s="30">
        <f t="shared" si="156"/>
        <v>754</v>
      </c>
      <c r="X64" s="30">
        <f>X61-X62-X63</f>
        <v>4658</v>
      </c>
      <c r="Y64" s="30">
        <f t="shared" si="156"/>
        <v>986</v>
      </c>
      <c r="Z64" s="50">
        <f>Z61-Z62-Z63</f>
        <v>505</v>
      </c>
      <c r="AA64" s="50">
        <f>AA61-AA62-AA63</f>
        <v>1030</v>
      </c>
      <c r="AB64" s="30">
        <f t="shared" ref="AB64:AK64" si="157">+AB61-AB62-AB63</f>
        <v>942</v>
      </c>
      <c r="AC64" s="30">
        <f t="shared" si="157"/>
        <v>977</v>
      </c>
      <c r="AD64" s="30">
        <f t="shared" si="157"/>
        <v>876</v>
      </c>
      <c r="AE64" s="30">
        <f t="shared" si="157"/>
        <v>951</v>
      </c>
      <c r="AF64" s="30">
        <f t="shared" si="157"/>
        <v>665</v>
      </c>
      <c r="AG64" s="50">
        <f t="shared" si="157"/>
        <v>-713</v>
      </c>
      <c r="AH64" s="50">
        <f t="shared" si="157"/>
        <v>760</v>
      </c>
      <c r="AI64" s="50">
        <f t="shared" si="157"/>
        <v>609</v>
      </c>
      <c r="AJ64" s="50">
        <f t="shared" si="157"/>
        <v>536</v>
      </c>
      <c r="AK64" s="50">
        <f t="shared" si="157"/>
        <v>692</v>
      </c>
      <c r="AL64" s="50">
        <f>+AL61-AL62-AL63</f>
        <v>0</v>
      </c>
      <c r="AM64" s="50">
        <f>+AM61-AM62-AM63</f>
        <v>0</v>
      </c>
      <c r="AN64" s="50">
        <f>+AN61-AN62-AN63</f>
        <v>795</v>
      </c>
      <c r="AO64" s="30"/>
      <c r="AP64" s="30"/>
      <c r="AQ64" s="30"/>
      <c r="AR64" s="30"/>
      <c r="AS64" s="30"/>
      <c r="BG64" s="30">
        <f t="shared" ref="BG64:BH64" si="158">BG61-BG62-BG63</f>
        <v>1734</v>
      </c>
      <c r="BH64" s="30">
        <f t="shared" si="158"/>
        <v>1817</v>
      </c>
      <c r="BK64" s="30">
        <f t="shared" ref="BK64" si="159">BK61-BK62-BK63</f>
        <v>4205</v>
      </c>
      <c r="BL64" s="30">
        <f t="shared" ref="BL64:BN64" si="160">BL61-BL62-BL63</f>
        <v>1572</v>
      </c>
      <c r="BM64" s="30">
        <f t="shared" si="160"/>
        <v>3481</v>
      </c>
      <c r="BN64" s="30">
        <f t="shared" si="160"/>
        <v>3331</v>
      </c>
      <c r="BO64" s="30">
        <f t="shared" ref="BO64:BR64" si="161">BO61-BO62-BO63</f>
        <v>3969</v>
      </c>
      <c r="BP64" s="30">
        <f t="shared" si="161"/>
        <v>4460</v>
      </c>
      <c r="BQ64" s="30">
        <f t="shared" si="161"/>
        <v>3802</v>
      </c>
      <c r="BR64" s="30">
        <f t="shared" si="161"/>
        <v>4071</v>
      </c>
      <c r="BS64" s="30">
        <f>BS61-BS62-BS63</f>
        <v>4579</v>
      </c>
      <c r="BT64" s="30">
        <f>BT61-BT62-BT63</f>
        <v>4550</v>
      </c>
      <c r="BU64" s="30">
        <f>BU61-BU62-BU63</f>
        <v>2813.0146399999999</v>
      </c>
      <c r="BV64" s="30">
        <f t="shared" ref="BV64:BZ64" si="162">BV61-BV62-BV63</f>
        <v>3441.9226600000002</v>
      </c>
      <c r="BW64" s="30">
        <f t="shared" si="162"/>
        <v>3964.1290850000014</v>
      </c>
      <c r="BX64" s="30">
        <f t="shared" si="162"/>
        <v>4027.2567562499999</v>
      </c>
      <c r="BY64" s="30">
        <f t="shared" si="162"/>
        <v>2822.8040557125</v>
      </c>
      <c r="BZ64" s="30">
        <f t="shared" si="162"/>
        <v>3509.9982092406253</v>
      </c>
      <c r="CD64" s="30">
        <f>CD61-CD62-CD63</f>
        <v>1381</v>
      </c>
      <c r="CE64" s="30">
        <f>CE61-CE62-CE63</f>
        <v>1691</v>
      </c>
      <c r="CF64" s="30">
        <f>CF61-CF62-CF63</f>
        <v>1991</v>
      </c>
      <c r="CG64" s="30">
        <f>CG61-CG62-CG63</f>
        <v>2108</v>
      </c>
      <c r="CH64" s="30">
        <f>CH61-CH62-CH63</f>
        <v>2169</v>
      </c>
      <c r="CW64" s="30">
        <f>CW61-CW62-CW63</f>
        <v>10123.5</v>
      </c>
      <c r="CX64" s="50">
        <f>CX61-CX62-CX63</f>
        <v>17900</v>
      </c>
      <c r="CY64" s="50">
        <f>CY61-CY62-CY63</f>
        <v>6903</v>
      </c>
      <c r="CZ64" s="50">
        <f>CZ61-CZ62-CZ63</f>
        <v>3825</v>
      </c>
      <c r="DA64" s="30">
        <f t="shared" ref="DA64:DF64" si="163">DA61-DA62-DA63</f>
        <v>5212.9255000000003</v>
      </c>
      <c r="DB64" s="65">
        <f t="shared" si="163"/>
        <v>3683.5305599999997</v>
      </c>
      <c r="DC64" s="65">
        <f t="shared" si="163"/>
        <v>3565.7759099999985</v>
      </c>
      <c r="DD64" s="30">
        <f t="shared" si="163"/>
        <v>3048.1808862000003</v>
      </c>
      <c r="DE64" s="30">
        <f t="shared" si="163"/>
        <v>2595.3618364949998</v>
      </c>
      <c r="DF64" s="30">
        <f t="shared" si="163"/>
        <v>3097.6345131208504</v>
      </c>
      <c r="DG64" s="30">
        <f>DF64*(1+DQ67)</f>
        <v>3097.6345131208504</v>
      </c>
      <c r="DH64" s="30">
        <f t="shared" ref="DH64" si="164">DG64*(1+$DQ$67)</f>
        <v>3097.6345131208504</v>
      </c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  <c r="DX64" s="30"/>
      <c r="DY64" s="30"/>
      <c r="DZ64" s="30"/>
      <c r="EA64" s="30"/>
      <c r="EB64" s="30"/>
      <c r="EC64" s="30"/>
      <c r="ED64" s="30"/>
      <c r="EE64" s="30"/>
      <c r="EF64" s="30"/>
      <c r="EG64" s="30"/>
      <c r="EH64" s="30"/>
      <c r="EI64" s="30"/>
      <c r="EJ64" s="30"/>
      <c r="EK64" s="30"/>
      <c r="EL64" s="30"/>
      <c r="EM64" s="30"/>
      <c r="EN64" s="30"/>
      <c r="EO64" s="30"/>
      <c r="EP64" s="30"/>
      <c r="EQ64" s="30"/>
      <c r="ER64" s="30"/>
      <c r="ES64" s="30"/>
      <c r="ET64" s="30"/>
      <c r="EU64" s="30"/>
      <c r="EV64" s="30"/>
      <c r="EW64" s="30"/>
      <c r="EX64" s="30"/>
      <c r="EY64" s="30"/>
      <c r="EZ64" s="30"/>
      <c r="FA64" s="30"/>
      <c r="FB64" s="30"/>
      <c r="FC64" s="30"/>
      <c r="FD64" s="30"/>
    </row>
    <row r="65" spans="2:121" s="19" customFormat="1" x14ac:dyDescent="0.2">
      <c r="B65" s="19" t="s">
        <v>108</v>
      </c>
      <c r="C65" s="38">
        <f t="shared" ref="C65:R65" si="165">C64/C66</f>
        <v>1.2725896012115094</v>
      </c>
      <c r="D65" s="38">
        <f t="shared" si="165"/>
        <v>1.607358870967742</v>
      </c>
      <c r="E65" s="38">
        <f t="shared" si="165"/>
        <v>1.2540322580645162</v>
      </c>
      <c r="F65" s="38">
        <f t="shared" si="165"/>
        <v>1.5320221886031267</v>
      </c>
      <c r="G65" s="38">
        <f t="shared" si="165"/>
        <v>1.3335010060362174</v>
      </c>
      <c r="H65" s="38">
        <f t="shared" si="165"/>
        <v>1.4719157472417252</v>
      </c>
      <c r="I65" s="38">
        <f t="shared" si="165"/>
        <v>0.96837349397590367</v>
      </c>
      <c r="J65" s="38">
        <f t="shared" si="165"/>
        <v>0.90056093829678741</v>
      </c>
      <c r="K65" s="38">
        <f t="shared" si="165"/>
        <v>1.2593890836254382</v>
      </c>
      <c r="L65" s="38">
        <f t="shared" si="165"/>
        <v>1.427716849451645</v>
      </c>
      <c r="M65" s="38">
        <f t="shared" si="165"/>
        <v>1.695328031809145</v>
      </c>
      <c r="N65" s="38">
        <f t="shared" si="165"/>
        <v>1.6941772151898735</v>
      </c>
      <c r="O65" s="38">
        <f t="shared" si="165"/>
        <v>1.827191235059761</v>
      </c>
      <c r="P65" s="38">
        <f>P64/P66</f>
        <v>2.0298804780876494</v>
      </c>
      <c r="Q65" s="38">
        <f>Q64/Q66</f>
        <v>2.1398137967980082</v>
      </c>
      <c r="R65" s="38">
        <f t="shared" si="165"/>
        <v>-0.93878965122764124</v>
      </c>
      <c r="S65" s="38">
        <f t="shared" ref="S65:Y65" si="166">S64/S66</f>
        <v>2.0418557740796772</v>
      </c>
      <c r="T65" s="38">
        <f t="shared" si="166"/>
        <v>2.2945032778618257</v>
      </c>
      <c r="U65" s="38">
        <f t="shared" si="166"/>
        <v>2.333165322580645</v>
      </c>
      <c r="V65" s="38">
        <f t="shared" si="166"/>
        <v>2.3751906456532792</v>
      </c>
      <c r="W65" s="38">
        <f t="shared" si="166"/>
        <v>0.43845519557776647</v>
      </c>
      <c r="X65" s="38">
        <f t="shared" si="166"/>
        <v>2.6956018518518516</v>
      </c>
      <c r="Y65" s="38">
        <f t="shared" si="166"/>
        <v>0.57126303592120509</v>
      </c>
      <c r="Z65" s="52">
        <f t="shared" ref="Z65:AE65" si="167">Z64/Z66</f>
        <v>0.2930934416715032</v>
      </c>
      <c r="AA65" s="52">
        <f t="shared" si="167"/>
        <v>0.60093348891481912</v>
      </c>
      <c r="AB65" s="38">
        <f t="shared" si="167"/>
        <v>0.54703832752613235</v>
      </c>
      <c r="AC65" s="38">
        <f t="shared" si="167"/>
        <v>0.56967930029154523</v>
      </c>
      <c r="AD65" s="38">
        <f t="shared" si="167"/>
        <v>0.51168224299065423</v>
      </c>
      <c r="AE65" s="38">
        <f t="shared" si="167"/>
        <v>0.55744431418522855</v>
      </c>
      <c r="AF65" s="38">
        <f t="shared" ref="AF65:AK65" si="168">AF64/AF66</f>
        <v>0.38980070339976552</v>
      </c>
      <c r="AG65" s="52">
        <f t="shared" si="168"/>
        <v>-0.42364824717765892</v>
      </c>
      <c r="AH65" s="52">
        <f t="shared" si="168"/>
        <v>0.46426389737324375</v>
      </c>
      <c r="AI65" s="52">
        <f t="shared" si="168"/>
        <v>0.37066342057212415</v>
      </c>
      <c r="AJ65" s="52">
        <f t="shared" si="168"/>
        <v>0.32563791008505466</v>
      </c>
      <c r="AK65" s="52">
        <f t="shared" si="168"/>
        <v>0.42015786278081357</v>
      </c>
      <c r="AL65" s="52">
        <f>AL64/AL66</f>
        <v>0</v>
      </c>
      <c r="AM65" s="52">
        <f>AM64/AM66</f>
        <v>0</v>
      </c>
      <c r="AN65" s="52">
        <f>AN64/AN66</f>
        <v>0.47633313361294188</v>
      </c>
      <c r="AO65" s="38"/>
      <c r="AP65" s="38"/>
      <c r="AQ65" s="38"/>
      <c r="AR65" s="38"/>
      <c r="AS65" s="38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8">
        <f t="shared" ref="BG65" si="169">BG64/BG66</f>
        <v>1.059254734270006</v>
      </c>
      <c r="BH65" s="38">
        <f>BH64/BH66</f>
        <v>1.1099572388515577</v>
      </c>
      <c r="BI65" s="37"/>
      <c r="BJ65" s="37"/>
      <c r="BK65" s="38">
        <f t="shared" ref="BK65" si="170">BK64/BK66</f>
        <v>1.862267493356953</v>
      </c>
      <c r="BL65" s="38">
        <f t="shared" ref="BL65:BS65" si="171">BL64/BL66</f>
        <v>0.69465311533362795</v>
      </c>
      <c r="BM65" s="38">
        <f t="shared" si="171"/>
        <v>1.5200873362445415</v>
      </c>
      <c r="BN65" s="38">
        <f t="shared" si="171"/>
        <v>1.4571303587051618</v>
      </c>
      <c r="BO65" s="38">
        <f t="shared" si="171"/>
        <v>1.752317880794702</v>
      </c>
      <c r="BP65" s="38">
        <f t="shared" si="171"/>
        <v>1.9804618117229129</v>
      </c>
      <c r="BQ65" s="38">
        <f t="shared" si="171"/>
        <v>1.6950512706197058</v>
      </c>
      <c r="BR65" s="38">
        <f t="shared" si="171"/>
        <v>1.8346101847679135</v>
      </c>
      <c r="BS65" s="38">
        <f t="shared" si="171"/>
        <v>2.1159889094269873</v>
      </c>
      <c r="BT65" s="38">
        <f t="shared" ref="BT65:BU65" si="172">BT64/BT66</f>
        <v>2.1172638436482085</v>
      </c>
      <c r="BU65" s="38">
        <f t="shared" si="172"/>
        <v>1.3089877338296882</v>
      </c>
      <c r="BV65" s="38">
        <f t="shared" ref="BV65" si="173">BV64/BV66</f>
        <v>1.6016392089343883</v>
      </c>
      <c r="BW65" s="38">
        <f t="shared" ref="BW65" si="174">BW64/BW66</f>
        <v>1.8446389413680788</v>
      </c>
      <c r="BX65" s="38">
        <f t="shared" ref="BX65" si="175">BX64/BX66</f>
        <v>1.8740143118892507</v>
      </c>
      <c r="BY65" s="38">
        <f t="shared" ref="BY65" si="176">BY64/BY66</f>
        <v>1.313543069200791</v>
      </c>
      <c r="BZ65" s="38">
        <f t="shared" ref="BZ65" si="177">BZ64/BZ66</f>
        <v>1.6333169889439858</v>
      </c>
      <c r="CA65" s="37"/>
      <c r="CB65" s="37"/>
      <c r="CC65" s="37"/>
      <c r="CD65" s="38">
        <f>CD64/CD66</f>
        <v>2.6405353728489485</v>
      </c>
      <c r="CE65" s="38">
        <f>CE64/CE66</f>
        <v>3.2209523809523808</v>
      </c>
      <c r="CF65" s="38">
        <f>CF64/CF66</f>
        <v>3.8214971209213053</v>
      </c>
      <c r="CG65" s="38">
        <f>CG64/CG66</f>
        <v>4.0694980694980698</v>
      </c>
      <c r="CH65" s="38">
        <f>CH64/CH66</f>
        <v>4.211650485436893</v>
      </c>
      <c r="CI65" s="37"/>
      <c r="CJ65" s="37"/>
      <c r="CK65" s="37"/>
      <c r="CL65" s="37"/>
      <c r="CM65" s="37"/>
      <c r="CN65" s="37"/>
      <c r="CO65" s="37"/>
      <c r="CP65" s="37"/>
      <c r="CQ65" s="37"/>
      <c r="CR65" s="37"/>
      <c r="CS65" s="37"/>
      <c r="CT65" s="37"/>
      <c r="CU65" s="37"/>
      <c r="CV65" s="37"/>
      <c r="CW65" s="38">
        <f t="shared" ref="CW65:DF65" si="178">CW64/CW66</f>
        <v>5.0781123126353505</v>
      </c>
      <c r="CX65" s="52">
        <f t="shared" si="178"/>
        <v>9.0438297334849054</v>
      </c>
      <c r="CY65" s="52">
        <f t="shared" si="178"/>
        <v>4.0036690149483647</v>
      </c>
      <c r="CZ65" s="52">
        <f t="shared" si="178"/>
        <v>2.2293457671572199</v>
      </c>
      <c r="DA65" s="38">
        <f t="shared" si="178"/>
        <v>3.0382780125309634</v>
      </c>
      <c r="DB65" s="68">
        <f t="shared" si="178"/>
        <v>2.1468923561124869</v>
      </c>
      <c r="DC65" s="68">
        <f t="shared" si="178"/>
        <v>2.0782607664286745</v>
      </c>
      <c r="DD65" s="38">
        <f t="shared" si="178"/>
        <v>1.7765880146874546</v>
      </c>
      <c r="DE65" s="38">
        <f t="shared" si="178"/>
        <v>1.5126689998513769</v>
      </c>
      <c r="DF65" s="38">
        <f t="shared" si="178"/>
        <v>1.8054113437976689</v>
      </c>
      <c r="DG65" s="38">
        <f t="shared" ref="DG65:DN65" si="179">DG64/DG66</f>
        <v>1.8054113437976689</v>
      </c>
      <c r="DH65" s="38">
        <f t="shared" si="179"/>
        <v>1.8054113437976689</v>
      </c>
      <c r="DI65" s="38">
        <f t="shared" si="179"/>
        <v>0</v>
      </c>
      <c r="DJ65" s="38">
        <f t="shared" si="179"/>
        <v>0</v>
      </c>
      <c r="DK65" s="38">
        <f t="shared" si="179"/>
        <v>0</v>
      </c>
      <c r="DL65" s="38">
        <f t="shared" si="179"/>
        <v>0</v>
      </c>
      <c r="DM65" s="38">
        <f t="shared" si="179"/>
        <v>0</v>
      </c>
      <c r="DN65" s="38">
        <f t="shared" si="179"/>
        <v>0</v>
      </c>
    </row>
    <row r="66" spans="2:121" x14ac:dyDescent="0.2">
      <c r="B66" s="1" t="s">
        <v>109</v>
      </c>
      <c r="C66" s="30">
        <v>1981</v>
      </c>
      <c r="D66" s="30">
        <v>1984</v>
      </c>
      <c r="E66" s="30">
        <v>1984</v>
      </c>
      <c r="F66" s="30">
        <v>1983</v>
      </c>
      <c r="G66" s="30">
        <v>1988</v>
      </c>
      <c r="H66" s="30">
        <v>1994</v>
      </c>
      <c r="I66" s="30">
        <v>1992</v>
      </c>
      <c r="J66" s="30">
        <v>1961</v>
      </c>
      <c r="K66" s="30">
        <v>1997</v>
      </c>
      <c r="L66" s="30">
        <v>2006</v>
      </c>
      <c r="M66" s="30">
        <v>2012</v>
      </c>
      <c r="N66" s="30">
        <v>1975</v>
      </c>
      <c r="O66" s="30">
        <v>2008</v>
      </c>
      <c r="P66" s="30">
        <v>2008</v>
      </c>
      <c r="Q66" s="30">
        <v>1979.6115</v>
      </c>
      <c r="R66" s="30">
        <f>Q66-1</f>
        <v>1978.6115</v>
      </c>
      <c r="S66" s="30">
        <v>1983</v>
      </c>
      <c r="T66" s="30">
        <v>1983</v>
      </c>
      <c r="U66" s="30">
        <v>1984</v>
      </c>
      <c r="V66" s="30">
        <v>1967</v>
      </c>
      <c r="W66" s="30">
        <v>1719.674</v>
      </c>
      <c r="X66" s="30">
        <v>1728</v>
      </c>
      <c r="Y66" s="30">
        <v>1726</v>
      </c>
      <c r="Z66" s="50">
        <v>1723</v>
      </c>
      <c r="AA66" s="50">
        <v>1714</v>
      </c>
      <c r="AB66" s="30">
        <v>1722</v>
      </c>
      <c r="AC66" s="30">
        <v>1715</v>
      </c>
      <c r="AD66" s="30">
        <v>1712</v>
      </c>
      <c r="AE66" s="30">
        <v>1706</v>
      </c>
      <c r="AF66" s="30">
        <v>1706</v>
      </c>
      <c r="AG66" s="50">
        <v>1683</v>
      </c>
      <c r="AH66" s="50">
        <v>1637</v>
      </c>
      <c r="AI66" s="30">
        <v>1643</v>
      </c>
      <c r="AJ66" s="30">
        <v>1646</v>
      </c>
      <c r="AK66" s="30">
        <v>1647</v>
      </c>
      <c r="AL66" s="30">
        <v>1647</v>
      </c>
      <c r="AM66" s="30">
        <v>1647</v>
      </c>
      <c r="AN66" s="30">
        <v>1669</v>
      </c>
      <c r="AO66" s="30"/>
      <c r="AP66" s="30"/>
      <c r="AQ66" s="30"/>
      <c r="AR66" s="30"/>
      <c r="AS66" s="30"/>
      <c r="BG66" s="30">
        <v>1637</v>
      </c>
      <c r="BH66" s="30">
        <v>1637</v>
      </c>
      <c r="BK66" s="30">
        <v>2258</v>
      </c>
      <c r="BL66" s="30">
        <v>2263</v>
      </c>
      <c r="BM66" s="30">
        <v>2290</v>
      </c>
      <c r="BN66" s="30">
        <v>2286</v>
      </c>
      <c r="BO66" s="30">
        <v>2265</v>
      </c>
      <c r="BP66" s="30">
        <v>2252</v>
      </c>
      <c r="BQ66" s="30">
        <v>2243</v>
      </c>
      <c r="BR66" s="30">
        <v>2219</v>
      </c>
      <c r="BS66" s="30">
        <v>2164</v>
      </c>
      <c r="BT66" s="30">
        <v>2149</v>
      </c>
      <c r="BU66" s="30">
        <f>+BT66</f>
        <v>2149</v>
      </c>
      <c r="BV66" s="30">
        <f t="shared" ref="BV66:BZ66" si="180">+BU66</f>
        <v>2149</v>
      </c>
      <c r="BW66" s="30">
        <f t="shared" si="180"/>
        <v>2149</v>
      </c>
      <c r="BX66" s="30">
        <f t="shared" si="180"/>
        <v>2149</v>
      </c>
      <c r="BY66" s="30">
        <f t="shared" si="180"/>
        <v>2149</v>
      </c>
      <c r="BZ66" s="30">
        <f t="shared" si="180"/>
        <v>2149</v>
      </c>
      <c r="CD66" s="30">
        <v>523</v>
      </c>
      <c r="CE66" s="30">
        <v>525</v>
      </c>
      <c r="CF66" s="30">
        <v>521</v>
      </c>
      <c r="CG66" s="30">
        <v>518</v>
      </c>
      <c r="CH66" s="30">
        <v>515</v>
      </c>
      <c r="CW66" s="30">
        <f>AVERAGE(O66:R66)</f>
        <v>1993.55575</v>
      </c>
      <c r="CX66" s="50">
        <f>AVERAGE(S66:V66)</f>
        <v>1979.25</v>
      </c>
      <c r="CY66" s="50">
        <f>AVERAGE(W66:Z66)</f>
        <v>1724.1685</v>
      </c>
      <c r="CZ66" s="50">
        <f>AVERAGE(AA66:AD66)</f>
        <v>1715.75</v>
      </c>
      <c r="DA66" s="30">
        <f t="shared" ref="DA66:DF66" si="181">CZ66</f>
        <v>1715.75</v>
      </c>
      <c r="DB66" s="65">
        <f t="shared" si="181"/>
        <v>1715.75</v>
      </c>
      <c r="DC66" s="65">
        <f t="shared" si="181"/>
        <v>1715.75</v>
      </c>
      <c r="DD66" s="30">
        <f t="shared" si="181"/>
        <v>1715.75</v>
      </c>
      <c r="DE66" s="30">
        <f t="shared" si="181"/>
        <v>1715.75</v>
      </c>
      <c r="DF66" s="30">
        <f t="shared" si="181"/>
        <v>1715.75</v>
      </c>
      <c r="DG66" s="30">
        <f t="shared" ref="DG66:DN66" si="182">DF66</f>
        <v>1715.75</v>
      </c>
      <c r="DH66" s="30">
        <f t="shared" si="182"/>
        <v>1715.75</v>
      </c>
      <c r="DI66" s="30">
        <f t="shared" si="182"/>
        <v>1715.75</v>
      </c>
      <c r="DJ66" s="30">
        <f t="shared" si="182"/>
        <v>1715.75</v>
      </c>
      <c r="DK66" s="30">
        <f t="shared" si="182"/>
        <v>1715.75</v>
      </c>
      <c r="DL66" s="30">
        <f t="shared" si="182"/>
        <v>1715.75</v>
      </c>
      <c r="DM66" s="30">
        <f t="shared" si="182"/>
        <v>1715.75</v>
      </c>
      <c r="DN66" s="30">
        <f t="shared" si="182"/>
        <v>1715.75</v>
      </c>
      <c r="DP66" s="33"/>
      <c r="DQ66" s="59"/>
    </row>
    <row r="67" spans="2:121" x14ac:dyDescent="0.2">
      <c r="CW67" s="37"/>
      <c r="DB67" s="69"/>
      <c r="DC67" s="69"/>
      <c r="DP67" s="33"/>
      <c r="DQ67" s="41"/>
    </row>
    <row r="68" spans="2:121" s="19" customFormat="1" x14ac:dyDescent="0.2">
      <c r="B68" s="19" t="s">
        <v>440</v>
      </c>
      <c r="C68" s="33" t="s">
        <v>362</v>
      </c>
      <c r="D68" s="33" t="s">
        <v>362</v>
      </c>
      <c r="E68" s="33" t="s">
        <v>362</v>
      </c>
      <c r="F68" s="33" t="s">
        <v>362</v>
      </c>
      <c r="G68" s="40">
        <f t="shared" ref="G68:AK68" si="183">G52/C52-1</f>
        <v>6.9661865998747574E-2</v>
      </c>
      <c r="H68" s="40">
        <f t="shared" si="183"/>
        <v>5.4844606946984342E-3</v>
      </c>
      <c r="I68" s="40">
        <f t="shared" si="183"/>
        <v>-0.16528805688579307</v>
      </c>
      <c r="J68" s="40">
        <f t="shared" si="183"/>
        <v>-0.23673079547005049</v>
      </c>
      <c r="K68" s="40">
        <f t="shared" si="183"/>
        <v>-9.9663398214547061E-2</v>
      </c>
      <c r="L68" s="40">
        <f t="shared" si="183"/>
        <v>-8.2517482517482366E-3</v>
      </c>
      <c r="M68" s="40">
        <f t="shared" si="183"/>
        <v>0.36474269819193328</v>
      </c>
      <c r="N68" s="40">
        <f t="shared" si="183"/>
        <v>0.51787629603146224</v>
      </c>
      <c r="O68" s="40">
        <f t="shared" si="183"/>
        <v>0.32282184655396629</v>
      </c>
      <c r="P68" s="40">
        <f t="shared" si="183"/>
        <v>0.18713862642786627</v>
      </c>
      <c r="Q68" s="40">
        <f t="shared" si="183"/>
        <v>9.2993630573248387E-2</v>
      </c>
      <c r="R68" s="40">
        <f t="shared" si="183"/>
        <v>1.6252502649864553E-2</v>
      </c>
      <c r="S68" s="40">
        <f t="shared" si="183"/>
        <v>1.9292209388056092E-2</v>
      </c>
      <c r="T68" s="40">
        <f t="shared" si="183"/>
        <v>5.7614635305298201E-2</v>
      </c>
      <c r="U68" s="40">
        <f t="shared" si="183"/>
        <v>6.0139860139860168E-2</v>
      </c>
      <c r="V68" s="40">
        <f t="shared" si="183"/>
        <v>2.607486383126667E-2</v>
      </c>
      <c r="W68" s="40">
        <f t="shared" si="183"/>
        <v>-0.42049427365883063</v>
      </c>
      <c r="X68" s="40">
        <f t="shared" si="183"/>
        <v>-4.8073683028192704E-2</v>
      </c>
      <c r="Y68" s="40">
        <f t="shared" si="183"/>
        <v>-0.47251539138082677</v>
      </c>
      <c r="Z68" s="40">
        <f t="shared" si="183"/>
        <v>-0.42274678111587982</v>
      </c>
      <c r="AA68" s="40">
        <f t="shared" si="183"/>
        <v>4.2438111087996777E-2</v>
      </c>
      <c r="AB68" s="40">
        <f t="shared" si="183"/>
        <v>-0.35882005899705016</v>
      </c>
      <c r="AC68" s="40">
        <f t="shared" si="183"/>
        <v>0.11400583576490209</v>
      </c>
      <c r="AD68" s="40">
        <f t="shared" si="183"/>
        <v>6.7110154568577496E-2</v>
      </c>
      <c r="AE68" s="40">
        <f t="shared" si="183"/>
        <v>4.7894631810017962E-2</v>
      </c>
      <c r="AF68" s="40">
        <f t="shared" si="183"/>
        <v>-0.18237026131762979</v>
      </c>
      <c r="AG68" s="40">
        <f t="shared" si="183"/>
        <v>-0.30102899906454628</v>
      </c>
      <c r="AH68" s="40">
        <f t="shared" si="183"/>
        <v>-0.23157315731573158</v>
      </c>
      <c r="AI68" s="40">
        <f t="shared" si="183"/>
        <v>-0.27042468101314032</v>
      </c>
      <c r="AJ68" s="40">
        <f t="shared" si="183"/>
        <v>-8.8903893765473807E-2</v>
      </c>
      <c r="AK68" s="40">
        <f t="shared" si="183"/>
        <v>8.8062098501070718E-2</v>
      </c>
      <c r="AL68" s="40"/>
      <c r="AM68" s="40"/>
      <c r="AN68" s="40"/>
      <c r="AO68" s="40"/>
      <c r="AP68" s="40"/>
      <c r="AQ68" s="40"/>
      <c r="AR68" s="40"/>
      <c r="AS68" s="40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37"/>
      <c r="BJ68" s="37"/>
      <c r="BK68" s="40">
        <f t="shared" ref="BK68" si="184">BK52/BG52-1</f>
        <v>0.82111486486486496</v>
      </c>
      <c r="BL68" s="40">
        <f t="shared" ref="BL68" si="185">BL52/BH52-1</f>
        <v>0.6146979116849991</v>
      </c>
      <c r="BM68" s="40">
        <f t="shared" ref="BM68" si="186">BM52/BI52-1</f>
        <v>0.75461961045446979</v>
      </c>
      <c r="BN68" s="40">
        <f t="shared" ref="BN68" si="187">BN52/BJ52-1</f>
        <v>0.39307740717432349</v>
      </c>
      <c r="BO68" s="40">
        <f t="shared" ref="BO68" si="188">BO52/BK52-1</f>
        <v>2.7084686021704885E-2</v>
      </c>
      <c r="BP68" s="40">
        <f t="shared" ref="BP68:BR68" si="189">BP52/BL52-1</f>
        <v>0.15539539934840563</v>
      </c>
      <c r="BQ68" s="40">
        <f t="shared" si="189"/>
        <v>0.10284629981024662</v>
      </c>
      <c r="BR68" s="40">
        <f t="shared" si="189"/>
        <v>8.2851463679074699E-2</v>
      </c>
      <c r="BS68" s="40">
        <f>BS52/BO52-1</f>
        <v>5.1928113429061673E-2</v>
      </c>
      <c r="BT68" s="40">
        <f t="shared" ref="BT68" si="190">BT52/BP52-1</f>
        <v>1.5722464325386598E-2</v>
      </c>
      <c r="BU68" s="40">
        <f t="shared" ref="BU68" si="191">BU52/BQ52-1</f>
        <v>-7.8837749483826602E-2</v>
      </c>
      <c r="BV68" s="40">
        <f t="shared" ref="BV68" si="192">BV52/BR52-1</f>
        <v>-8.8030037546933615E-2</v>
      </c>
      <c r="BW68" s="40">
        <f t="shared" ref="BW68" si="193">BW52/BS52-1</f>
        <v>-3.7301682692307714E-2</v>
      </c>
      <c r="BX68" s="40">
        <f t="shared" ref="BX68" si="194">BX52/BT52-1</f>
        <v>-2.4072516194161619E-2</v>
      </c>
      <c r="BY68" s="40">
        <f t="shared" ref="BY68" si="195">BY52/BU52-1</f>
        <v>9.2176670940902206E-4</v>
      </c>
      <c r="BZ68" s="40">
        <f t="shared" ref="BZ68" si="196">BZ52/BV52-1</f>
        <v>1.2058196004376853E-2</v>
      </c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  <c r="CN68" s="37"/>
      <c r="CO68" s="37"/>
      <c r="CP68" s="37"/>
      <c r="CQ68" s="37"/>
      <c r="CR68" s="53">
        <f t="shared" ref="CR68:DN68" si="197">CR52/CQ52-1</f>
        <v>0.26885218551885215</v>
      </c>
      <c r="CS68" s="53">
        <f t="shared" si="197"/>
        <v>5.6735257379527892E-2</v>
      </c>
      <c r="CT68" s="53">
        <f t="shared" si="197"/>
        <v>0.72471071295259426</v>
      </c>
      <c r="CU68" s="53">
        <f t="shared" si="197"/>
        <v>-8.635429066118383E-2</v>
      </c>
      <c r="CV68" s="53">
        <f t="shared" si="197"/>
        <v>0.21947175174700928</v>
      </c>
      <c r="CW68" s="53">
        <f t="shared" si="197"/>
        <v>9.3142968142968074E-2</v>
      </c>
      <c r="CX68" s="53">
        <f t="shared" si="197"/>
        <v>4.0959573522878712E-2</v>
      </c>
      <c r="CY68" s="53">
        <f t="shared" si="197"/>
        <v>-0.34019005348810738</v>
      </c>
      <c r="CZ68" s="53">
        <f t="shared" si="197"/>
        <v>-8.3954982536328715E-2</v>
      </c>
      <c r="DA68" s="53">
        <f t="shared" si="197"/>
        <v>-0.17294294859725101</v>
      </c>
      <c r="DB68" s="70">
        <f t="shared" si="197"/>
        <v>-0.23951906659077971</v>
      </c>
      <c r="DC68" s="70">
        <f t="shared" si="197"/>
        <v>-4.3785759992216566E-2</v>
      </c>
      <c r="DD68" s="53">
        <f t="shared" si="197"/>
        <v>-0.1896711664292533</v>
      </c>
      <c r="DE68" s="53">
        <f t="shared" si="197"/>
        <v>-0.12328734623227344</v>
      </c>
      <c r="DF68" s="53">
        <f t="shared" si="197"/>
        <v>-0.10809019304873424</v>
      </c>
      <c r="DG68" s="53">
        <f t="shared" si="197"/>
        <v>1.7867854893335515</v>
      </c>
      <c r="DH68" s="53">
        <f t="shared" si="197"/>
        <v>0.15885820663977657</v>
      </c>
      <c r="DI68" s="53">
        <f t="shared" si="197"/>
        <v>0.62623828647925039</v>
      </c>
      <c r="DJ68" s="53">
        <f t="shared" si="197"/>
        <v>9.0949715414647914E-2</v>
      </c>
      <c r="DK68" s="53">
        <f t="shared" si="197"/>
        <v>-2.6138837986417918E-2</v>
      </c>
      <c r="DL68" s="53">
        <f t="shared" si="197"/>
        <v>-1.2816954101550482E-2</v>
      </c>
      <c r="DM68" s="53">
        <f t="shared" si="197"/>
        <v>-8.4201801894086881E-2</v>
      </c>
      <c r="DN68" s="53">
        <f t="shared" si="197"/>
        <v>-5.3193810109322559E-2</v>
      </c>
      <c r="DP68" s="28"/>
      <c r="DQ68" s="39"/>
    </row>
    <row r="69" spans="2:121" s="19" customFormat="1" x14ac:dyDescent="0.2">
      <c r="B69" s="23" t="s">
        <v>654</v>
      </c>
      <c r="C69" s="33"/>
      <c r="D69" s="33"/>
      <c r="E69" s="33"/>
      <c r="F69" s="33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7"/>
      <c r="BJ69" s="37"/>
      <c r="BK69" s="40"/>
      <c r="BL69" s="40"/>
      <c r="BM69" s="40"/>
      <c r="BN69" s="40"/>
      <c r="BO69" s="40"/>
      <c r="BP69" s="40"/>
      <c r="BQ69" s="40"/>
      <c r="BR69" s="40"/>
      <c r="BS69" s="40"/>
      <c r="BT69" s="40">
        <v>0.05</v>
      </c>
      <c r="BU69" s="40"/>
      <c r="BV69" s="40"/>
      <c r="BW69" s="40"/>
      <c r="BX69" s="40"/>
      <c r="BY69" s="40"/>
      <c r="BZ69" s="40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  <c r="CN69" s="37"/>
      <c r="CO69" s="37"/>
      <c r="CP69" s="37"/>
      <c r="CQ69" s="37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70"/>
      <c r="DC69" s="70"/>
      <c r="DD69" s="53"/>
      <c r="DE69" s="53"/>
      <c r="DF69" s="53"/>
      <c r="DG69" s="53"/>
      <c r="DH69" s="53"/>
      <c r="DI69" s="53"/>
      <c r="DJ69" s="53"/>
      <c r="DK69" s="53"/>
      <c r="DL69" s="53"/>
      <c r="DM69" s="53"/>
      <c r="DN69" s="53"/>
      <c r="DP69" s="33"/>
      <c r="DQ69" s="79"/>
    </row>
    <row r="70" spans="2:121" s="23" customFormat="1" x14ac:dyDescent="0.2">
      <c r="B70" s="23" t="s">
        <v>631</v>
      </c>
      <c r="C70" s="33"/>
      <c r="D70" s="33"/>
      <c r="E70" s="33"/>
      <c r="F70" s="33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41">
        <f t="shared" ref="BK70" si="198">BK8/BG8-1</f>
        <v>0.37194805194805203</v>
      </c>
      <c r="BL70" s="41">
        <f t="shared" ref="BL70" si="199">BL8/BH8-1</f>
        <v>5.9255631733594605E-2</v>
      </c>
      <c r="BM70" s="41">
        <f t="shared" ref="BM70" si="200">BM8/BI8-1</f>
        <v>8.6618257261410703E-2</v>
      </c>
      <c r="BN70" s="41">
        <f t="shared" ref="BN70" si="201">BN8/BJ8-1</f>
        <v>0.115535889872173</v>
      </c>
      <c r="BO70" s="41">
        <f t="shared" ref="BO70" si="202">BO8/BK8-1</f>
        <v>9.2767890950397502E-2</v>
      </c>
      <c r="BP70" s="41">
        <f t="shared" ref="BP70:BR70" si="203">BP8/BL8-1</f>
        <v>0.29079981507165975</v>
      </c>
      <c r="BQ70" s="41">
        <f t="shared" si="203"/>
        <v>0.15178997613365164</v>
      </c>
      <c r="BR70" s="41">
        <f t="shared" si="203"/>
        <v>0.17717055971793738</v>
      </c>
      <c r="BS70" s="41">
        <f>BS8/BO8-1</f>
        <v>0.11261261261261257</v>
      </c>
      <c r="BT70" s="41">
        <f t="shared" ref="BT70" si="204">BT8/BP8-1</f>
        <v>0.1586676217765044</v>
      </c>
      <c r="BU70" s="41">
        <f t="shared" ref="BU70" si="205">BU8/BQ8-1</f>
        <v>8.0000000000000071E-2</v>
      </c>
      <c r="BV70" s="41">
        <f t="shared" ref="BV70" si="206">BV8/BR8-1</f>
        <v>6.0000000000000053E-2</v>
      </c>
      <c r="BW70" s="41">
        <f t="shared" ref="BW70" si="207">BW8/BS8-1</f>
        <v>6.0000000000000053E-2</v>
      </c>
      <c r="BX70" s="41">
        <f t="shared" ref="BX70" si="208">BX8/BT8-1</f>
        <v>6.0000000000000053E-2</v>
      </c>
      <c r="BY70" s="41">
        <f t="shared" ref="BY70" si="209">BY8/BU8-1</f>
        <v>6.0000000000000053E-2</v>
      </c>
      <c r="BZ70" s="41">
        <f t="shared" ref="BZ70" si="210">BZ8/BV8-1</f>
        <v>6.0000000000000053E-2</v>
      </c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71"/>
      <c r="DC70" s="71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P70" s="75"/>
      <c r="DQ70" s="84"/>
    </row>
    <row r="71" spans="2:121" s="23" customFormat="1" x14ac:dyDescent="0.2">
      <c r="B71" s="23" t="s">
        <v>630</v>
      </c>
      <c r="C71" s="33"/>
      <c r="D71" s="33"/>
      <c r="E71" s="33"/>
      <c r="F71" s="33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41">
        <f t="shared" ref="BK71" si="211">BK4/BG4-1</f>
        <v>-1.9433647973348123E-2</v>
      </c>
      <c r="BL71" s="41">
        <f t="shared" ref="BL71" si="212">BL4/BH4-1</f>
        <v>-9.3252879868348848E-2</v>
      </c>
      <c r="BM71" s="41">
        <f t="shared" ref="BM71" si="213">BM4/BI4-1</f>
        <v>-2.0363236103467242E-2</v>
      </c>
      <c r="BN71" s="41">
        <f t="shared" ref="BN71" si="214">BN4/BJ4-1</f>
        <v>1.7016449234259712E-2</v>
      </c>
      <c r="BO71" s="41">
        <f t="shared" ref="BO71" si="215">BO4/BK4-1</f>
        <v>-2.6047565118912819E-2</v>
      </c>
      <c r="BP71" s="41">
        <f t="shared" ref="BP71:BR71" si="216">BP4/BL4-1</f>
        <v>0.15547489413188154</v>
      </c>
      <c r="BQ71" s="41">
        <f t="shared" si="216"/>
        <v>7.02247191011236E-2</v>
      </c>
      <c r="BR71" s="41">
        <f t="shared" si="216"/>
        <v>0.10875627440044622</v>
      </c>
      <c r="BS71" s="41">
        <f>BS4/BO4-1</f>
        <v>0.11802325581395356</v>
      </c>
      <c r="BT71" s="41">
        <f t="shared" ref="BT71" si="217">BT4/BP4-1</f>
        <v>8.010471204188474E-2</v>
      </c>
      <c r="BU71" s="41">
        <f t="shared" ref="BU71" si="218">BU4/BQ4-1</f>
        <v>5.0000000000000044E-2</v>
      </c>
      <c r="BV71" s="41">
        <f t="shared" ref="BV71" si="219">BV4/BR4-1</f>
        <v>5.0000000000000044E-2</v>
      </c>
      <c r="BW71" s="41">
        <f t="shared" ref="BW71" si="220">BW4/BS4-1</f>
        <v>5.0000000000000044E-2</v>
      </c>
      <c r="BX71" s="41">
        <f t="shared" ref="BX71" si="221">BX4/BT4-1</f>
        <v>5.0000000000000044E-2</v>
      </c>
      <c r="BY71" s="41">
        <f t="shared" ref="BY71" si="222">BY4/BU4-1</f>
        <v>5.0000000000000044E-2</v>
      </c>
      <c r="BZ71" s="41">
        <f t="shared" ref="BZ71" si="223">BZ4/BV4-1</f>
        <v>5.0000000000000044E-2</v>
      </c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71"/>
      <c r="DC71" s="71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P71" s="33"/>
      <c r="DQ71" s="72"/>
    </row>
    <row r="72" spans="2:121" s="23" customFormat="1" x14ac:dyDescent="0.2">
      <c r="B72" s="23" t="s">
        <v>632</v>
      </c>
      <c r="C72" s="33"/>
      <c r="D72" s="33"/>
      <c r="E72" s="33"/>
      <c r="F72" s="33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41"/>
      <c r="BL72" s="41"/>
      <c r="BM72" s="41"/>
      <c r="BN72" s="41">
        <f t="shared" ref="BN72" si="224">BN10/BJ10-1</f>
        <v>1.5250192455735183</v>
      </c>
      <c r="BO72" s="41">
        <f t="shared" ref="BO72" si="225">BO10/BK10-1</f>
        <v>9.9485420240137401E-3</v>
      </c>
      <c r="BP72" s="41">
        <f t="shared" ref="BP72:BR72" si="226">BP10/BL10-1</f>
        <v>0.11026352288488206</v>
      </c>
      <c r="BQ72" s="41">
        <f t="shared" si="226"/>
        <v>0.10571522960026436</v>
      </c>
      <c r="BR72" s="41">
        <f t="shared" si="226"/>
        <v>1.4634146341463428E-2</v>
      </c>
      <c r="BS72" s="41">
        <f>BS10/BO10-1</f>
        <v>-4.9932065217391353E-2</v>
      </c>
      <c r="BT72" s="41">
        <f t="shared" ref="BT72" si="227">BT10/BP10-1</f>
        <v>-0.21892567145534036</v>
      </c>
      <c r="BU72" s="41">
        <f t="shared" ref="BU72" si="228">BU10/BQ10-1</f>
        <v>-0.37257245294293395</v>
      </c>
      <c r="BV72" s="41">
        <f t="shared" ref="BV72" si="229">BV10/BR10-1</f>
        <v>-0.42908653846153844</v>
      </c>
      <c r="BW72" s="41">
        <f t="shared" ref="BW72" si="230">BW10/BS10-1</f>
        <v>-0.35645334286735786</v>
      </c>
      <c r="BX72" s="41">
        <f t="shared" ref="BX72" si="231">BX10/BT10-1</f>
        <v>-0.32027189124350264</v>
      </c>
      <c r="BY72" s="41">
        <f t="shared" ref="BY72" si="232">BY10/BU10-1</f>
        <v>-0.23809523809523814</v>
      </c>
      <c r="BZ72" s="41">
        <f t="shared" ref="BZ72" si="233">BZ10/BV10-1</f>
        <v>-0.21052631578947367</v>
      </c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71"/>
      <c r="DC72" s="71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P72" s="33"/>
      <c r="DQ72" s="72"/>
    </row>
    <row r="73" spans="2:121" s="74" customFormat="1" ht="6.75" customHeight="1" x14ac:dyDescent="0.2">
      <c r="B73" s="74" t="s">
        <v>441</v>
      </c>
      <c r="C73" s="75" t="s">
        <v>362</v>
      </c>
      <c r="D73" s="75" t="s">
        <v>362</v>
      </c>
      <c r="E73" s="75" t="s">
        <v>362</v>
      </c>
      <c r="F73" s="75" t="s">
        <v>362</v>
      </c>
      <c r="G73" s="76">
        <f t="shared" ref="G73:AK73" si="234">+G35/C35-1</f>
        <v>0.21130221130221138</v>
      </c>
      <c r="H73" s="76">
        <f t="shared" si="234"/>
        <v>0.18285123966942152</v>
      </c>
      <c r="I73" s="76">
        <f t="shared" si="234"/>
        <v>-0.3571428571428571</v>
      </c>
      <c r="J73" s="76">
        <f t="shared" si="234"/>
        <v>-0.53251649387370403</v>
      </c>
      <c r="K73" s="76">
        <f t="shared" si="234"/>
        <v>-4.8681541582150101E-2</v>
      </c>
      <c r="L73" s="76">
        <f t="shared" si="234"/>
        <v>3.8427947598253187E-2</v>
      </c>
      <c r="M73" s="76">
        <f t="shared" si="234"/>
        <v>0.99047619047619051</v>
      </c>
      <c r="N73" s="76">
        <f t="shared" si="234"/>
        <v>1.7701612903225805</v>
      </c>
      <c r="O73" s="76">
        <f t="shared" si="234"/>
        <v>0.3944562899786781</v>
      </c>
      <c r="P73" s="76">
        <f t="shared" si="234"/>
        <v>0.16652649285113541</v>
      </c>
      <c r="Q73" s="76">
        <f t="shared" si="234"/>
        <v>0.1475279106858054</v>
      </c>
      <c r="R73" s="76">
        <f t="shared" si="234"/>
        <v>6.9141193595342099E-2</v>
      </c>
      <c r="S73" s="76">
        <f t="shared" si="234"/>
        <v>9.7094801223241545E-2</v>
      </c>
      <c r="T73" s="76">
        <f t="shared" si="234"/>
        <v>0.1095890410958904</v>
      </c>
      <c r="U73" s="76">
        <f t="shared" si="234"/>
        <v>7.9916608756080532E-2</v>
      </c>
      <c r="V73" s="76">
        <f t="shared" si="234"/>
        <v>0.10142954390741998</v>
      </c>
      <c r="W73" s="76">
        <f t="shared" si="234"/>
        <v>0.16097560975609748</v>
      </c>
      <c r="X73" s="76">
        <f t="shared" si="234"/>
        <v>5.7179987004548405E-2</v>
      </c>
      <c r="Y73" s="76">
        <f t="shared" si="234"/>
        <v>6.6924066924066938E-2</v>
      </c>
      <c r="Z73" s="76">
        <f t="shared" si="234"/>
        <v>5.9950556242274411E-2</v>
      </c>
      <c r="AA73" s="76">
        <f t="shared" si="234"/>
        <v>5.7623049219687861E-2</v>
      </c>
      <c r="AB73" s="76">
        <f t="shared" si="234"/>
        <v>0.146281499692686</v>
      </c>
      <c r="AC73" s="76">
        <f t="shared" si="234"/>
        <v>7.8407720144752613E-2</v>
      </c>
      <c r="AD73" s="76">
        <f t="shared" si="234"/>
        <v>-2.507288629737614E-2</v>
      </c>
      <c r="AE73" s="76">
        <f t="shared" si="234"/>
        <v>-3.9160045402951149E-2</v>
      </c>
      <c r="AF73" s="76">
        <f t="shared" si="234"/>
        <v>-0.60268096514745306</v>
      </c>
      <c r="AG73" s="76">
        <f t="shared" si="234"/>
        <v>-0.96420581655480986</v>
      </c>
      <c r="AH73" s="76">
        <f t="shared" si="234"/>
        <v>-0.97069377990430628</v>
      </c>
      <c r="AI73" s="76">
        <f t="shared" si="234"/>
        <v>-0.94624926166568224</v>
      </c>
      <c r="AJ73" s="76">
        <f t="shared" si="234"/>
        <v>-0.94062078272604588</v>
      </c>
      <c r="AK73" s="76">
        <f t="shared" si="234"/>
        <v>-0.34375</v>
      </c>
      <c r="AL73" s="76"/>
      <c r="AM73" s="76"/>
      <c r="AN73" s="76"/>
      <c r="AO73" s="76"/>
      <c r="AP73" s="76"/>
      <c r="AQ73" s="76"/>
      <c r="AR73" s="76"/>
      <c r="AS73" s="76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  <c r="BT73" s="75"/>
      <c r="BU73" s="75"/>
      <c r="BV73" s="75"/>
      <c r="BW73" s="75"/>
      <c r="BX73" s="75"/>
      <c r="BY73" s="75"/>
      <c r="BZ73" s="75"/>
      <c r="CA73" s="75"/>
      <c r="CB73" s="75"/>
      <c r="CC73" s="75"/>
      <c r="CD73" s="75"/>
      <c r="CE73" s="75"/>
      <c r="CF73" s="75"/>
      <c r="CG73" s="75"/>
      <c r="CH73" s="75"/>
      <c r="CI73" s="75"/>
      <c r="CJ73" s="75"/>
      <c r="CK73" s="75"/>
      <c r="CL73" s="75"/>
      <c r="CM73" s="75"/>
      <c r="CN73" s="75"/>
      <c r="CO73" s="75"/>
      <c r="CP73" s="77" t="e">
        <f>CP35/CO35-1</f>
        <v>#DIV/0!</v>
      </c>
      <c r="CQ73" s="77" t="s">
        <v>362</v>
      </c>
      <c r="CR73" s="77">
        <f t="shared" ref="CR73:DN73" si="235">CR35/CQ35-1</f>
        <v>0.30529100529100539</v>
      </c>
      <c r="CS73" s="77">
        <f t="shared" si="235"/>
        <v>0.34860154033238744</v>
      </c>
      <c r="CT73" s="77">
        <f t="shared" si="235"/>
        <v>0.14908325819056212</v>
      </c>
      <c r="CU73" s="77">
        <f t="shared" si="235"/>
        <v>-0.14805126863719587</v>
      </c>
      <c r="CV73" s="77">
        <f t="shared" si="235"/>
        <v>0.45993245317777087</v>
      </c>
      <c r="CW73" s="77">
        <f t="shared" si="235"/>
        <v>0.17833859095688753</v>
      </c>
      <c r="CX73" s="77">
        <f t="shared" si="235"/>
        <v>9.6912368374085345E-2</v>
      </c>
      <c r="CY73" s="77">
        <f t="shared" si="235"/>
        <v>8.4607875040676905E-2</v>
      </c>
      <c r="CZ73" s="77">
        <f t="shared" si="235"/>
        <v>6.3156315631563098E-2</v>
      </c>
      <c r="DA73" s="77">
        <f t="shared" si="235"/>
        <v>-0.64060956681247361</v>
      </c>
      <c r="DB73" s="78">
        <f t="shared" si="235"/>
        <v>-0.8</v>
      </c>
      <c r="DC73" s="78">
        <f t="shared" si="235"/>
        <v>-0.5</v>
      </c>
      <c r="DD73" s="77">
        <f t="shared" si="235"/>
        <v>-0.5</v>
      </c>
      <c r="DE73" s="77">
        <f t="shared" si="235"/>
        <v>-9.9999999999999978E-2</v>
      </c>
      <c r="DF73" s="77">
        <f t="shared" si="235"/>
        <v>-9.9999999999999978E-2</v>
      </c>
      <c r="DG73" s="77">
        <f t="shared" si="235"/>
        <v>-1</v>
      </c>
      <c r="DH73" s="77" t="e">
        <f t="shared" si="235"/>
        <v>#DIV/0!</v>
      </c>
      <c r="DI73" s="77" t="e">
        <f t="shared" si="235"/>
        <v>#DIV/0!</v>
      </c>
      <c r="DJ73" s="77" t="e">
        <f t="shared" si="235"/>
        <v>#DIV/0!</v>
      </c>
      <c r="DK73" s="77" t="e">
        <f t="shared" si="235"/>
        <v>#DIV/0!</v>
      </c>
      <c r="DL73" s="77" t="e">
        <f t="shared" si="235"/>
        <v>#DIV/0!</v>
      </c>
      <c r="DM73" s="77" t="e">
        <f t="shared" si="235"/>
        <v>#DIV/0!</v>
      </c>
      <c r="DN73" s="77" t="e">
        <f t="shared" si="235"/>
        <v>#DIV/0!</v>
      </c>
    </row>
    <row r="74" spans="2:121" s="74" customFormat="1" ht="6.75" customHeight="1" x14ac:dyDescent="0.2">
      <c r="B74" s="74" t="s">
        <v>442</v>
      </c>
      <c r="C74" s="75" t="s">
        <v>362</v>
      </c>
      <c r="D74" s="75" t="s">
        <v>362</v>
      </c>
      <c r="E74" s="75" t="s">
        <v>362</v>
      </c>
      <c r="F74" s="75" t="s">
        <v>362</v>
      </c>
      <c r="G74" s="76">
        <f t="shared" ref="G74:AK74" si="236">+G40/C40-1</f>
        <v>1.1560693641618602E-2</v>
      </c>
      <c r="H74" s="76">
        <f t="shared" si="236"/>
        <v>0.15568862275449091</v>
      </c>
      <c r="I74" s="76">
        <f t="shared" si="236"/>
        <v>0.18235294117647061</v>
      </c>
      <c r="J74" s="76">
        <f t="shared" si="236"/>
        <v>0.30588235294117649</v>
      </c>
      <c r="K74" s="76">
        <f t="shared" si="236"/>
        <v>0.29142857142857137</v>
      </c>
      <c r="L74" s="76">
        <f t="shared" si="236"/>
        <v>0.20725388601036276</v>
      </c>
      <c r="M74" s="76">
        <f t="shared" si="236"/>
        <v>0.17910447761194037</v>
      </c>
      <c r="N74" s="76">
        <f t="shared" si="236"/>
        <v>0.1711711711711712</v>
      </c>
      <c r="O74" s="76">
        <f t="shared" si="236"/>
        <v>0.20796460176991149</v>
      </c>
      <c r="P74" s="76">
        <f t="shared" si="236"/>
        <v>0.21030042918454939</v>
      </c>
      <c r="Q74" s="76">
        <f t="shared" si="236"/>
        <v>0.240506329113924</v>
      </c>
      <c r="R74" s="76">
        <f t="shared" si="236"/>
        <v>0.15384615384615374</v>
      </c>
      <c r="S74" s="76">
        <f t="shared" si="236"/>
        <v>6.9597069597069572E-2</v>
      </c>
      <c r="T74" s="76">
        <f t="shared" si="236"/>
        <v>0.1063829787234043</v>
      </c>
      <c r="U74" s="76">
        <f t="shared" si="236"/>
        <v>7.1428571428571397E-2</v>
      </c>
      <c r="V74" s="76">
        <f t="shared" si="236"/>
        <v>0.19333333333333336</v>
      </c>
      <c r="W74" s="76">
        <f t="shared" si="236"/>
        <v>0.14726027397260277</v>
      </c>
      <c r="X74" s="76">
        <f t="shared" si="236"/>
        <v>6.0897435897435903E-2</v>
      </c>
      <c r="Y74" s="76">
        <f t="shared" si="236"/>
        <v>8.5714285714285632E-2</v>
      </c>
      <c r="Z74" s="76">
        <f t="shared" si="236"/>
        <v>5.5865921787709993E-3</v>
      </c>
      <c r="AA74" s="76">
        <f t="shared" si="236"/>
        <v>2.3880597014925398E-2</v>
      </c>
      <c r="AB74" s="76">
        <f t="shared" si="236"/>
        <v>0.12084592145015116</v>
      </c>
      <c r="AC74" s="76">
        <f t="shared" si="236"/>
        <v>4.9707602339181367E-2</v>
      </c>
      <c r="AD74" s="76">
        <f t="shared" si="236"/>
        <v>0.14444444444444438</v>
      </c>
      <c r="AE74" s="76">
        <f t="shared" si="236"/>
        <v>0.12536443148688048</v>
      </c>
      <c r="AF74" s="76">
        <f t="shared" si="236"/>
        <v>4.5822102425876032E-2</v>
      </c>
      <c r="AG74" s="76">
        <f t="shared" si="236"/>
        <v>3.0640668523676862E-2</v>
      </c>
      <c r="AH74" s="76">
        <f t="shared" si="236"/>
        <v>-7.0388349514563076E-2</v>
      </c>
      <c r="AI74" s="76">
        <f t="shared" si="236"/>
        <v>2.5906735751295429E-3</v>
      </c>
      <c r="AJ74" s="76">
        <f t="shared" si="236"/>
        <v>5.9278350515463929E-2</v>
      </c>
      <c r="AK74" s="76">
        <f t="shared" si="236"/>
        <v>5.1351351351351271E-2</v>
      </c>
      <c r="AL74" s="76"/>
      <c r="AM74" s="76"/>
      <c r="AN74" s="76"/>
      <c r="AO74" s="76"/>
      <c r="AP74" s="76"/>
      <c r="AQ74" s="76"/>
      <c r="AR74" s="76"/>
      <c r="AS74" s="76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  <c r="CD74" s="75"/>
      <c r="CE74" s="75"/>
      <c r="CF74" s="75"/>
      <c r="CG74" s="75"/>
      <c r="CH74" s="75"/>
      <c r="CI74" s="75"/>
      <c r="CJ74" s="75"/>
      <c r="CK74" s="75"/>
      <c r="CL74" s="75"/>
      <c r="CM74" s="75"/>
      <c r="CN74" s="75"/>
      <c r="CO74" s="75"/>
      <c r="CP74" s="75"/>
      <c r="CQ74" s="75"/>
      <c r="CR74" s="75"/>
      <c r="CS74" s="75"/>
      <c r="CT74" s="75"/>
      <c r="CU74" s="75"/>
      <c r="CV74" s="75"/>
      <c r="CW74" s="80"/>
      <c r="CX74" s="81"/>
      <c r="CY74" s="81"/>
      <c r="CZ74" s="81"/>
      <c r="DA74" s="75"/>
      <c r="DB74" s="82"/>
      <c r="DC74" s="82"/>
      <c r="DD74" s="75"/>
      <c r="DE74" s="75"/>
      <c r="DF74" s="75"/>
      <c r="DH74" s="80"/>
      <c r="DI74" s="83"/>
    </row>
    <row r="75" spans="2:121" x14ac:dyDescent="0.2">
      <c r="B75" s="23" t="s">
        <v>445</v>
      </c>
      <c r="C75" s="33" t="s">
        <v>362</v>
      </c>
      <c r="D75" s="33" t="s">
        <v>362</v>
      </c>
      <c r="E75" s="33" t="s">
        <v>362</v>
      </c>
      <c r="F75" s="33" t="s">
        <v>362</v>
      </c>
      <c r="G75" s="41" t="s">
        <v>362</v>
      </c>
      <c r="H75" s="41" t="s">
        <v>362</v>
      </c>
      <c r="I75" s="41" t="s">
        <v>362</v>
      </c>
      <c r="J75" s="41" t="s">
        <v>362</v>
      </c>
      <c r="K75" s="57">
        <f t="shared" ref="K75:AK75" si="237">+K3/G3-1</f>
        <v>7.1999999999999993</v>
      </c>
      <c r="L75" s="57">
        <f t="shared" si="237"/>
        <v>2.0555555555555554</v>
      </c>
      <c r="M75" s="57">
        <f t="shared" si="237"/>
        <v>0.76470588235294112</v>
      </c>
      <c r="N75" s="57">
        <f t="shared" si="237"/>
        <v>1.34375</v>
      </c>
      <c r="O75" s="57">
        <f t="shared" si="237"/>
        <v>1.1219512195121952</v>
      </c>
      <c r="P75" s="57">
        <f t="shared" si="237"/>
        <v>0.92727272727272725</v>
      </c>
      <c r="Q75" s="57">
        <f t="shared" si="237"/>
        <v>0.98333333333333339</v>
      </c>
      <c r="R75" s="57">
        <f t="shared" si="237"/>
        <v>0.72</v>
      </c>
      <c r="S75" s="57">
        <f t="shared" si="237"/>
        <v>0.42528735632183912</v>
      </c>
      <c r="T75" s="57">
        <f t="shared" si="237"/>
        <v>0.39622641509433953</v>
      </c>
      <c r="U75" s="57">
        <f t="shared" si="237"/>
        <v>0.3613445378151261</v>
      </c>
      <c r="V75" s="57">
        <f t="shared" si="237"/>
        <v>0.30232558139534893</v>
      </c>
      <c r="W75" s="57">
        <f t="shared" si="237"/>
        <v>0.36290322580645151</v>
      </c>
      <c r="X75" s="57">
        <f t="shared" si="237"/>
        <v>0.20270270270270263</v>
      </c>
      <c r="Y75" s="57">
        <f t="shared" si="237"/>
        <v>0.13580246913580241</v>
      </c>
      <c r="Z75" s="57">
        <f t="shared" si="237"/>
        <v>0.20238095238095233</v>
      </c>
      <c r="AA75" s="57">
        <f t="shared" si="237"/>
        <v>0.1775147928994083</v>
      </c>
      <c r="AB75" s="57">
        <f t="shared" si="237"/>
        <v>0.2808988764044944</v>
      </c>
      <c r="AC75" s="57">
        <f t="shared" si="237"/>
        <v>0.26630434782608692</v>
      </c>
      <c r="AD75" s="57">
        <f t="shared" si="237"/>
        <v>0.2722772277227723</v>
      </c>
      <c r="AE75" s="57">
        <f t="shared" si="237"/>
        <v>0.27638190954773867</v>
      </c>
      <c r="AF75" s="57">
        <f t="shared" si="237"/>
        <v>0.27192982456140347</v>
      </c>
      <c r="AG75" s="57">
        <f t="shared" si="237"/>
        <v>0.31759656652360513</v>
      </c>
      <c r="AH75" s="57">
        <f t="shared" si="237"/>
        <v>0.2645914396887159</v>
      </c>
      <c r="AI75" s="57">
        <f t="shared" si="237"/>
        <v>0.25984251968503935</v>
      </c>
      <c r="AJ75" s="57">
        <f t="shared" si="237"/>
        <v>0.21379310344827585</v>
      </c>
      <c r="AK75" s="57">
        <f t="shared" si="237"/>
        <v>0.22149837133550498</v>
      </c>
      <c r="AL75" s="57"/>
      <c r="AM75" s="57"/>
      <c r="AN75" s="57"/>
      <c r="AO75" s="57"/>
      <c r="AP75" s="57"/>
      <c r="AQ75" s="57"/>
      <c r="AR75" s="57"/>
      <c r="AS75" s="57"/>
      <c r="CW75" s="37"/>
      <c r="DH75" s="37"/>
      <c r="DI75" s="40"/>
    </row>
    <row r="76" spans="2:121" s="74" customFormat="1" ht="8.25" customHeight="1" x14ac:dyDescent="0.2">
      <c r="B76" s="74" t="s">
        <v>446</v>
      </c>
      <c r="C76" s="75" t="s">
        <v>362</v>
      </c>
      <c r="D76" s="75" t="s">
        <v>362</v>
      </c>
      <c r="E76" s="75" t="s">
        <v>362</v>
      </c>
      <c r="F76" s="75" t="s">
        <v>362</v>
      </c>
      <c r="G76" s="76">
        <f t="shared" ref="G76:AK76" si="238">+G31/C31-1</f>
        <v>0.18877551020408156</v>
      </c>
      <c r="H76" s="76">
        <f t="shared" si="238"/>
        <v>8.5271317829457294E-2</v>
      </c>
      <c r="I76" s="76">
        <f t="shared" si="238"/>
        <v>0.10358565737051784</v>
      </c>
      <c r="J76" s="76">
        <f t="shared" si="238"/>
        <v>0.10830324909747291</v>
      </c>
      <c r="K76" s="76">
        <f t="shared" si="238"/>
        <v>0.15879828326180268</v>
      </c>
      <c r="L76" s="76">
        <f t="shared" si="238"/>
        <v>6.0714285714285721E-2</v>
      </c>
      <c r="M76" s="76">
        <f t="shared" si="238"/>
        <v>0.11552346570397121</v>
      </c>
      <c r="N76" s="76">
        <f t="shared" si="238"/>
        <v>6.8403908794788304E-2</v>
      </c>
      <c r="O76" s="76">
        <f t="shared" si="238"/>
        <v>0.12962962962962954</v>
      </c>
      <c r="P76" s="76">
        <f t="shared" si="238"/>
        <v>0.12794612794612803</v>
      </c>
      <c r="Q76" s="76">
        <f t="shared" si="238"/>
        <v>8.0906148867313954E-2</v>
      </c>
      <c r="R76" s="76">
        <f t="shared" si="238"/>
        <v>-3.6585365853658569E-2</v>
      </c>
      <c r="S76" s="76">
        <f t="shared" si="238"/>
        <v>-9.8360655737704805E-3</v>
      </c>
      <c r="T76" s="76">
        <f t="shared" si="238"/>
        <v>-6.5671641791044788E-2</v>
      </c>
      <c r="U76" s="76">
        <f t="shared" si="238"/>
        <v>-1.4970059880239472E-2</v>
      </c>
      <c r="V76" s="76">
        <f t="shared" si="238"/>
        <v>7.2784810126582222E-2</v>
      </c>
      <c r="W76" s="76">
        <f t="shared" si="238"/>
        <v>3.9735099337748325E-2</v>
      </c>
      <c r="X76" s="76">
        <f t="shared" si="238"/>
        <v>-1.9169329073482455E-2</v>
      </c>
      <c r="Y76" s="76">
        <f t="shared" si="238"/>
        <v>-7.9027355623100259E-2</v>
      </c>
      <c r="Z76" s="76">
        <f t="shared" si="238"/>
        <v>-0.25663716814159288</v>
      </c>
      <c r="AA76" s="76">
        <f t="shared" si="238"/>
        <v>-7.6433121019108263E-2</v>
      </c>
      <c r="AB76" s="76">
        <f t="shared" si="238"/>
        <v>-0.1824104234527687</v>
      </c>
      <c r="AC76" s="76">
        <f t="shared" si="238"/>
        <v>-0.28712871287128716</v>
      </c>
      <c r="AD76" s="76">
        <f t="shared" si="238"/>
        <v>-0.22619047619047616</v>
      </c>
      <c r="AE76" s="76">
        <f t="shared" si="238"/>
        <v>-0.28620689655172415</v>
      </c>
      <c r="AF76" s="76">
        <f t="shared" si="238"/>
        <v>-0.53386454183266929</v>
      </c>
      <c r="AG76" s="76">
        <f t="shared" si="238"/>
        <v>-0.56018518518518512</v>
      </c>
      <c r="AH76" s="76">
        <f t="shared" si="238"/>
        <v>-0.56923076923076921</v>
      </c>
      <c r="AI76" s="76">
        <f t="shared" si="238"/>
        <v>-0.77777777777777779</v>
      </c>
      <c r="AJ76" s="76">
        <f t="shared" si="238"/>
        <v>-0.52136752136752129</v>
      </c>
      <c r="AK76" s="76">
        <f t="shared" si="238"/>
        <v>-0.25263157894736843</v>
      </c>
      <c r="AL76" s="76"/>
      <c r="AM76" s="76"/>
      <c r="AN76" s="76"/>
      <c r="AO76" s="76"/>
      <c r="AP76" s="76"/>
      <c r="AQ76" s="76"/>
      <c r="AR76" s="76"/>
      <c r="AS76" s="76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75"/>
      <c r="CN76" s="75"/>
      <c r="CO76" s="75"/>
      <c r="CP76" s="75"/>
      <c r="CQ76" s="75"/>
      <c r="CR76" s="75"/>
      <c r="CS76" s="75"/>
      <c r="CT76" s="75"/>
      <c r="CU76" s="75"/>
      <c r="CV76" s="75"/>
      <c r="CW76" s="80"/>
      <c r="CX76" s="81"/>
      <c r="CY76" s="81"/>
      <c r="CZ76" s="81"/>
      <c r="DA76" s="75"/>
      <c r="DB76" s="75"/>
      <c r="DC76" s="75"/>
      <c r="DD76" s="75"/>
      <c r="DE76" s="75"/>
      <c r="DF76" s="75"/>
      <c r="DH76" s="80"/>
      <c r="DI76" s="83"/>
    </row>
    <row r="77" spans="2:121" s="74" customFormat="1" ht="8.25" customHeight="1" x14ac:dyDescent="0.2">
      <c r="B77" s="74" t="s">
        <v>447</v>
      </c>
      <c r="C77" s="75" t="s">
        <v>362</v>
      </c>
      <c r="D77" s="75" t="s">
        <v>362</v>
      </c>
      <c r="E77" s="75" t="s">
        <v>362</v>
      </c>
      <c r="F77" s="75" t="s">
        <v>362</v>
      </c>
      <c r="G77" s="76">
        <f t="shared" ref="G77:AK77" si="239">+G41/C41-1</f>
        <v>0.38926174496644306</v>
      </c>
      <c r="H77" s="76">
        <f t="shared" si="239"/>
        <v>0.28961748633879791</v>
      </c>
      <c r="I77" s="76">
        <f t="shared" si="239"/>
        <v>0.32386363636363646</v>
      </c>
      <c r="J77" s="76">
        <f t="shared" si="239"/>
        <v>0.3563829787234043</v>
      </c>
      <c r="K77" s="76">
        <f t="shared" si="239"/>
        <v>0.27053140096618367</v>
      </c>
      <c r="L77" s="76">
        <f t="shared" si="239"/>
        <v>7.6271186440677985E-2</v>
      </c>
      <c r="M77" s="76">
        <f t="shared" si="239"/>
        <v>0.17167381974248919</v>
      </c>
      <c r="N77" s="76">
        <f t="shared" si="239"/>
        <v>0.30980392156862746</v>
      </c>
      <c r="O77" s="76">
        <f t="shared" si="239"/>
        <v>0.12927756653992395</v>
      </c>
      <c r="P77" s="76">
        <f t="shared" si="239"/>
        <v>0.27559055118110232</v>
      </c>
      <c r="Q77" s="76">
        <f t="shared" si="239"/>
        <v>0.25274725274725274</v>
      </c>
      <c r="R77" s="76">
        <f t="shared" si="239"/>
        <v>-1.4970059880239472E-2</v>
      </c>
      <c r="S77" s="76">
        <f t="shared" si="239"/>
        <v>8.4175084175084125E-2</v>
      </c>
      <c r="T77" s="76">
        <f t="shared" si="239"/>
        <v>2.1604938271605034E-2</v>
      </c>
      <c r="U77" s="76">
        <f t="shared" si="239"/>
        <v>5.2631578947368363E-2</v>
      </c>
      <c r="V77" s="76">
        <f t="shared" si="239"/>
        <v>0.17933130699088151</v>
      </c>
      <c r="W77" s="76">
        <f t="shared" si="239"/>
        <v>0.15838509316770177</v>
      </c>
      <c r="X77" s="76">
        <f t="shared" si="239"/>
        <v>7.8549848942598199E-2</v>
      </c>
      <c r="Y77" s="76">
        <f t="shared" si="239"/>
        <v>4.1666666666666741E-2</v>
      </c>
      <c r="Z77" s="76">
        <f t="shared" si="239"/>
        <v>-3.6082474226804107E-2</v>
      </c>
      <c r="AA77" s="76">
        <f t="shared" si="239"/>
        <v>-1.8766756032171594E-2</v>
      </c>
      <c r="AB77" s="76">
        <f t="shared" si="239"/>
        <v>0.10924369747899165</v>
      </c>
      <c r="AC77" s="76">
        <f t="shared" si="239"/>
        <v>4.2666666666666631E-2</v>
      </c>
      <c r="AD77" s="76">
        <f t="shared" si="239"/>
        <v>0.11229946524064172</v>
      </c>
      <c r="AE77" s="76">
        <f t="shared" si="239"/>
        <v>-2.1857923497267784E-2</v>
      </c>
      <c r="AF77" s="76">
        <f t="shared" si="239"/>
        <v>2.5252525252525304E-2</v>
      </c>
      <c r="AG77" s="76">
        <f t="shared" si="239"/>
        <v>-7.1611253196930957E-2</v>
      </c>
      <c r="AH77" s="76">
        <f t="shared" si="239"/>
        <v>-5.2884615384615419E-2</v>
      </c>
      <c r="AI77" s="76">
        <f t="shared" si="239"/>
        <v>8.379888268156499E-3</v>
      </c>
      <c r="AJ77" s="76">
        <f t="shared" si="239"/>
        <v>6.1576354679802936E-2</v>
      </c>
      <c r="AK77" s="76">
        <f t="shared" si="239"/>
        <v>3.3057851239669311E-2</v>
      </c>
      <c r="AL77" s="76"/>
      <c r="AM77" s="76"/>
      <c r="AN77" s="76"/>
      <c r="AO77" s="76"/>
      <c r="AP77" s="76"/>
      <c r="AQ77" s="76"/>
      <c r="AR77" s="76"/>
      <c r="AS77" s="76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  <c r="CM77" s="75"/>
      <c r="CN77" s="75"/>
      <c r="CO77" s="75"/>
      <c r="CP77" s="75"/>
      <c r="CQ77" s="75"/>
      <c r="CR77" s="75"/>
      <c r="CS77" s="75"/>
      <c r="CT77" s="75"/>
      <c r="CU77" s="75"/>
      <c r="CV77" s="75"/>
      <c r="CW77" s="80"/>
      <c r="CX77" s="81"/>
      <c r="CY77" s="81"/>
      <c r="CZ77" s="81"/>
      <c r="DA77" s="75"/>
      <c r="DB77" s="75"/>
      <c r="DC77" s="75"/>
      <c r="DD77" s="75"/>
      <c r="DE77" s="75"/>
      <c r="DF77" s="75"/>
      <c r="DH77" s="80"/>
      <c r="DI77" s="83"/>
    </row>
    <row r="78" spans="2:121" s="74" customFormat="1" ht="8.25" customHeight="1" x14ac:dyDescent="0.2">
      <c r="B78" s="74" t="s">
        <v>448</v>
      </c>
      <c r="C78" s="75" t="s">
        <v>362</v>
      </c>
      <c r="D78" s="75" t="s">
        <v>362</v>
      </c>
      <c r="E78" s="75" t="s">
        <v>362</v>
      </c>
      <c r="F78" s="75" t="s">
        <v>362</v>
      </c>
      <c r="G78" s="76" t="s">
        <v>362</v>
      </c>
      <c r="H78" s="76" t="s">
        <v>362</v>
      </c>
      <c r="I78" s="76" t="s">
        <v>362</v>
      </c>
      <c r="J78" s="76">
        <f t="shared" ref="J78:AK78" si="240">+J42/F42-1</f>
        <v>6.2</v>
      </c>
      <c r="K78" s="76">
        <f t="shared" si="240"/>
        <v>3.0909090909090908</v>
      </c>
      <c r="L78" s="76">
        <f t="shared" si="240"/>
        <v>3.2142857142857144</v>
      </c>
      <c r="M78" s="76">
        <f t="shared" si="240"/>
        <v>2.2727272727272729</v>
      </c>
      <c r="N78" s="76">
        <f t="shared" si="240"/>
        <v>1.75</v>
      </c>
      <c r="O78" s="76">
        <f t="shared" si="240"/>
        <v>1.4</v>
      </c>
      <c r="P78" s="76">
        <f t="shared" si="240"/>
        <v>1.3050847457627119</v>
      </c>
      <c r="Q78" s="76">
        <f t="shared" si="240"/>
        <v>1</v>
      </c>
      <c r="R78" s="76">
        <f t="shared" si="240"/>
        <v>0.54545454545454541</v>
      </c>
      <c r="S78" s="76">
        <f t="shared" si="240"/>
        <v>0.40740740740740744</v>
      </c>
      <c r="T78" s="76">
        <f t="shared" si="240"/>
        <v>0.31617647058823528</v>
      </c>
      <c r="U78" s="76">
        <f t="shared" si="240"/>
        <v>0.32638888888888884</v>
      </c>
      <c r="V78" s="76">
        <f t="shared" si="240"/>
        <v>0.3856209150326797</v>
      </c>
      <c r="W78" s="76">
        <f t="shared" si="240"/>
        <v>0.42105263157894735</v>
      </c>
      <c r="X78" s="76">
        <f t="shared" si="240"/>
        <v>0.24581005586592175</v>
      </c>
      <c r="Y78" s="76">
        <f t="shared" si="240"/>
        <v>0.19371727748691092</v>
      </c>
      <c r="Z78" s="76">
        <f t="shared" si="240"/>
        <v>0.24528301886792447</v>
      </c>
      <c r="AA78" s="76">
        <f t="shared" si="240"/>
        <v>0.27314814814814814</v>
      </c>
      <c r="AB78" s="76">
        <f t="shared" si="240"/>
        <v>0.3094170403587444</v>
      </c>
      <c r="AC78" s="76">
        <f t="shared" si="240"/>
        <v>0.36403508771929816</v>
      </c>
      <c r="AD78" s="76">
        <f t="shared" si="240"/>
        <v>0.20454545454545459</v>
      </c>
      <c r="AE78" s="76">
        <f t="shared" si="240"/>
        <v>0.18181818181818188</v>
      </c>
      <c r="AF78" s="76">
        <f t="shared" si="240"/>
        <v>0.22260273972602729</v>
      </c>
      <c r="AG78" s="76">
        <f t="shared" si="240"/>
        <v>0.112540192926045</v>
      </c>
      <c r="AH78" s="76">
        <f t="shared" si="240"/>
        <v>0.5691823899371069</v>
      </c>
      <c r="AI78" s="76">
        <f t="shared" si="240"/>
        <v>0.12615384615384606</v>
      </c>
      <c r="AJ78" s="76">
        <f t="shared" si="240"/>
        <v>3.9215686274509887E-2</v>
      </c>
      <c r="AK78" s="76">
        <f t="shared" si="240"/>
        <v>9.2485549132947931E-2</v>
      </c>
      <c r="AL78" s="76"/>
      <c r="AM78" s="76"/>
      <c r="AN78" s="76"/>
      <c r="AO78" s="76"/>
      <c r="AP78" s="76"/>
      <c r="AQ78" s="76"/>
      <c r="AR78" s="76"/>
      <c r="AS78" s="76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  <c r="BW78" s="75"/>
      <c r="BX78" s="75"/>
      <c r="BY78" s="75"/>
      <c r="BZ78" s="75"/>
      <c r="CA78" s="75"/>
      <c r="CB78" s="75"/>
      <c r="CC78" s="75"/>
      <c r="CD78" s="75"/>
      <c r="CE78" s="75"/>
      <c r="CF78" s="75"/>
      <c r="CG78" s="75"/>
      <c r="CH78" s="75"/>
      <c r="CI78" s="75"/>
      <c r="CJ78" s="75"/>
      <c r="CK78" s="75"/>
      <c r="CL78" s="75"/>
      <c r="CM78" s="75"/>
      <c r="CN78" s="75"/>
      <c r="CO78" s="75"/>
      <c r="CP78" s="75"/>
      <c r="CQ78" s="75"/>
      <c r="CR78" s="75"/>
      <c r="CS78" s="75"/>
      <c r="CT78" s="75"/>
      <c r="CU78" s="75"/>
      <c r="CV78" s="75"/>
      <c r="CW78" s="80"/>
      <c r="CX78" s="81"/>
      <c r="CY78" s="81"/>
      <c r="CZ78" s="81"/>
      <c r="DA78" s="75"/>
      <c r="DB78" s="75"/>
      <c r="DC78" s="75"/>
      <c r="DD78" s="75"/>
      <c r="DE78" s="75"/>
      <c r="DF78" s="75"/>
      <c r="DH78" s="80"/>
      <c r="DI78" s="83"/>
    </row>
    <row r="79" spans="2:121" s="74" customFormat="1" ht="8.25" customHeight="1" x14ac:dyDescent="0.2">
      <c r="B79" s="74" t="s">
        <v>452</v>
      </c>
      <c r="C79" s="75" t="s">
        <v>362</v>
      </c>
      <c r="D79" s="75" t="s">
        <v>362</v>
      </c>
      <c r="E79" s="75" t="s">
        <v>362</v>
      </c>
      <c r="F79" s="75" t="s">
        <v>362</v>
      </c>
      <c r="G79" s="76">
        <f t="shared" ref="G79:P80" si="241">+G38/C38-1</f>
        <v>0.5862068965517242</v>
      </c>
      <c r="H79" s="76">
        <f t="shared" si="241"/>
        <v>0.75510204081632648</v>
      </c>
      <c r="I79" s="76">
        <f t="shared" si="241"/>
        <v>0.63551401869158886</v>
      </c>
      <c r="J79" s="76">
        <f t="shared" si="241"/>
        <v>0.38016528925619841</v>
      </c>
      <c r="K79" s="76">
        <f t="shared" si="241"/>
        <v>0.15942028985507251</v>
      </c>
      <c r="L79" s="76">
        <f t="shared" si="241"/>
        <v>-5.8139534883720922E-2</v>
      </c>
      <c r="M79" s="76">
        <f t="shared" si="241"/>
        <v>5.7142857142857162E-2</v>
      </c>
      <c r="N79" s="76">
        <f t="shared" si="241"/>
        <v>0.10778443113772451</v>
      </c>
      <c r="O79" s="76">
        <f t="shared" si="241"/>
        <v>0.16874999999999996</v>
      </c>
      <c r="P79" s="76">
        <f t="shared" si="241"/>
        <v>0.20987654320987659</v>
      </c>
      <c r="Q79" s="76">
        <f t="shared" ref="Q79:Z80" si="242">+Q38/M38-1</f>
        <v>-5.4054054054053502E-3</v>
      </c>
      <c r="R79" s="76">
        <f t="shared" si="242"/>
        <v>-1.6216216216216162E-2</v>
      </c>
      <c r="S79" s="76">
        <f t="shared" si="242"/>
        <v>-0.12299465240641716</v>
      </c>
      <c r="T79" s="76">
        <f t="shared" si="242"/>
        <v>-0.11734693877551017</v>
      </c>
      <c r="U79" s="76">
        <f t="shared" si="242"/>
        <v>-2.7173913043478271E-2</v>
      </c>
      <c r="V79" s="76">
        <f t="shared" si="242"/>
        <v>-8.2417582417582458E-2</v>
      </c>
      <c r="W79" s="76">
        <f t="shared" si="242"/>
        <v>1.2195121951219523E-2</v>
      </c>
      <c r="X79" s="76">
        <f t="shared" si="242"/>
        <v>-5.7803468208093012E-3</v>
      </c>
      <c r="Y79" s="76">
        <f t="shared" si="242"/>
        <v>-0.11173184357541899</v>
      </c>
      <c r="Z79" s="76">
        <f t="shared" si="242"/>
        <v>-1.19760479041916E-2</v>
      </c>
      <c r="AA79" s="76">
        <f t="shared" ref="AA79:AJ80" si="243">+AA38/W38-1</f>
        <v>-6.0240963855421326E-3</v>
      </c>
      <c r="AB79" s="76">
        <f t="shared" si="243"/>
        <v>5.8139534883721034E-3</v>
      </c>
      <c r="AC79" s="76">
        <f t="shared" si="243"/>
        <v>8.1761006289308158E-2</v>
      </c>
      <c r="AD79" s="76">
        <f t="shared" si="243"/>
        <v>9.6969696969696928E-2</v>
      </c>
      <c r="AE79" s="76">
        <f t="shared" si="243"/>
        <v>8.4848484848484951E-2</v>
      </c>
      <c r="AF79" s="76">
        <f t="shared" si="243"/>
        <v>3.4682080924855585E-2</v>
      </c>
      <c r="AG79" s="76">
        <f t="shared" si="243"/>
        <v>5.8139534883721034E-3</v>
      </c>
      <c r="AH79" s="76">
        <f t="shared" si="243"/>
        <v>-5.5248618784530357E-2</v>
      </c>
      <c r="AI79" s="76">
        <f t="shared" si="243"/>
        <v>-9.4972067039106101E-2</v>
      </c>
      <c r="AJ79" s="76">
        <f t="shared" si="243"/>
        <v>-4.4692737430167551E-2</v>
      </c>
      <c r="AK79" s="76">
        <f t="shared" ref="AK79:AK80" si="244">+AK38/AG38-1</f>
        <v>5.7803468208092568E-2</v>
      </c>
      <c r="AL79" s="76"/>
      <c r="AM79" s="76"/>
      <c r="AN79" s="76"/>
      <c r="AO79" s="76"/>
      <c r="AP79" s="76"/>
      <c r="AQ79" s="76"/>
      <c r="AR79" s="76"/>
      <c r="AS79" s="76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  <c r="CO79" s="75"/>
      <c r="CP79" s="75"/>
      <c r="CQ79" s="75"/>
      <c r="CR79" s="75"/>
      <c r="CS79" s="75"/>
      <c r="CT79" s="75"/>
      <c r="CU79" s="75"/>
      <c r="CV79" s="75"/>
      <c r="CW79" s="80"/>
      <c r="CX79" s="81"/>
      <c r="CY79" s="81"/>
      <c r="CZ79" s="81"/>
      <c r="DA79" s="75"/>
      <c r="DB79" s="75"/>
      <c r="DC79" s="75"/>
      <c r="DD79" s="75"/>
      <c r="DE79" s="75"/>
      <c r="DF79" s="75"/>
      <c r="DH79" s="80"/>
      <c r="DI79" s="83"/>
    </row>
    <row r="80" spans="2:121" s="74" customFormat="1" ht="8.25" customHeight="1" x14ac:dyDescent="0.2">
      <c r="B80" s="74" t="s">
        <v>453</v>
      </c>
      <c r="C80" s="75" t="s">
        <v>362</v>
      </c>
      <c r="D80" s="75" t="s">
        <v>362</v>
      </c>
      <c r="E80" s="75" t="s">
        <v>362</v>
      </c>
      <c r="F80" s="75" t="s">
        <v>362</v>
      </c>
      <c r="G80" s="76">
        <f t="shared" si="241"/>
        <v>0.50531914893617014</v>
      </c>
      <c r="H80" s="76">
        <f t="shared" si="241"/>
        <v>0.35000000000000009</v>
      </c>
      <c r="I80" s="76">
        <f t="shared" si="241"/>
        <v>0.20384615384615379</v>
      </c>
      <c r="J80" s="76">
        <f t="shared" si="241"/>
        <v>0.6160714285714286</v>
      </c>
      <c r="K80" s="76">
        <f t="shared" si="241"/>
        <v>0.29328621908127217</v>
      </c>
      <c r="L80" s="76">
        <f t="shared" si="241"/>
        <v>0.27160493827160503</v>
      </c>
      <c r="M80" s="76">
        <f t="shared" si="241"/>
        <v>0.34185303514377008</v>
      </c>
      <c r="N80" s="76">
        <f t="shared" si="241"/>
        <v>0.27624309392265189</v>
      </c>
      <c r="O80" s="76">
        <f t="shared" si="241"/>
        <v>0.2404371584699454</v>
      </c>
      <c r="P80" s="76">
        <f t="shared" si="241"/>
        <v>0.28398058252427183</v>
      </c>
      <c r="Q80" s="76">
        <f t="shared" si="242"/>
        <v>0.34285714285714275</v>
      </c>
      <c r="R80" s="76">
        <f t="shared" si="242"/>
        <v>0.31168831168831179</v>
      </c>
      <c r="S80" s="76">
        <f t="shared" si="242"/>
        <v>0.29735682819383258</v>
      </c>
      <c r="T80" s="76">
        <f t="shared" si="242"/>
        <v>0.21550094517958418</v>
      </c>
      <c r="U80" s="76">
        <f t="shared" si="242"/>
        <v>0.15780141843971629</v>
      </c>
      <c r="V80" s="76">
        <f t="shared" si="242"/>
        <v>0.16666666666666674</v>
      </c>
      <c r="W80" s="76">
        <f t="shared" si="242"/>
        <v>4.7538200339558578E-2</v>
      </c>
      <c r="X80" s="76">
        <f t="shared" si="242"/>
        <v>-1.5552099533437058E-2</v>
      </c>
      <c r="Y80" s="76">
        <f t="shared" si="242"/>
        <v>-6.8912710566615631E-2</v>
      </c>
      <c r="Z80" s="76">
        <f t="shared" si="242"/>
        <v>0</v>
      </c>
      <c r="AA80" s="76">
        <f t="shared" si="243"/>
        <v>1.1345218800648205E-2</v>
      </c>
      <c r="AB80" s="76">
        <f t="shared" si="243"/>
        <v>0.11532385466034745</v>
      </c>
      <c r="AC80" s="76">
        <f t="shared" si="243"/>
        <v>0.13651315789473695</v>
      </c>
      <c r="AD80" s="76">
        <f t="shared" si="243"/>
        <v>4.2432814710042344E-2</v>
      </c>
      <c r="AE80" s="76">
        <f t="shared" si="243"/>
        <v>-4.8076923076922906E-3</v>
      </c>
      <c r="AF80" s="76">
        <f t="shared" si="243"/>
        <v>7.0821529745042078E-3</v>
      </c>
      <c r="AG80" s="76">
        <f t="shared" si="243"/>
        <v>-2.1707670043415339E-2</v>
      </c>
      <c r="AH80" s="76">
        <f t="shared" si="243"/>
        <v>0.11126187245590224</v>
      </c>
      <c r="AI80" s="76">
        <f t="shared" si="243"/>
        <v>-0.15942028985507251</v>
      </c>
      <c r="AJ80" s="76">
        <f t="shared" si="243"/>
        <v>-0.20815752461322079</v>
      </c>
      <c r="AK80" s="76">
        <f t="shared" si="244"/>
        <v>-0.15828402366863903</v>
      </c>
      <c r="AL80" s="76"/>
      <c r="AM80" s="76"/>
      <c r="AN80" s="76"/>
      <c r="AO80" s="76"/>
      <c r="AP80" s="76"/>
      <c r="AQ80" s="76"/>
      <c r="AR80" s="76"/>
      <c r="AS80" s="76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5"/>
      <c r="CK80" s="75"/>
      <c r="CL80" s="75"/>
      <c r="CM80" s="75"/>
      <c r="CN80" s="75"/>
      <c r="CO80" s="75"/>
      <c r="CP80" s="75"/>
      <c r="CQ80" s="75"/>
      <c r="CR80" s="75"/>
      <c r="CS80" s="75"/>
      <c r="CT80" s="75"/>
      <c r="CU80" s="75"/>
      <c r="CV80" s="75"/>
      <c r="CW80" s="80"/>
      <c r="CX80" s="81"/>
      <c r="CY80" s="81"/>
      <c r="CZ80" s="81"/>
      <c r="DA80" s="75"/>
      <c r="DB80" s="75"/>
      <c r="DC80" s="75"/>
      <c r="DD80" s="75"/>
      <c r="DE80" s="75"/>
      <c r="DF80" s="75"/>
      <c r="DH80" s="80"/>
      <c r="DI80" s="83"/>
    </row>
    <row r="81" spans="1:118" x14ac:dyDescent="0.2">
      <c r="B81" s="23" t="s">
        <v>454</v>
      </c>
      <c r="C81" s="33" t="s">
        <v>362</v>
      </c>
      <c r="D81" s="33" t="s">
        <v>362</v>
      </c>
      <c r="E81" s="33" t="s">
        <v>362</v>
      </c>
      <c r="F81" s="33" t="s">
        <v>362</v>
      </c>
      <c r="G81" s="33" t="s">
        <v>362</v>
      </c>
      <c r="H81" s="33" t="s">
        <v>362</v>
      </c>
      <c r="I81" s="33" t="s">
        <v>362</v>
      </c>
      <c r="J81" s="33" t="s">
        <v>362</v>
      </c>
      <c r="K81" s="33" t="s">
        <v>362</v>
      </c>
      <c r="L81" s="33" t="s">
        <v>362</v>
      </c>
      <c r="M81" s="41">
        <f t="shared" ref="M81:AK81" si="245">M5/I5-1</f>
        <v>3.1818181818181817</v>
      </c>
      <c r="N81" s="41">
        <f t="shared" si="245"/>
        <v>3</v>
      </c>
      <c r="O81" s="41">
        <f t="shared" si="245"/>
        <v>2.1428571428571428</v>
      </c>
      <c r="P81" s="41">
        <f t="shared" si="245"/>
        <v>1.1714285714285713</v>
      </c>
      <c r="Q81" s="41">
        <f t="shared" si="245"/>
        <v>0.78260869565217384</v>
      </c>
      <c r="R81" s="41">
        <f t="shared" si="245"/>
        <v>0.53571428571428581</v>
      </c>
      <c r="S81" s="41">
        <f t="shared" si="245"/>
        <v>0.33333333333333326</v>
      </c>
      <c r="T81" s="41">
        <f t="shared" si="245"/>
        <v>0.40789473684210531</v>
      </c>
      <c r="U81" s="41">
        <f t="shared" si="245"/>
        <v>0.30487804878048785</v>
      </c>
      <c r="V81" s="41">
        <f t="shared" si="245"/>
        <v>0.38372093023255816</v>
      </c>
      <c r="W81" s="41">
        <f t="shared" si="245"/>
        <v>0.48863636363636354</v>
      </c>
      <c r="X81" s="41">
        <f t="shared" si="245"/>
        <v>0.23364485981308403</v>
      </c>
      <c r="Y81" s="41">
        <f t="shared" si="245"/>
        <v>0.34579439252336441</v>
      </c>
      <c r="Z81" s="41">
        <f t="shared" si="245"/>
        <v>0.42016806722689082</v>
      </c>
      <c r="AA81" s="41">
        <f t="shared" si="245"/>
        <v>0.31297709923664119</v>
      </c>
      <c r="AB81" s="41">
        <f t="shared" si="245"/>
        <v>0.46212121212121215</v>
      </c>
      <c r="AC81" s="41">
        <f t="shared" si="245"/>
        <v>0.46527777777777768</v>
      </c>
      <c r="AD81" s="41">
        <f t="shared" si="245"/>
        <v>0.34319526627218933</v>
      </c>
      <c r="AE81" s="41">
        <f t="shared" si="245"/>
        <v>0.34302325581395343</v>
      </c>
      <c r="AF81" s="41">
        <f t="shared" si="245"/>
        <v>0.26424870466321249</v>
      </c>
      <c r="AG81" s="41">
        <f t="shared" si="245"/>
        <v>0.24644549763033186</v>
      </c>
      <c r="AH81" s="41">
        <f t="shared" si="245"/>
        <v>0.23788546255506615</v>
      </c>
      <c r="AI81" s="41">
        <f t="shared" si="245"/>
        <v>0.24242424242424243</v>
      </c>
      <c r="AJ81" s="41">
        <f t="shared" si="245"/>
        <v>0.27868852459016402</v>
      </c>
      <c r="AK81" s="41">
        <f t="shared" si="245"/>
        <v>0.20152091254752857</v>
      </c>
      <c r="AL81" s="41"/>
      <c r="AM81" s="41"/>
      <c r="AN81" s="41"/>
      <c r="AO81" s="41"/>
      <c r="AP81" s="41"/>
      <c r="AQ81" s="41"/>
      <c r="AR81" s="41"/>
      <c r="AS81" s="41"/>
      <c r="CW81" s="37"/>
    </row>
    <row r="82" spans="1:118" x14ac:dyDescent="0.2">
      <c r="B82" s="23" t="s">
        <v>455</v>
      </c>
      <c r="C82" s="33" t="s">
        <v>362</v>
      </c>
      <c r="D82" s="33" t="s">
        <v>362</v>
      </c>
      <c r="E82" s="33" t="s">
        <v>362</v>
      </c>
      <c r="F82" s="33" t="s">
        <v>362</v>
      </c>
      <c r="G82" s="33" t="s">
        <v>362</v>
      </c>
      <c r="H82" s="33" t="s">
        <v>362</v>
      </c>
      <c r="I82" s="33" t="s">
        <v>362</v>
      </c>
      <c r="J82" s="33" t="s">
        <v>362</v>
      </c>
      <c r="K82" s="33" t="s">
        <v>362</v>
      </c>
      <c r="L82" s="33" t="s">
        <v>362</v>
      </c>
      <c r="M82" s="41" t="s">
        <v>362</v>
      </c>
      <c r="N82" s="41" t="s">
        <v>362</v>
      </c>
      <c r="O82" s="41" t="s">
        <v>362</v>
      </c>
      <c r="P82" s="41" t="s">
        <v>362</v>
      </c>
      <c r="Q82" s="41" t="s">
        <v>362</v>
      </c>
      <c r="R82" s="41" t="s">
        <v>362</v>
      </c>
      <c r="S82" s="41" t="s">
        <v>362</v>
      </c>
      <c r="T82" s="41" t="s">
        <v>362</v>
      </c>
      <c r="U82" s="41" t="s">
        <v>362</v>
      </c>
      <c r="V82" s="41" t="s">
        <v>362</v>
      </c>
      <c r="W82" s="41" t="s">
        <v>362</v>
      </c>
      <c r="X82" s="41" t="s">
        <v>362</v>
      </c>
      <c r="Y82" s="41" t="s">
        <v>362</v>
      </c>
      <c r="Z82" s="41">
        <f t="shared" ref="Z82:AK82" si="246">Z34/V34-1</f>
        <v>17.25</v>
      </c>
      <c r="AA82" s="41">
        <f t="shared" si="246"/>
        <v>7.1</v>
      </c>
      <c r="AB82" s="41">
        <f t="shared" si="246"/>
        <v>3</v>
      </c>
      <c r="AC82" s="41">
        <f t="shared" si="246"/>
        <v>1.7021276595744679</v>
      </c>
      <c r="AD82" s="41">
        <f t="shared" si="246"/>
        <v>1.095890410958904</v>
      </c>
      <c r="AE82" s="41">
        <f t="shared" si="246"/>
        <v>0.98765432098765427</v>
      </c>
      <c r="AF82" s="41">
        <f t="shared" si="246"/>
        <v>0.53571428571428581</v>
      </c>
      <c r="AG82" s="41">
        <f t="shared" si="246"/>
        <v>0.40157480314960625</v>
      </c>
      <c r="AH82" s="41">
        <f t="shared" si="246"/>
        <v>0.29411764705882359</v>
      </c>
      <c r="AI82" s="41">
        <f t="shared" si="246"/>
        <v>0.25465838509316763</v>
      </c>
      <c r="AJ82" s="41">
        <f t="shared" si="246"/>
        <v>0.39534883720930236</v>
      </c>
      <c r="AK82" s="41">
        <f t="shared" si="246"/>
        <v>0.18539325842696619</v>
      </c>
      <c r="AL82" s="41"/>
      <c r="AM82" s="41"/>
      <c r="AN82" s="41"/>
      <c r="AO82" s="41"/>
      <c r="AP82" s="41"/>
      <c r="AQ82" s="41"/>
      <c r="AR82" s="41"/>
      <c r="AS82" s="41"/>
      <c r="CW82" s="37"/>
    </row>
    <row r="83" spans="1:118" x14ac:dyDescent="0.2">
      <c r="B83" s="23"/>
      <c r="G83" s="41"/>
      <c r="H83" s="41"/>
      <c r="I83" s="41"/>
      <c r="J83" s="41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CW83" s="37"/>
    </row>
    <row r="84" spans="1:118" x14ac:dyDescent="0.2">
      <c r="B84" s="1" t="s">
        <v>166</v>
      </c>
      <c r="C84" s="39">
        <f t="shared" ref="C84:AF84" si="247">C54/C52</f>
        <v>0.7860050093926112</v>
      </c>
      <c r="D84" s="39">
        <f t="shared" si="247"/>
        <v>0.79144986640416259</v>
      </c>
      <c r="E84" s="39">
        <f t="shared" si="247"/>
        <v>0.78479175736467854</v>
      </c>
      <c r="F84" s="39">
        <f t="shared" si="247"/>
        <v>0.7823714012825761</v>
      </c>
      <c r="G84" s="39">
        <f t="shared" si="247"/>
        <v>0.78398946290062932</v>
      </c>
      <c r="H84" s="39">
        <f t="shared" si="247"/>
        <v>0.78069930069930071</v>
      </c>
      <c r="I84" s="39">
        <f t="shared" si="247"/>
        <v>0.74530598052851182</v>
      </c>
      <c r="J84" s="39">
        <f t="shared" si="247"/>
        <v>0.75062567036110117</v>
      </c>
      <c r="K84" s="39">
        <f t="shared" si="247"/>
        <v>0.78218465539661897</v>
      </c>
      <c r="L84" s="39">
        <f t="shared" si="247"/>
        <v>0.78155408263996617</v>
      </c>
      <c r="M84" s="39">
        <f t="shared" si="247"/>
        <v>0.79337579617834397</v>
      </c>
      <c r="N84" s="39">
        <f t="shared" si="247"/>
        <v>0.78600871511011661</v>
      </c>
      <c r="O84" s="39">
        <f t="shared" si="247"/>
        <v>0.79638731875153601</v>
      </c>
      <c r="P84" s="39">
        <f t="shared" si="247"/>
        <v>0.80850558327393685</v>
      </c>
      <c r="Q84" s="39">
        <f t="shared" si="247"/>
        <v>0.81573426573426577</v>
      </c>
      <c r="R84" s="39">
        <f t="shared" si="247"/>
        <v>0</v>
      </c>
      <c r="S84" s="39">
        <f t="shared" si="247"/>
        <v>0.82965641952983726</v>
      </c>
      <c r="T84" s="39">
        <f t="shared" si="247"/>
        <v>0.83589801190609903</v>
      </c>
      <c r="U84" s="39">
        <f t="shared" si="247"/>
        <v>0.82827616534740545</v>
      </c>
      <c r="V84" s="39">
        <f t="shared" si="247"/>
        <v>0.83815224757171902</v>
      </c>
      <c r="W84" s="39">
        <f t="shared" si="247"/>
        <v>0.72831287705429582</v>
      </c>
      <c r="X84" s="39">
        <f t="shared" si="247"/>
        <v>0.84932153392330378</v>
      </c>
      <c r="Y84" s="39">
        <f t="shared" si="247"/>
        <v>0.73322217590662775</v>
      </c>
      <c r="Z84" s="39">
        <f t="shared" si="247"/>
        <v>0.72334181177851697</v>
      </c>
      <c r="AA84" s="55">
        <f t="shared" si="247"/>
        <v>0.73198962282977453</v>
      </c>
      <c r="AB84" s="39">
        <f t="shared" si="247"/>
        <v>0.72745675377254326</v>
      </c>
      <c r="AC84" s="39">
        <f t="shared" si="247"/>
        <v>0.73676333021515439</v>
      </c>
      <c r="AD84" s="39">
        <f t="shared" si="247"/>
        <v>0.74935826916024939</v>
      </c>
      <c r="AE84" s="39">
        <f t="shared" si="247"/>
        <v>0.7518567891830128</v>
      </c>
      <c r="AF84" s="39">
        <f t="shared" si="247"/>
        <v>0.71978392977717753</v>
      </c>
      <c r="AG84" s="39">
        <v>0.73</v>
      </c>
      <c r="AH84" s="39">
        <v>0.73</v>
      </c>
      <c r="AI84" s="39">
        <v>0.73</v>
      </c>
      <c r="AJ84" s="39">
        <v>0.73</v>
      </c>
      <c r="AK84" s="39">
        <v>0.73</v>
      </c>
      <c r="AL84" s="39"/>
      <c r="AM84" s="39"/>
      <c r="AN84" s="39"/>
      <c r="AO84" s="39"/>
      <c r="AP84" s="39"/>
      <c r="AQ84" s="39"/>
      <c r="AR84" s="39"/>
      <c r="AS84" s="39"/>
      <c r="BK84" s="57">
        <f t="shared" ref="BK84:BS84" si="248">+BK54/BK52</f>
        <v>0.79371115851961782</v>
      </c>
      <c r="BL84" s="57">
        <f t="shared" si="248"/>
        <v>0.73353736795340108</v>
      </c>
      <c r="BM84" s="57">
        <f t="shared" si="248"/>
        <v>0.7626185958254269</v>
      </c>
      <c r="BN84" s="57">
        <f t="shared" si="248"/>
        <v>0.79806649801228768</v>
      </c>
      <c r="BO84" s="57">
        <f t="shared" si="248"/>
        <v>0.78108913573557304</v>
      </c>
      <c r="BP84" s="57">
        <f t="shared" si="248"/>
        <v>0.79808596086473549</v>
      </c>
      <c r="BQ84" s="57">
        <f t="shared" si="248"/>
        <v>0.80290777701307636</v>
      </c>
      <c r="BR84" s="57">
        <f t="shared" si="248"/>
        <v>0.80342094284522314</v>
      </c>
      <c r="BS84" s="57">
        <f t="shared" si="248"/>
        <v>0.79232486263736268</v>
      </c>
      <c r="BT84" s="57">
        <f>+BT54/BT52</f>
        <v>0.78337679818288886</v>
      </c>
      <c r="BU84" s="57">
        <f t="shared" ref="BU84:BZ84" si="249">+BU54/BU52</f>
        <v>0.79</v>
      </c>
      <c r="BV84" s="57">
        <f t="shared" si="249"/>
        <v>0.78999999999999992</v>
      </c>
      <c r="BW84" s="57">
        <f t="shared" si="249"/>
        <v>0.79000000000000015</v>
      </c>
      <c r="BX84" s="57">
        <f t="shared" si="249"/>
        <v>0.79</v>
      </c>
      <c r="BY84" s="57">
        <f t="shared" si="249"/>
        <v>0.78999999999999992</v>
      </c>
      <c r="BZ84" s="57">
        <f t="shared" si="249"/>
        <v>0.78999999999999992</v>
      </c>
      <c r="CD84" s="39">
        <f>CD54/CD52</f>
        <v>0.71811611098158079</v>
      </c>
      <c r="CE84" s="39">
        <f>CE54/CE52</f>
        <v>0.72641412585976795</v>
      </c>
      <c r="CF84" s="39">
        <f>CF54/CF52</f>
        <v>0.74297606659729454</v>
      </c>
      <c r="CG84" s="39">
        <f>CG54/CG52</f>
        <v>0.74390462531373247</v>
      </c>
      <c r="CH84" s="39">
        <f>CH54/CH52</f>
        <v>0.73460089371769033</v>
      </c>
      <c r="CI84" s="39"/>
      <c r="CJ84" s="39"/>
      <c r="CK84" s="39"/>
      <c r="CL84" s="39"/>
      <c r="CM84" s="39"/>
      <c r="CN84" s="39"/>
      <c r="CO84" s="39"/>
      <c r="CP84" s="39"/>
      <c r="CQ84" s="39">
        <f t="shared" ref="CQ84:CX84" si="250">CQ54/CQ52</f>
        <v>0</v>
      </c>
      <c r="CR84" s="39">
        <f t="shared" si="250"/>
        <v>0</v>
      </c>
      <c r="CS84" s="39">
        <f t="shared" si="250"/>
        <v>0</v>
      </c>
      <c r="CT84" s="39">
        <f t="shared" si="250"/>
        <v>0</v>
      </c>
      <c r="CU84" s="39">
        <f t="shared" si="250"/>
        <v>0</v>
      </c>
      <c r="CV84" s="39">
        <f t="shared" si="250"/>
        <v>0.68</v>
      </c>
      <c r="CW84" s="39">
        <f t="shared" si="250"/>
        <v>0.60079964460239899</v>
      </c>
      <c r="CX84" s="55">
        <f t="shared" si="250"/>
        <v>0.8330203710026175</v>
      </c>
      <c r="CY84" s="55">
        <v>0.73</v>
      </c>
      <c r="CZ84" s="55">
        <f>CZ54/CZ52</f>
        <v>0.73649030314441721</v>
      </c>
      <c r="DA84" s="39">
        <v>0.73</v>
      </c>
      <c r="DB84" s="39">
        <v>0.73</v>
      </c>
      <c r="DC84" s="39">
        <v>0.73</v>
      </c>
      <c r="DD84" s="39">
        <v>0.73</v>
      </c>
      <c r="DE84" s="39">
        <v>0.74</v>
      </c>
      <c r="DF84" s="39">
        <v>0.75</v>
      </c>
      <c r="DG84" s="39">
        <v>0.75</v>
      </c>
      <c r="DH84" s="39">
        <v>0.75</v>
      </c>
      <c r="DI84" s="39">
        <v>0.75</v>
      </c>
      <c r="DJ84" s="39">
        <v>0.75</v>
      </c>
      <c r="DK84" s="39">
        <v>0.75</v>
      </c>
      <c r="DL84" s="39">
        <v>0.75</v>
      </c>
      <c r="DM84" s="39">
        <v>0.75</v>
      </c>
      <c r="DN84" s="39">
        <v>0.75</v>
      </c>
    </row>
    <row r="85" spans="1:118" x14ac:dyDescent="0.2">
      <c r="B85" s="23" t="s">
        <v>374</v>
      </c>
      <c r="C85" s="39"/>
      <c r="D85" s="39"/>
      <c r="E85" s="39"/>
      <c r="F85" s="39"/>
      <c r="G85" s="39"/>
      <c r="H85" s="39"/>
      <c r="I85" s="39"/>
      <c r="J85" s="39"/>
      <c r="K85" s="39">
        <f t="shared" ref="K85:AK85" si="251">+K55/K52</f>
        <v>0.18416775032509752</v>
      </c>
      <c r="L85" s="39">
        <f t="shared" si="251"/>
        <v>0.17049781413058807</v>
      </c>
      <c r="M85" s="39">
        <f t="shared" si="251"/>
        <v>0.15464968152866243</v>
      </c>
      <c r="N85" s="39">
        <f t="shared" si="251"/>
        <v>0.15816747144034859</v>
      </c>
      <c r="O85" s="39">
        <f t="shared" si="251"/>
        <v>0.1502826247235193</v>
      </c>
      <c r="P85" s="39">
        <f t="shared" si="251"/>
        <v>0.13578047042052743</v>
      </c>
      <c r="Q85" s="39">
        <f t="shared" si="251"/>
        <v>0.13648018648018648</v>
      </c>
      <c r="R85" s="39">
        <f t="shared" si="251"/>
        <v>0.13570518020628114</v>
      </c>
      <c r="S85" s="39">
        <f t="shared" si="251"/>
        <v>0.12827004219409283</v>
      </c>
      <c r="T85" s="39">
        <f t="shared" si="251"/>
        <v>0.12097045939570931</v>
      </c>
      <c r="U85" s="39">
        <f t="shared" si="251"/>
        <v>0.12280123131046614</v>
      </c>
      <c r="V85" s="39">
        <f t="shared" si="251"/>
        <v>0.13214366388073187</v>
      </c>
      <c r="W85" s="39">
        <f t="shared" si="251"/>
        <v>0.18722696068233827</v>
      </c>
      <c r="X85" s="39">
        <f t="shared" si="251"/>
        <v>0.10548672566371682</v>
      </c>
      <c r="Y85" s="39">
        <f t="shared" si="251"/>
        <v>0.18591079616506878</v>
      </c>
      <c r="Z85" s="39">
        <f t="shared" si="251"/>
        <v>0.19565642731363725</v>
      </c>
      <c r="AA85" s="55">
        <f t="shared" si="251"/>
        <v>0.18519257633206945</v>
      </c>
      <c r="AB85" s="39">
        <f t="shared" si="251"/>
        <v>0.19138755980861244</v>
      </c>
      <c r="AC85" s="39">
        <f t="shared" si="251"/>
        <v>0.19064546304957905</v>
      </c>
      <c r="AD85" s="39">
        <f t="shared" si="251"/>
        <v>0.22295562889622295</v>
      </c>
      <c r="AE85" s="39">
        <f t="shared" si="251"/>
        <v>0.19082079603884974</v>
      </c>
      <c r="AF85" s="39">
        <f t="shared" si="251"/>
        <v>0.22597344136844474</v>
      </c>
      <c r="AG85" s="39">
        <f t="shared" si="251"/>
        <v>0.77649892933618847</v>
      </c>
      <c r="AH85" s="39">
        <f t="shared" si="251"/>
        <v>0.27272727272727271</v>
      </c>
      <c r="AI85" s="39">
        <f t="shared" si="251"/>
        <v>0.25946228138867139</v>
      </c>
      <c r="AJ85" s="39">
        <f t="shared" si="251"/>
        <v>0.2574110671936759</v>
      </c>
      <c r="AK85" s="39">
        <f t="shared" si="251"/>
        <v>0.24108241082410825</v>
      </c>
      <c r="AL85" s="39"/>
      <c r="AM85" s="39"/>
      <c r="AN85" s="39"/>
      <c r="AO85" s="39"/>
      <c r="AP85" s="39"/>
      <c r="AQ85" s="39"/>
      <c r="AR85" s="39"/>
      <c r="AS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55">
        <f t="shared" ref="CX85:DN85" si="252">CX55/CX52</f>
        <v>0.12598156367360874</v>
      </c>
      <c r="CY85" s="55">
        <f t="shared" si="252"/>
        <v>0.1589409684791514</v>
      </c>
      <c r="CZ85" s="55">
        <f t="shared" si="252"/>
        <v>0.19784409715684428</v>
      </c>
      <c r="DA85" s="39">
        <f t="shared" si="252"/>
        <v>0.22725384177575411</v>
      </c>
      <c r="DB85" s="39">
        <f t="shared" si="252"/>
        <v>0.28388765609037803</v>
      </c>
      <c r="DC85" s="39">
        <f t="shared" si="252"/>
        <v>0.28204272850367079</v>
      </c>
      <c r="DD85" s="39">
        <f t="shared" si="252"/>
        <v>0.26104469891022958</v>
      </c>
      <c r="DE85" s="39">
        <f t="shared" si="252"/>
        <v>0.28286629935014079</v>
      </c>
      <c r="DF85" s="39">
        <f t="shared" si="252"/>
        <v>0.15857337655980985</v>
      </c>
      <c r="DG85" s="39">
        <f t="shared" si="252"/>
        <v>2.8450947725749076E-2</v>
      </c>
      <c r="DH85" s="39">
        <f t="shared" si="252"/>
        <v>1.2275422291845953E-2</v>
      </c>
      <c r="DI85" s="39">
        <f t="shared" si="252"/>
        <v>0</v>
      </c>
      <c r="DJ85" s="39">
        <f t="shared" si="252"/>
        <v>0</v>
      </c>
      <c r="DK85" s="39">
        <f t="shared" si="252"/>
        <v>0</v>
      </c>
      <c r="DL85" s="39">
        <f t="shared" si="252"/>
        <v>0</v>
      </c>
      <c r="DM85" s="39">
        <f t="shared" si="252"/>
        <v>0</v>
      </c>
      <c r="DN85" s="39">
        <f t="shared" si="252"/>
        <v>0</v>
      </c>
    </row>
    <row r="86" spans="1:118" x14ac:dyDescent="0.2">
      <c r="B86" s="23" t="s">
        <v>375</v>
      </c>
      <c r="C86" s="39"/>
      <c r="D86" s="39"/>
      <c r="E86" s="39"/>
      <c r="F86" s="39"/>
      <c r="G86" s="39"/>
      <c r="H86" s="39"/>
      <c r="I86" s="39"/>
      <c r="J86" s="39"/>
      <c r="K86" s="39">
        <f t="shared" ref="K86:AK86" si="253">+K56/K52</f>
        <v>4.3563068920676205E-2</v>
      </c>
      <c r="L86" s="39">
        <f t="shared" si="253"/>
        <v>5.1896770554223662E-2</v>
      </c>
      <c r="M86" s="39">
        <f t="shared" si="253"/>
        <v>4.4713375796178345E-2</v>
      </c>
      <c r="N86" s="39">
        <f t="shared" si="253"/>
        <v>5.688375927452597E-2</v>
      </c>
      <c r="O86" s="39">
        <f t="shared" si="253"/>
        <v>4.0550503809289755E-2</v>
      </c>
      <c r="P86" s="39">
        <f t="shared" si="253"/>
        <v>4.9893086243763367E-2</v>
      </c>
      <c r="Q86" s="39">
        <f t="shared" si="253"/>
        <v>4.2191142191142193E-2</v>
      </c>
      <c r="R86" s="39">
        <f t="shared" si="253"/>
        <v>4.1951558697415695E-2</v>
      </c>
      <c r="S86" s="39">
        <f t="shared" si="253"/>
        <v>3.9059674502712478E-2</v>
      </c>
      <c r="T86" s="39">
        <f t="shared" si="253"/>
        <v>4.4928675727282937E-2</v>
      </c>
      <c r="U86" s="39">
        <f t="shared" si="253"/>
        <v>3.9687774846086189E-2</v>
      </c>
      <c r="V86" s="39">
        <f t="shared" si="253"/>
        <v>3.7723063022362772E-2</v>
      </c>
      <c r="W86" s="39">
        <f t="shared" si="253"/>
        <v>4.4102350738506345E-2</v>
      </c>
      <c r="X86" s="39">
        <f t="shared" si="253"/>
        <v>3.103244837758112E-2</v>
      </c>
      <c r="Y86" s="39">
        <f t="shared" si="253"/>
        <v>4.8145060441850768E-2</v>
      </c>
      <c r="Z86" s="39">
        <f t="shared" si="253"/>
        <v>5.3022891801995695E-2</v>
      </c>
      <c r="AA86" s="55">
        <f t="shared" si="253"/>
        <v>4.2706046697266013E-2</v>
      </c>
      <c r="AB86" s="39">
        <f t="shared" si="253"/>
        <v>4.6558704453441298E-2</v>
      </c>
      <c r="AC86" s="39">
        <f t="shared" si="253"/>
        <v>3.8353601496725911E-2</v>
      </c>
      <c r="AD86" s="39">
        <f t="shared" si="253"/>
        <v>5.2255225522552254E-2</v>
      </c>
      <c r="AE86" s="39">
        <f t="shared" si="253"/>
        <v>3.6945343744048752E-2</v>
      </c>
      <c r="AF86" s="39">
        <f t="shared" si="253"/>
        <v>5.0416385325230698E-2</v>
      </c>
      <c r="AG86" s="39">
        <f t="shared" si="253"/>
        <v>4.470021413276231E-2</v>
      </c>
      <c r="AH86" s="39">
        <f t="shared" si="253"/>
        <v>5.0584586017656884E-2</v>
      </c>
      <c r="AI86" s="39">
        <f t="shared" si="253"/>
        <v>4.9334377447141739E-2</v>
      </c>
      <c r="AJ86" s="39">
        <f t="shared" si="253"/>
        <v>5.3853754940711464E-2</v>
      </c>
      <c r="AK86" s="39">
        <f t="shared" si="253"/>
        <v>4.7724477244772447E-2</v>
      </c>
      <c r="AL86" s="39"/>
      <c r="AM86" s="39"/>
      <c r="AN86" s="39"/>
      <c r="AO86" s="39"/>
      <c r="AP86" s="39"/>
      <c r="AQ86" s="39"/>
      <c r="AR86" s="39"/>
      <c r="AS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55">
        <f t="shared" ref="CX86:DN86" si="254">CX56/CX52</f>
        <v>4.0372140662342099E-2</v>
      </c>
      <c r="CY86" s="55">
        <f t="shared" si="254"/>
        <v>4.2128411883920483E-2</v>
      </c>
      <c r="CZ86" s="55">
        <f t="shared" si="254"/>
        <v>4.5048013556768969E-2</v>
      </c>
      <c r="DA86" s="39">
        <f t="shared" si="254"/>
        <v>6.0000000000000005E-2</v>
      </c>
      <c r="DB86" s="39">
        <f t="shared" si="254"/>
        <v>0.06</v>
      </c>
      <c r="DC86" s="39">
        <f t="shared" si="254"/>
        <v>0.06</v>
      </c>
      <c r="DD86" s="39">
        <f t="shared" si="254"/>
        <v>0.06</v>
      </c>
      <c r="DE86" s="39">
        <f t="shared" si="254"/>
        <v>0.06</v>
      </c>
      <c r="DF86" s="39">
        <f t="shared" si="254"/>
        <v>0.06</v>
      </c>
      <c r="DG86" s="39">
        <f t="shared" si="254"/>
        <v>5.9999999999999991E-2</v>
      </c>
      <c r="DH86" s="39">
        <f t="shared" si="254"/>
        <v>6.0000000000000005E-2</v>
      </c>
      <c r="DI86" s="39">
        <f t="shared" si="254"/>
        <v>0</v>
      </c>
      <c r="DJ86" s="39">
        <f t="shared" si="254"/>
        <v>0</v>
      </c>
      <c r="DK86" s="39">
        <f t="shared" si="254"/>
        <v>0</v>
      </c>
      <c r="DL86" s="39">
        <f t="shared" si="254"/>
        <v>0</v>
      </c>
      <c r="DM86" s="39">
        <f t="shared" si="254"/>
        <v>0</v>
      </c>
      <c r="DN86" s="39">
        <f t="shared" si="254"/>
        <v>0</v>
      </c>
    </row>
    <row r="87" spans="1:118" x14ac:dyDescent="0.2">
      <c r="B87" s="23" t="s">
        <v>376</v>
      </c>
      <c r="C87" s="39"/>
      <c r="D87" s="39"/>
      <c r="E87" s="39"/>
      <c r="F87" s="39"/>
      <c r="G87" s="39"/>
      <c r="H87" s="39"/>
      <c r="I87" s="39"/>
      <c r="J87" s="39"/>
      <c r="K87" s="39">
        <f t="shared" ref="K87:AK87" si="255">+K57/K52</f>
        <v>0.12857607282184655</v>
      </c>
      <c r="L87" s="39">
        <f t="shared" si="255"/>
        <v>0.10971654209561416</v>
      </c>
      <c r="M87" s="39">
        <f t="shared" si="255"/>
        <v>0.10535031847133758</v>
      </c>
      <c r="N87" s="39">
        <f t="shared" si="255"/>
        <v>0.10693675656577553</v>
      </c>
      <c r="O87" s="39">
        <f t="shared" si="255"/>
        <v>9.7689850086016217E-2</v>
      </c>
      <c r="P87" s="39">
        <f t="shared" si="255"/>
        <v>9.4440484675694936E-2</v>
      </c>
      <c r="Q87" s="39">
        <f t="shared" si="255"/>
        <v>9.289044289044289E-2</v>
      </c>
      <c r="R87" s="39">
        <f t="shared" si="255"/>
        <v>9.2362962104531238E-2</v>
      </c>
      <c r="S87" s="39">
        <f t="shared" si="255"/>
        <v>0.11127185051235684</v>
      </c>
      <c r="T87" s="39">
        <f t="shared" si="255"/>
        <v>9.3114680444793888E-2</v>
      </c>
      <c r="U87" s="39">
        <f t="shared" si="255"/>
        <v>9.2128408091468772E-2</v>
      </c>
      <c r="V87" s="39">
        <f t="shared" si="255"/>
        <v>0.12514117912807771</v>
      </c>
      <c r="W87" s="39">
        <f t="shared" si="255"/>
        <v>0.18930726024547534</v>
      </c>
      <c r="X87" s="39">
        <f t="shared" si="255"/>
        <v>9.6991150442477872E-2</v>
      </c>
      <c r="Y87" s="39">
        <f t="shared" si="255"/>
        <v>0.17173822426010837</v>
      </c>
      <c r="Z87" s="39">
        <f t="shared" si="255"/>
        <v>0.19761299158677362</v>
      </c>
      <c r="AA87" s="55">
        <f t="shared" si="255"/>
        <v>0.18658950309319497</v>
      </c>
      <c r="AB87" s="39">
        <f t="shared" si="255"/>
        <v>0.16985645933014354</v>
      </c>
      <c r="AC87" s="39">
        <f t="shared" si="255"/>
        <v>0.18203928905519176</v>
      </c>
      <c r="AD87" s="39">
        <f t="shared" si="255"/>
        <v>0.18481848184818481</v>
      </c>
      <c r="AE87" s="39">
        <f t="shared" si="255"/>
        <v>0.1731098838316511</v>
      </c>
      <c r="AF87" s="39">
        <f t="shared" si="255"/>
        <v>0.216520369119964</v>
      </c>
      <c r="AG87" s="39">
        <f t="shared" si="255"/>
        <v>0.25455032119914345</v>
      </c>
      <c r="AH87" s="39">
        <f t="shared" si="255"/>
        <v>0.2581722739203054</v>
      </c>
      <c r="AI87" s="39">
        <f t="shared" si="255"/>
        <v>0.2427564604541895</v>
      </c>
      <c r="AJ87" s="39">
        <f t="shared" si="255"/>
        <v>0.2349308300395257</v>
      </c>
      <c r="AK87" s="39">
        <f t="shared" si="255"/>
        <v>0.21968019680196801</v>
      </c>
      <c r="AL87" s="39"/>
      <c r="AM87" s="39"/>
      <c r="AN87" s="39"/>
      <c r="AO87" s="39"/>
      <c r="AP87" s="39"/>
      <c r="AQ87" s="39"/>
      <c r="AR87" s="39"/>
      <c r="AS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55"/>
      <c r="CY87" s="55"/>
      <c r="CZ87" s="55">
        <f t="shared" ref="CZ87:DN87" si="256">+CZ57/CZ52</f>
        <v>0.18070984748634908</v>
      </c>
      <c r="DA87" s="39">
        <f t="shared" si="256"/>
        <v>0</v>
      </c>
      <c r="DB87" s="39">
        <f t="shared" si="256"/>
        <v>0</v>
      </c>
      <c r="DC87" s="39">
        <f t="shared" si="256"/>
        <v>0</v>
      </c>
      <c r="DD87" s="39">
        <f t="shared" si="256"/>
        <v>0</v>
      </c>
      <c r="DE87" s="39">
        <f t="shared" si="256"/>
        <v>0</v>
      </c>
      <c r="DF87" s="39">
        <f t="shared" si="256"/>
        <v>0</v>
      </c>
      <c r="DG87" s="39">
        <f t="shared" si="256"/>
        <v>0</v>
      </c>
      <c r="DH87" s="39">
        <f t="shared" si="256"/>
        <v>0</v>
      </c>
      <c r="DI87" s="39">
        <f t="shared" si="256"/>
        <v>0</v>
      </c>
      <c r="DJ87" s="39">
        <f t="shared" si="256"/>
        <v>0</v>
      </c>
      <c r="DK87" s="39">
        <f t="shared" si="256"/>
        <v>0</v>
      </c>
      <c r="DL87" s="39">
        <f t="shared" si="256"/>
        <v>0</v>
      </c>
      <c r="DM87" s="39">
        <f t="shared" si="256"/>
        <v>0</v>
      </c>
      <c r="DN87" s="39">
        <f t="shared" si="256"/>
        <v>0</v>
      </c>
    </row>
    <row r="88" spans="1:118" x14ac:dyDescent="0.2">
      <c r="B88" s="23" t="s">
        <v>395</v>
      </c>
      <c r="C88" s="39"/>
      <c r="D88" s="39"/>
      <c r="E88" s="39"/>
      <c r="F88" s="39"/>
      <c r="G88" s="39"/>
      <c r="H88" s="39"/>
      <c r="I88" s="39"/>
      <c r="J88" s="39"/>
      <c r="K88" s="39">
        <f t="shared" ref="K88:AK88" si="257">+K59/K52</f>
        <v>0.42587776332899868</v>
      </c>
      <c r="L88" s="39">
        <f t="shared" si="257"/>
        <v>0.44944295585954025</v>
      </c>
      <c r="M88" s="39">
        <f t="shared" si="257"/>
        <v>0.48866242038216562</v>
      </c>
      <c r="N88" s="39">
        <f t="shared" si="257"/>
        <v>0.46402072782946652</v>
      </c>
      <c r="O88" s="39">
        <f t="shared" si="257"/>
        <v>0.50786434013271076</v>
      </c>
      <c r="P88" s="39">
        <f t="shared" si="257"/>
        <v>0.5283915419339511</v>
      </c>
      <c r="Q88" s="39">
        <f t="shared" si="257"/>
        <v>0.54417249417249414</v>
      </c>
      <c r="R88" s="39">
        <f t="shared" si="257"/>
        <v>-0.27001970100822809</v>
      </c>
      <c r="S88" s="39">
        <f t="shared" si="257"/>
        <v>0.55105485232067508</v>
      </c>
      <c r="T88" s="39">
        <f t="shared" si="257"/>
        <v>0.57688419633831289</v>
      </c>
      <c r="U88" s="39">
        <f t="shared" si="257"/>
        <v>0.57365875109938436</v>
      </c>
      <c r="V88" s="39">
        <f t="shared" si="257"/>
        <v>0.54314434154054669</v>
      </c>
      <c r="W88" s="39">
        <f t="shared" si="257"/>
        <v>0.30767630538797586</v>
      </c>
      <c r="X88" s="39">
        <f t="shared" si="257"/>
        <v>0.61581120943952805</v>
      </c>
      <c r="Y88" s="39">
        <f t="shared" si="257"/>
        <v>0.32742809503959985</v>
      </c>
      <c r="Z88" s="39">
        <f t="shared" si="257"/>
        <v>0.27704950107611037</v>
      </c>
      <c r="AA88" s="55">
        <f t="shared" si="257"/>
        <v>0.31750149670724409</v>
      </c>
      <c r="AB88" s="39">
        <f t="shared" si="257"/>
        <v>0.31965403018034599</v>
      </c>
      <c r="AC88" s="39">
        <f t="shared" si="257"/>
        <v>0.32572497661365762</v>
      </c>
      <c r="AD88" s="39">
        <f t="shared" si="257"/>
        <v>0.28932893289328931</v>
      </c>
      <c r="AE88" s="39">
        <f t="shared" si="257"/>
        <v>0.35098076556846314</v>
      </c>
      <c r="AF88" s="39">
        <f t="shared" si="257"/>
        <v>0.22687373396353816</v>
      </c>
      <c r="AG88" s="39">
        <f t="shared" si="257"/>
        <v>-0.33993576017130622</v>
      </c>
      <c r="AH88" s="39">
        <f t="shared" si="257"/>
        <v>0.16201383917919351</v>
      </c>
      <c r="AI88" s="39">
        <f t="shared" si="257"/>
        <v>0.17097363612633776</v>
      </c>
      <c r="AJ88" s="39">
        <f t="shared" si="257"/>
        <v>0.1800889328063241</v>
      </c>
      <c r="AK88" s="39">
        <f t="shared" si="257"/>
        <v>0.20246002460024601</v>
      </c>
      <c r="AL88" s="39"/>
      <c r="AM88" s="39"/>
      <c r="AN88" s="39"/>
      <c r="AO88" s="39"/>
      <c r="AP88" s="39"/>
      <c r="AQ88" s="39"/>
      <c r="AR88" s="39"/>
      <c r="AS88" s="39"/>
      <c r="BK88" s="57">
        <f t="shared" ref="BK88:BS88" si="258">+BK59/BK52</f>
        <v>0.42472868936091274</v>
      </c>
      <c r="BL88" s="57">
        <f t="shared" si="258"/>
        <v>0.32382268733339914</v>
      </c>
      <c r="BM88" s="57">
        <f t="shared" si="258"/>
        <v>0.36366223908918405</v>
      </c>
      <c r="BN88" s="57">
        <f t="shared" si="258"/>
        <v>0.34477773762197328</v>
      </c>
      <c r="BO88" s="57">
        <f t="shared" si="258"/>
        <v>0.43023570848008669</v>
      </c>
      <c r="BP88" s="57">
        <f t="shared" si="258"/>
        <v>0.44527044347603179</v>
      </c>
      <c r="BQ88" s="57">
        <f t="shared" si="258"/>
        <v>0.36940812112869925</v>
      </c>
      <c r="BR88" s="57">
        <f t="shared" si="258"/>
        <v>0.38965373383395913</v>
      </c>
      <c r="BS88" s="57">
        <f t="shared" si="258"/>
        <v>0.45218063186813184</v>
      </c>
      <c r="BT88" s="57">
        <f>+BT59/BT52</f>
        <v>0.43989231934045597</v>
      </c>
      <c r="BU88" s="57">
        <f t="shared" ref="BU88:BZ88" si="259">+BU59/BU52</f>
        <v>0.31638359332025223</v>
      </c>
      <c r="BV88" s="57">
        <f t="shared" si="259"/>
        <v>0.38148128629930939</v>
      </c>
      <c r="BW88" s="57">
        <f t="shared" si="259"/>
        <v>0.42978302065990054</v>
      </c>
      <c r="BX88" s="57">
        <f t="shared" si="259"/>
        <v>0.42173866570122015</v>
      </c>
      <c r="BY88" s="57">
        <f t="shared" si="259"/>
        <v>0.31666319908507423</v>
      </c>
      <c r="BZ88" s="57">
        <f t="shared" si="259"/>
        <v>0.38432312426067344</v>
      </c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55"/>
      <c r="CY88" s="55"/>
      <c r="CZ88" s="55">
        <f t="shared" ref="CZ88:DN88" si="260">+CZ59/CZ52</f>
        <v>0.31288834494445489</v>
      </c>
      <c r="DA88" s="39">
        <f t="shared" si="260"/>
        <v>0.4427461582242459</v>
      </c>
      <c r="DB88" s="39">
        <f t="shared" si="260"/>
        <v>0.38611234390962196</v>
      </c>
      <c r="DC88" s="39">
        <f t="shared" si="260"/>
        <v>0.38795727149632914</v>
      </c>
      <c r="DD88" s="39">
        <f t="shared" si="260"/>
        <v>0.40895530108977041</v>
      </c>
      <c r="DE88" s="39">
        <f t="shared" si="260"/>
        <v>0.3971337006498592</v>
      </c>
      <c r="DF88" s="39">
        <f t="shared" si="260"/>
        <v>0.5314266234401902</v>
      </c>
      <c r="DG88" s="39">
        <f t="shared" si="260"/>
        <v>0.66154905227425087</v>
      </c>
      <c r="DH88" s="39">
        <f t="shared" si="260"/>
        <v>0.67772457770815397</v>
      </c>
      <c r="DI88" s="39">
        <f t="shared" si="260"/>
        <v>0</v>
      </c>
      <c r="DJ88" s="39">
        <f t="shared" si="260"/>
        <v>0</v>
      </c>
      <c r="DK88" s="39">
        <f t="shared" si="260"/>
        <v>0</v>
      </c>
      <c r="DL88" s="39">
        <f t="shared" si="260"/>
        <v>0</v>
      </c>
      <c r="DM88" s="39">
        <f t="shared" si="260"/>
        <v>0</v>
      </c>
      <c r="DN88" s="39">
        <f t="shared" si="260"/>
        <v>0</v>
      </c>
    </row>
    <row r="89" spans="1:118" x14ac:dyDescent="0.2">
      <c r="B89" s="23" t="s">
        <v>393</v>
      </c>
      <c r="C89" s="39"/>
      <c r="D89" s="39"/>
      <c r="E89" s="39"/>
      <c r="F89" s="39"/>
      <c r="G89" s="39"/>
      <c r="H89" s="39"/>
      <c r="I89" s="39"/>
      <c r="J89" s="39"/>
      <c r="K89" s="39">
        <f t="shared" ref="K89:U89" si="261">K62/K61</f>
        <v>2.4963289280469897E-2</v>
      </c>
      <c r="L89" s="39">
        <f t="shared" si="261"/>
        <v>7.7526395173453999E-2</v>
      </c>
      <c r="M89" s="39">
        <f t="shared" si="261"/>
        <v>8.6276488395560041E-2</v>
      </c>
      <c r="N89" s="39">
        <f t="shared" si="261"/>
        <v>4.7326203208556149E-2</v>
      </c>
      <c r="O89" s="39">
        <f t="shared" si="261"/>
        <v>8.431188351338656E-2</v>
      </c>
      <c r="P89" s="39">
        <f t="shared" si="261"/>
        <v>6.3354306791060966E-2</v>
      </c>
      <c r="Q89" s="39">
        <f t="shared" si="261"/>
        <v>8.0777096114519428E-2</v>
      </c>
      <c r="R89" s="39">
        <f t="shared" si="261"/>
        <v>0.25</v>
      </c>
      <c r="S89" s="39">
        <f t="shared" si="261"/>
        <v>9.6558915537017731E-2</v>
      </c>
      <c r="T89" s="39">
        <f t="shared" si="261"/>
        <v>8.3458929917106253E-2</v>
      </c>
      <c r="U89" s="39">
        <f t="shared" si="261"/>
        <v>8.0564321514757745E-2</v>
      </c>
      <c r="V89" s="39">
        <f t="shared" ref="V89:AA89" si="262">V62/V61</f>
        <v>3.6237471087124135E-2</v>
      </c>
      <c r="W89" s="39">
        <f t="shared" si="262"/>
        <v>0.23991797676008203</v>
      </c>
      <c r="X89" s="39">
        <f t="shared" si="262"/>
        <v>6.0867931617508926E-2</v>
      </c>
      <c r="Y89" s="39">
        <f t="shared" si="262"/>
        <v>0.1889763779527559</v>
      </c>
      <c r="Z89" s="39">
        <f t="shared" si="262"/>
        <v>0.3979094076655052</v>
      </c>
      <c r="AA89" s="55">
        <f t="shared" si="262"/>
        <v>0.22087244616234125</v>
      </c>
      <c r="AB89" s="39">
        <f t="shared" ref="AB89:AH89" si="263">AB62/AB61</f>
        <v>0.26393442622950819</v>
      </c>
      <c r="AC89" s="39">
        <f t="shared" si="263"/>
        <v>0.2584330794341676</v>
      </c>
      <c r="AD89" s="39">
        <f t="shared" si="263"/>
        <v>0.22435105067985167</v>
      </c>
      <c r="AE89" s="39">
        <f t="shared" si="263"/>
        <v>0.29035695258391048</v>
      </c>
      <c r="AF89" s="39">
        <f>AF62/AF61</f>
        <v>0.23262279888785914</v>
      </c>
      <c r="AG89" s="39">
        <f t="shared" si="263"/>
        <v>0</v>
      </c>
      <c r="AH89" s="39">
        <f t="shared" si="263"/>
        <v>-0.26878130217028379</v>
      </c>
      <c r="AI89" s="39">
        <f>AI62/AI61</f>
        <v>7.5667655786350152E-2</v>
      </c>
      <c r="AJ89" s="39">
        <f>AJ62/AJ61</f>
        <v>0</v>
      </c>
      <c r="AK89" s="39">
        <f>AK62/AK61</f>
        <v>0.15403422982885084</v>
      </c>
      <c r="AL89" s="39"/>
      <c r="AM89" s="39"/>
      <c r="AN89" s="39"/>
      <c r="AO89" s="39"/>
      <c r="AP89" s="39"/>
      <c r="AQ89" s="39"/>
      <c r="AR89" s="39"/>
      <c r="AS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55"/>
      <c r="CY89" s="55"/>
      <c r="CZ89" s="55">
        <f t="shared" ref="CZ89:DF89" si="264">CZ62/CZ61</f>
        <v>0.24249682964632943</v>
      </c>
      <c r="DA89" s="39">
        <f t="shared" si="264"/>
        <v>0.28999999999999998</v>
      </c>
      <c r="DB89" s="39">
        <f t="shared" si="264"/>
        <v>0.28000000000000003</v>
      </c>
      <c r="DC89" s="39">
        <f t="shared" si="264"/>
        <v>0.28000000000000003</v>
      </c>
      <c r="DD89" s="39">
        <f t="shared" si="264"/>
        <v>0.28000000000000003</v>
      </c>
      <c r="DE89" s="39">
        <f t="shared" si="264"/>
        <v>0.28000000000000003</v>
      </c>
      <c r="DF89" s="39">
        <f t="shared" si="264"/>
        <v>0.28000000000000003</v>
      </c>
      <c r="DG89" s="39">
        <f t="shared" ref="DG89:DN89" si="265">DG62/DG61</f>
        <v>0.27999999999999997</v>
      </c>
      <c r="DH89" s="39">
        <f t="shared" si="265"/>
        <v>0.28000000000000003</v>
      </c>
      <c r="DI89" s="39" t="e">
        <f t="shared" si="265"/>
        <v>#DIV/0!</v>
      </c>
      <c r="DJ89" s="39" t="e">
        <f t="shared" si="265"/>
        <v>#DIV/0!</v>
      </c>
      <c r="DK89" s="39" t="e">
        <f t="shared" si="265"/>
        <v>#DIV/0!</v>
      </c>
      <c r="DL89" s="39" t="e">
        <f t="shared" si="265"/>
        <v>#DIV/0!</v>
      </c>
      <c r="DM89" s="39" t="e">
        <f t="shared" si="265"/>
        <v>#DIV/0!</v>
      </c>
      <c r="DN89" s="39" t="e">
        <f t="shared" si="265"/>
        <v>#DIV/0!</v>
      </c>
    </row>
    <row r="90" spans="1:118" s="74" customFormat="1" x14ac:dyDescent="0.2">
      <c r="B90" s="74" t="s">
        <v>168</v>
      </c>
      <c r="C90" s="75"/>
      <c r="D90" s="76"/>
      <c r="E90" s="76"/>
      <c r="F90" s="76"/>
      <c r="G90" s="76">
        <f t="shared" ref="G90:W90" si="266">G52/C52-1</f>
        <v>6.9661865998747574E-2</v>
      </c>
      <c r="H90" s="76">
        <f t="shared" si="266"/>
        <v>5.4844606946984342E-3</v>
      </c>
      <c r="I90" s="76">
        <f t="shared" si="266"/>
        <v>-0.16528805688579307</v>
      </c>
      <c r="J90" s="76">
        <f t="shared" si="266"/>
        <v>-0.23673079547005049</v>
      </c>
      <c r="K90" s="76">
        <f t="shared" si="266"/>
        <v>-9.9663398214547061E-2</v>
      </c>
      <c r="L90" s="76">
        <f t="shared" si="266"/>
        <v>-8.2517482517482366E-3</v>
      </c>
      <c r="M90" s="76">
        <f t="shared" si="266"/>
        <v>0.36474269819193328</v>
      </c>
      <c r="N90" s="76">
        <f t="shared" si="266"/>
        <v>0.51787629603146224</v>
      </c>
      <c r="O90" s="76">
        <f t="shared" si="266"/>
        <v>0.32282184655396629</v>
      </c>
      <c r="P90" s="76">
        <f t="shared" si="266"/>
        <v>0.18713862642786627</v>
      </c>
      <c r="Q90" s="76">
        <f t="shared" si="266"/>
        <v>9.2993630573248387E-2</v>
      </c>
      <c r="R90" s="76">
        <f t="shared" si="266"/>
        <v>1.6252502649864553E-2</v>
      </c>
      <c r="S90" s="76">
        <f t="shared" si="266"/>
        <v>1.9292209388056092E-2</v>
      </c>
      <c r="T90" s="76">
        <f t="shared" si="266"/>
        <v>5.7614635305298201E-2</v>
      </c>
      <c r="U90" s="76">
        <f t="shared" si="266"/>
        <v>6.0139860139860168E-2</v>
      </c>
      <c r="V90" s="76">
        <f t="shared" si="266"/>
        <v>2.607486383126667E-2</v>
      </c>
      <c r="W90" s="76">
        <f t="shared" si="266"/>
        <v>-0.42049427365883063</v>
      </c>
      <c r="X90" s="76"/>
      <c r="Y90" s="76"/>
      <c r="Z90" s="76"/>
      <c r="AA90" s="77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  <c r="BW90" s="75"/>
      <c r="BX90" s="75"/>
      <c r="BY90" s="75"/>
      <c r="BZ90" s="75"/>
      <c r="CA90" s="75"/>
      <c r="CB90" s="75"/>
      <c r="CC90" s="75"/>
      <c r="CD90" s="75"/>
      <c r="CE90" s="75"/>
      <c r="CF90" s="75"/>
      <c r="CG90" s="75"/>
      <c r="CH90" s="75"/>
      <c r="CI90" s="75"/>
      <c r="CJ90" s="75"/>
      <c r="CK90" s="75"/>
      <c r="CL90" s="75"/>
      <c r="CM90" s="75"/>
      <c r="CN90" s="75"/>
      <c r="CO90" s="75"/>
      <c r="CP90" s="75"/>
      <c r="CQ90" s="75"/>
      <c r="CR90" s="75"/>
      <c r="CS90" s="75"/>
      <c r="CT90" s="75"/>
      <c r="CU90" s="75"/>
      <c r="CV90" s="76">
        <f>CV52/CU52-1</f>
        <v>0.21947175174700928</v>
      </c>
      <c r="CW90" s="75"/>
      <c r="CX90" s="81"/>
      <c r="CY90" s="81"/>
      <c r="CZ90" s="81"/>
      <c r="DA90" s="75"/>
      <c r="DB90" s="75"/>
      <c r="DC90" s="75"/>
      <c r="DD90" s="75"/>
      <c r="DE90" s="75"/>
      <c r="DF90" s="75"/>
      <c r="DG90" s="75"/>
      <c r="DH90" s="75"/>
      <c r="DI90" s="75"/>
      <c r="DJ90" s="75"/>
      <c r="DK90" s="75"/>
      <c r="DL90" s="75"/>
      <c r="DM90" s="75"/>
      <c r="DN90" s="75"/>
    </row>
    <row r="91" spans="1:118" s="19" customFormat="1" x14ac:dyDescent="0.2">
      <c r="C91" s="37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53"/>
      <c r="Z91" s="53"/>
      <c r="AA91" s="53"/>
      <c r="AB91" s="53"/>
      <c r="AC91" s="53"/>
      <c r="AD91" s="53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40"/>
      <c r="CW91" s="37"/>
      <c r="CX91" s="56"/>
      <c r="CY91" s="56"/>
      <c r="CZ91" s="56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</row>
    <row r="92" spans="1:118" s="19" customFormat="1" x14ac:dyDescent="0.2">
      <c r="A92" s="23"/>
      <c r="B92" s="23" t="s">
        <v>398</v>
      </c>
      <c r="C92" s="33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35">
        <f>Main!K5-Main!K6</f>
        <v>-28832</v>
      </c>
      <c r="P92" s="35">
        <f>O92+P64</f>
        <v>-24756</v>
      </c>
      <c r="Q92" s="35">
        <f>Q93-Q104</f>
        <v>1176</v>
      </c>
      <c r="R92" s="35">
        <f>Q92+R64</f>
        <v>-681.5</v>
      </c>
      <c r="S92" s="35"/>
      <c r="T92" s="35">
        <f>7507+613+983-124-6235</f>
        <v>2744</v>
      </c>
      <c r="U92" s="35"/>
      <c r="V92" s="35"/>
      <c r="W92" s="35"/>
      <c r="X92" s="35">
        <f>+X93-X104</f>
        <v>3711</v>
      </c>
      <c r="Y92" s="35">
        <f t="shared" ref="Y92:AF92" si="267">+Y93-Y104</f>
        <v>0</v>
      </c>
      <c r="Z92" s="35">
        <f t="shared" si="267"/>
        <v>0</v>
      </c>
      <c r="AA92" s="35">
        <f t="shared" si="267"/>
        <v>4447</v>
      </c>
      <c r="AB92" s="35">
        <f t="shared" si="267"/>
        <v>0</v>
      </c>
      <c r="AC92" s="35">
        <f t="shared" si="267"/>
        <v>0</v>
      </c>
      <c r="AD92" s="35">
        <f t="shared" si="267"/>
        <v>0</v>
      </c>
      <c r="AE92" s="35">
        <f t="shared" si="267"/>
        <v>3199</v>
      </c>
      <c r="AF92" s="35">
        <f t="shared" si="267"/>
        <v>3324</v>
      </c>
      <c r="AG92" s="35"/>
      <c r="AH92" s="35"/>
      <c r="AI92" s="35"/>
      <c r="AJ92" s="35"/>
      <c r="AK92" s="35">
        <f>AK93-AK104</f>
        <v>2919</v>
      </c>
      <c r="AL92" s="35"/>
      <c r="AM92" s="35"/>
      <c r="AN92" s="35"/>
      <c r="AO92" s="35"/>
      <c r="AP92" s="35"/>
      <c r="AQ92" s="35"/>
      <c r="AR92" s="35"/>
      <c r="AS92" s="35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5">
        <f>+BT93-BT104</f>
        <v>-28832</v>
      </c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5">
        <f>2421+308-177-588</f>
        <v>1964</v>
      </c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41"/>
      <c r="CW92" s="35"/>
      <c r="CX92" s="54">
        <f t="shared" ref="CX92:DF92" si="268">CW92+CX64</f>
        <v>17900</v>
      </c>
      <c r="CY92" s="54">
        <f t="shared" si="268"/>
        <v>24803</v>
      </c>
      <c r="CZ92" s="54">
        <f t="shared" si="268"/>
        <v>28628</v>
      </c>
      <c r="DA92" s="35">
        <f t="shared" si="268"/>
        <v>33840.925499999998</v>
      </c>
      <c r="DB92" s="35">
        <f t="shared" si="268"/>
        <v>37524.456059999997</v>
      </c>
      <c r="DC92" s="35">
        <f t="shared" si="268"/>
        <v>41090.231969999993</v>
      </c>
      <c r="DD92" s="35">
        <f t="shared" si="268"/>
        <v>44138.412856199997</v>
      </c>
      <c r="DE92" s="35">
        <f t="shared" si="268"/>
        <v>46733.774692694999</v>
      </c>
      <c r="DF92" s="35">
        <f t="shared" si="268"/>
        <v>49831.409205815849</v>
      </c>
      <c r="DG92" s="35">
        <f t="shared" ref="DG92:DN92" si="269">DF92+DG64</f>
        <v>52929.0437189367</v>
      </c>
      <c r="DH92" s="35">
        <f t="shared" si="269"/>
        <v>56026.678232057551</v>
      </c>
      <c r="DI92" s="35">
        <f t="shared" si="269"/>
        <v>56026.678232057551</v>
      </c>
      <c r="DJ92" s="35">
        <f t="shared" si="269"/>
        <v>56026.678232057551</v>
      </c>
      <c r="DK92" s="35">
        <f t="shared" si="269"/>
        <v>56026.678232057551</v>
      </c>
      <c r="DL92" s="35">
        <f t="shared" si="269"/>
        <v>56026.678232057551</v>
      </c>
      <c r="DM92" s="35">
        <f t="shared" si="269"/>
        <v>56026.678232057551</v>
      </c>
      <c r="DN92" s="35">
        <f t="shared" si="269"/>
        <v>56026.678232057551</v>
      </c>
    </row>
    <row r="93" spans="1:118" x14ac:dyDescent="0.2">
      <c r="A93" s="25"/>
      <c r="B93" s="25" t="s">
        <v>194</v>
      </c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5">
        <f>7173+258</f>
        <v>7431</v>
      </c>
      <c r="R93" s="30"/>
      <c r="S93" s="30"/>
      <c r="T93" s="30"/>
      <c r="U93" s="30"/>
      <c r="V93" s="30"/>
      <c r="W93" s="30"/>
      <c r="X93" s="30">
        <f>5918+1536+2795</f>
        <v>10249</v>
      </c>
      <c r="Y93" s="50"/>
      <c r="Z93" s="50"/>
      <c r="AA93" s="50">
        <f>3405+3388+3065</f>
        <v>9858</v>
      </c>
      <c r="AB93" s="50"/>
      <c r="AC93" s="50"/>
      <c r="AD93" s="50"/>
      <c r="AE93" s="30">
        <f>2307+2722+3585</f>
        <v>8614</v>
      </c>
      <c r="AF93" s="30">
        <f>2801+2236+3732</f>
        <v>8769</v>
      </c>
      <c r="AG93" s="30"/>
      <c r="AH93" s="30"/>
      <c r="AI93" s="30"/>
      <c r="AJ93" s="30"/>
      <c r="AK93" s="30">
        <f>1771+2036</f>
        <v>3807</v>
      </c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>
        <f>10750+2478</f>
        <v>13228</v>
      </c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50"/>
      <c r="CY93" s="50"/>
      <c r="CZ93" s="50"/>
      <c r="DA93" s="30"/>
      <c r="DB93" s="30"/>
      <c r="DC93" s="30"/>
      <c r="DD93" s="30"/>
      <c r="DE93" s="30"/>
      <c r="DF93" s="30"/>
      <c r="DG93" s="25"/>
    </row>
    <row r="94" spans="1:118" s="25" customFormat="1" x14ac:dyDescent="0.2">
      <c r="B94" s="25" t="s">
        <v>328</v>
      </c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>
        <v>4224</v>
      </c>
      <c r="R94" s="30"/>
      <c r="S94" s="30"/>
      <c r="T94" s="30"/>
      <c r="U94" s="30"/>
      <c r="V94" s="30"/>
      <c r="W94" s="30"/>
      <c r="X94" s="30">
        <v>3172</v>
      </c>
      <c r="Y94" s="50"/>
      <c r="Z94" s="50"/>
      <c r="AA94" s="50">
        <v>3587</v>
      </c>
      <c r="AB94" s="50"/>
      <c r="AC94" s="50"/>
      <c r="AD94" s="50"/>
      <c r="AE94" s="30">
        <v>3613</v>
      </c>
      <c r="AF94" s="30">
        <v>2825</v>
      </c>
      <c r="AG94" s="30"/>
      <c r="AH94" s="30"/>
      <c r="AI94" s="30"/>
      <c r="AJ94" s="30"/>
      <c r="AK94" s="30">
        <v>3673</v>
      </c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>
        <v>9054</v>
      </c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50"/>
      <c r="CY94" s="50"/>
      <c r="CZ94" s="50"/>
      <c r="DA94" s="30"/>
      <c r="DB94" s="30"/>
      <c r="DC94" s="30"/>
      <c r="DD94" s="30"/>
      <c r="DE94" s="30"/>
      <c r="DF94" s="30"/>
    </row>
    <row r="95" spans="1:118" s="25" customFormat="1" x14ac:dyDescent="0.2">
      <c r="B95" s="25" t="s">
        <v>329</v>
      </c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>
        <v>2055</v>
      </c>
      <c r="R95" s="30"/>
      <c r="S95" s="30"/>
      <c r="T95" s="30"/>
      <c r="U95" s="30"/>
      <c r="V95" s="30"/>
      <c r="W95" s="30"/>
      <c r="X95" s="30">
        <v>1265</v>
      </c>
      <c r="Y95" s="50"/>
      <c r="Z95" s="50"/>
      <c r="AA95" s="50">
        <v>1322</v>
      </c>
      <c r="AB95" s="50"/>
      <c r="AC95" s="50"/>
      <c r="AD95" s="50"/>
      <c r="AE95" s="30">
        <v>1463</v>
      </c>
      <c r="AF95" s="30">
        <v>1521</v>
      </c>
      <c r="AG95" s="30"/>
      <c r="AH95" s="30"/>
      <c r="AI95" s="30"/>
      <c r="AJ95" s="30"/>
      <c r="AK95" s="30">
        <v>1640</v>
      </c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>
        <v>2142</v>
      </c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50"/>
      <c r="CY95" s="50"/>
      <c r="CZ95" s="50"/>
      <c r="DA95" s="30"/>
      <c r="DB95" s="30"/>
      <c r="DC95" s="30"/>
      <c r="DD95" s="30"/>
      <c r="DE95" s="30"/>
      <c r="DF95" s="30"/>
    </row>
    <row r="96" spans="1:118" s="25" customFormat="1" x14ac:dyDescent="0.2">
      <c r="B96" s="25" t="s">
        <v>330</v>
      </c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>
        <v>691</v>
      </c>
      <c r="R96" s="30"/>
      <c r="S96" s="30"/>
      <c r="T96" s="30"/>
      <c r="U96" s="30"/>
      <c r="V96" s="30"/>
      <c r="W96" s="30"/>
      <c r="X96" s="30">
        <v>796</v>
      </c>
      <c r="Y96" s="50"/>
      <c r="Z96" s="50"/>
      <c r="AA96" s="50">
        <v>1143</v>
      </c>
      <c r="AB96" s="50"/>
      <c r="AC96" s="50"/>
      <c r="AD96" s="50"/>
      <c r="AE96" s="30">
        <v>1160</v>
      </c>
      <c r="AF96" s="30">
        <v>1175</v>
      </c>
      <c r="AG96" s="30"/>
      <c r="AH96" s="30"/>
      <c r="AI96" s="30"/>
      <c r="AJ96" s="30"/>
      <c r="AK96" s="30">
        <v>2036</v>
      </c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>
        <v>0</v>
      </c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50"/>
      <c r="CY96" s="50"/>
      <c r="CZ96" s="50"/>
      <c r="DA96" s="30"/>
      <c r="DB96" s="30"/>
      <c r="DC96" s="30"/>
      <c r="DD96" s="30"/>
      <c r="DE96" s="30"/>
      <c r="DF96" s="30"/>
    </row>
    <row r="97" spans="2:110" s="25" customFormat="1" x14ac:dyDescent="0.2">
      <c r="B97" s="25" t="s">
        <v>331</v>
      </c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>
        <v>378</v>
      </c>
      <c r="R97" s="30"/>
      <c r="S97" s="30"/>
      <c r="T97" s="30"/>
      <c r="U97" s="30"/>
      <c r="V97" s="30"/>
      <c r="W97" s="30"/>
      <c r="X97" s="30">
        <v>296</v>
      </c>
      <c r="Y97" s="50"/>
      <c r="Z97" s="50"/>
      <c r="AA97" s="50">
        <v>451</v>
      </c>
      <c r="AB97" s="50"/>
      <c r="AC97" s="50"/>
      <c r="AD97" s="50"/>
      <c r="AE97" s="30">
        <v>500</v>
      </c>
      <c r="AF97" s="30">
        <v>455</v>
      </c>
      <c r="AG97" s="30"/>
      <c r="AH97" s="30"/>
      <c r="AI97" s="30"/>
      <c r="AJ97" s="30"/>
      <c r="AK97" s="30">
        <v>556</v>
      </c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>
        <v>5762</v>
      </c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50"/>
      <c r="CY97" s="50"/>
      <c r="CZ97" s="50"/>
      <c r="DA97" s="30"/>
      <c r="DB97" s="30"/>
      <c r="DC97" s="30"/>
      <c r="DD97" s="30"/>
      <c r="DE97" s="30"/>
      <c r="DF97" s="30"/>
    </row>
    <row r="98" spans="2:110" s="25" customFormat="1" x14ac:dyDescent="0.2">
      <c r="B98" s="25" t="s">
        <v>332</v>
      </c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>
        <v>5360</v>
      </c>
      <c r="R98" s="30"/>
      <c r="S98" s="30"/>
      <c r="T98" s="30"/>
      <c r="U98" s="30"/>
      <c r="V98" s="30"/>
      <c r="W98" s="30"/>
      <c r="X98" s="30">
        <v>4745</v>
      </c>
      <c r="Y98" s="50"/>
      <c r="Z98" s="50"/>
      <c r="AA98" s="50">
        <v>4604</v>
      </c>
      <c r="AB98" s="50"/>
      <c r="AC98" s="50"/>
      <c r="AD98" s="50"/>
      <c r="AE98" s="30">
        <v>4512</v>
      </c>
      <c r="AF98" s="30">
        <v>4478</v>
      </c>
      <c r="AG98" s="30"/>
      <c r="AH98" s="30"/>
      <c r="AI98" s="30"/>
      <c r="AJ98" s="30"/>
      <c r="AK98" s="30">
        <v>5236</v>
      </c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>
        <v>5970</v>
      </c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50"/>
      <c r="CY98" s="50"/>
      <c r="CZ98" s="50"/>
      <c r="DA98" s="30"/>
      <c r="DB98" s="30"/>
      <c r="DC98" s="30"/>
      <c r="DD98" s="30"/>
      <c r="DE98" s="30"/>
      <c r="DF98" s="30"/>
    </row>
    <row r="99" spans="2:110" s="25" customFormat="1" x14ac:dyDescent="0.2">
      <c r="B99" s="25" t="s">
        <v>333</v>
      </c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>
        <f>4841+1212</f>
        <v>6053</v>
      </c>
      <c r="R99" s="30"/>
      <c r="S99" s="30"/>
      <c r="T99" s="30"/>
      <c r="U99" s="30"/>
      <c r="V99" s="30"/>
      <c r="W99" s="30"/>
      <c r="X99" s="30">
        <f>5218+2763</f>
        <v>7981</v>
      </c>
      <c r="Y99" s="50"/>
      <c r="Z99" s="50"/>
      <c r="AA99" s="50">
        <f>5233+3299</f>
        <v>8532</v>
      </c>
      <c r="AB99" s="50"/>
      <c r="AC99" s="50"/>
      <c r="AD99" s="50"/>
      <c r="AE99" s="30">
        <f>6799+4816</f>
        <v>11615</v>
      </c>
      <c r="AF99" s="30">
        <f>6799+4569</f>
        <v>11368</v>
      </c>
      <c r="AG99" s="30"/>
      <c r="AH99" s="30"/>
      <c r="AI99" s="30"/>
      <c r="AJ99" s="30"/>
      <c r="AK99" s="30">
        <f>7646+8176</f>
        <v>15822</v>
      </c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>
        <f>20446+37690</f>
        <v>58136</v>
      </c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50"/>
      <c r="CY99" s="50"/>
      <c r="CZ99" s="50"/>
      <c r="DA99" s="30"/>
      <c r="DB99" s="30"/>
      <c r="DC99" s="30"/>
      <c r="DD99" s="30"/>
      <c r="DE99" s="30"/>
      <c r="DF99" s="30"/>
    </row>
    <row r="100" spans="2:110" s="25" customFormat="1" x14ac:dyDescent="0.2">
      <c r="B100" s="25" t="s">
        <v>330</v>
      </c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>
        <v>1119</v>
      </c>
      <c r="R100" s="30"/>
      <c r="S100" s="30"/>
      <c r="T100" s="30"/>
      <c r="U100" s="30"/>
      <c r="V100" s="30"/>
      <c r="W100" s="30"/>
      <c r="X100" s="30">
        <v>1331</v>
      </c>
      <c r="Y100" s="50"/>
      <c r="Z100" s="50"/>
      <c r="AA100" s="50">
        <v>587</v>
      </c>
      <c r="AB100" s="50"/>
      <c r="AC100" s="50"/>
      <c r="AD100" s="50"/>
      <c r="AE100" s="30">
        <v>108</v>
      </c>
      <c r="AF100" s="30">
        <v>201</v>
      </c>
      <c r="AG100" s="30"/>
      <c r="AH100" s="30"/>
      <c r="AI100" s="30"/>
      <c r="AJ100" s="30"/>
      <c r="AK100" s="30">
        <v>195</v>
      </c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>
        <v>1337</v>
      </c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50"/>
      <c r="CY100" s="50"/>
      <c r="CZ100" s="50"/>
      <c r="DA100" s="30"/>
      <c r="DB100" s="30"/>
      <c r="DC100" s="30"/>
      <c r="DD100" s="30"/>
      <c r="DE100" s="30"/>
      <c r="DF100" s="30"/>
    </row>
    <row r="101" spans="2:110" s="25" customFormat="1" x14ac:dyDescent="0.2">
      <c r="B101" s="25" t="s">
        <v>334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>
        <v>1165</v>
      </c>
      <c r="R101" s="30"/>
      <c r="S101" s="30"/>
      <c r="T101" s="30"/>
      <c r="U101" s="30"/>
      <c r="V101" s="30"/>
      <c r="W101" s="30"/>
      <c r="X101" s="30">
        <v>1216</v>
      </c>
      <c r="Y101" s="50"/>
      <c r="Z101" s="50"/>
      <c r="AA101" s="50">
        <v>767</v>
      </c>
      <c r="AB101" s="50"/>
      <c r="AC101" s="50"/>
      <c r="AD101" s="50"/>
      <c r="AE101" s="30">
        <v>823</v>
      </c>
      <c r="AF101" s="30">
        <v>875</v>
      </c>
      <c r="AG101" s="30"/>
      <c r="AH101" s="30"/>
      <c r="AI101" s="30"/>
      <c r="AJ101" s="30"/>
      <c r="AK101" s="30">
        <v>1301</v>
      </c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>
        <v>4728</v>
      </c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50"/>
      <c r="CY101" s="50"/>
      <c r="CZ101" s="50"/>
      <c r="DA101" s="30"/>
      <c r="DB101" s="30"/>
      <c r="DC101" s="30"/>
      <c r="DD101" s="30"/>
      <c r="DE101" s="30"/>
      <c r="DF101" s="30"/>
    </row>
    <row r="102" spans="2:110" s="25" customFormat="1" x14ac:dyDescent="0.2">
      <c r="B102" s="25" t="s">
        <v>335</v>
      </c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>
        <f>SUM(Q93:Q101)</f>
        <v>28476</v>
      </c>
      <c r="R102" s="30"/>
      <c r="S102" s="30"/>
      <c r="T102" s="30"/>
      <c r="U102" s="30"/>
      <c r="V102" s="30"/>
      <c r="W102" s="30"/>
      <c r="X102" s="30">
        <f>SUM(X93:X101)</f>
        <v>31051</v>
      </c>
      <c r="Y102" s="50"/>
      <c r="Z102" s="50"/>
      <c r="AA102" s="50">
        <f>SUM(AA93:AA101)</f>
        <v>30851</v>
      </c>
      <c r="AB102" s="50"/>
      <c r="AC102" s="50"/>
      <c r="AD102" s="50"/>
      <c r="AE102" s="50">
        <f>SUM(AE93:AE101)</f>
        <v>32408</v>
      </c>
      <c r="AF102" s="50">
        <f>SUM(AF93:AF101)</f>
        <v>31667</v>
      </c>
      <c r="AG102" s="30"/>
      <c r="AH102" s="30"/>
      <c r="AI102" s="30"/>
      <c r="AJ102" s="30"/>
      <c r="AK102" s="30">
        <f>SUM(AK92:AK101)</f>
        <v>37185</v>
      </c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>
        <f>SUM(BT93:BT101)</f>
        <v>100357</v>
      </c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50"/>
      <c r="CY102" s="50"/>
      <c r="CZ102" s="50"/>
      <c r="DA102" s="30"/>
      <c r="DB102" s="30"/>
      <c r="DC102" s="30"/>
      <c r="DD102" s="30"/>
      <c r="DE102" s="30"/>
      <c r="DF102" s="30"/>
    </row>
    <row r="103" spans="2:110" s="25" customFormat="1" x14ac:dyDescent="0.2"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50"/>
      <c r="Z103" s="50"/>
      <c r="AA103" s="50"/>
      <c r="AB103" s="50"/>
      <c r="AC103" s="50"/>
      <c r="AD103" s="50"/>
      <c r="AE103" s="5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50"/>
      <c r="CY103" s="50"/>
      <c r="CZ103" s="50"/>
      <c r="DA103" s="30"/>
      <c r="DB103" s="30"/>
      <c r="DC103" s="30"/>
      <c r="DD103" s="30"/>
      <c r="DE103" s="30"/>
      <c r="DF103" s="30"/>
    </row>
    <row r="104" spans="2:110" s="25" customFormat="1" x14ac:dyDescent="0.2">
      <c r="B104" s="25" t="s">
        <v>195</v>
      </c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>
        <f>135+6120</f>
        <v>6255</v>
      </c>
      <c r="R104" s="30"/>
      <c r="S104" s="30"/>
      <c r="T104" s="30"/>
      <c r="U104" s="30"/>
      <c r="V104" s="30"/>
      <c r="W104" s="30"/>
      <c r="X104" s="30">
        <f>290+6248</f>
        <v>6538</v>
      </c>
      <c r="Y104" s="50"/>
      <c r="Z104" s="50"/>
      <c r="AA104" s="50">
        <f>135+5276</f>
        <v>5411</v>
      </c>
      <c r="AB104" s="50"/>
      <c r="AC104" s="50"/>
      <c r="AD104" s="50"/>
      <c r="AE104" s="50">
        <f>145+5270</f>
        <v>5415</v>
      </c>
      <c r="AF104" s="30">
        <f>236+5209</f>
        <v>5445</v>
      </c>
      <c r="AG104" s="30"/>
      <c r="AH104" s="30"/>
      <c r="AI104" s="30"/>
      <c r="AJ104" s="30"/>
      <c r="AK104" s="30">
        <f>208+680</f>
        <v>888</v>
      </c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>
        <f>37107+4953</f>
        <v>42060</v>
      </c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50"/>
      <c r="CY104" s="50"/>
      <c r="CZ104" s="50"/>
      <c r="DA104" s="30"/>
      <c r="DB104" s="30"/>
      <c r="DC104" s="30"/>
      <c r="DD104" s="30"/>
      <c r="DE104" s="30"/>
      <c r="DF104" s="30"/>
    </row>
    <row r="105" spans="2:110" s="25" customFormat="1" x14ac:dyDescent="0.2">
      <c r="B105" s="25" t="s">
        <v>336</v>
      </c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>
        <v>1441</v>
      </c>
      <c r="R105" s="30"/>
      <c r="S105" s="30"/>
      <c r="T105" s="30"/>
      <c r="U105" s="30"/>
      <c r="V105" s="30"/>
      <c r="W105" s="30"/>
      <c r="X105" s="30">
        <v>1681</v>
      </c>
      <c r="Y105" s="50"/>
      <c r="Z105" s="50"/>
      <c r="AA105" s="50">
        <v>2036</v>
      </c>
      <c r="AB105" s="50"/>
      <c r="AC105" s="50"/>
      <c r="AD105" s="50"/>
      <c r="AE105" s="50">
        <v>2385</v>
      </c>
      <c r="AF105" s="30">
        <v>2134</v>
      </c>
      <c r="AG105" s="30"/>
      <c r="AH105" s="30"/>
      <c r="AI105" s="30"/>
      <c r="AJ105" s="30"/>
      <c r="AK105" s="30">
        <v>2466</v>
      </c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>
        <v>2882</v>
      </c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50"/>
      <c r="CY105" s="50"/>
      <c r="CZ105" s="50"/>
      <c r="DA105" s="30"/>
      <c r="DB105" s="30"/>
      <c r="DC105" s="30"/>
      <c r="DD105" s="30"/>
      <c r="DE105" s="30"/>
      <c r="DF105" s="30"/>
    </row>
    <row r="106" spans="2:110" s="25" customFormat="1" x14ac:dyDescent="0.2">
      <c r="B106" s="25" t="s">
        <v>337</v>
      </c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>
        <v>2897</v>
      </c>
      <c r="R106" s="30"/>
      <c r="S106" s="30"/>
      <c r="T106" s="30"/>
      <c r="U106" s="30"/>
      <c r="V106" s="30"/>
      <c r="W106" s="30"/>
      <c r="X106" s="30">
        <v>2386</v>
      </c>
      <c r="Y106" s="50"/>
      <c r="Z106" s="50"/>
      <c r="AA106" s="50">
        <v>2661</v>
      </c>
      <c r="AB106" s="50"/>
      <c r="AC106" s="50"/>
      <c r="AD106" s="50"/>
      <c r="AE106" s="50">
        <v>2566</v>
      </c>
      <c r="AF106" s="30">
        <v>2467</v>
      </c>
      <c r="AG106" s="30"/>
      <c r="AH106" s="30"/>
      <c r="AI106" s="30"/>
      <c r="AJ106" s="30"/>
      <c r="AK106" s="30">
        <v>2277</v>
      </c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>
        <v>13080</v>
      </c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50"/>
      <c r="CY106" s="50"/>
      <c r="CZ106" s="50"/>
      <c r="DA106" s="30"/>
      <c r="DB106" s="30"/>
      <c r="DC106" s="30"/>
      <c r="DD106" s="30"/>
      <c r="DE106" s="30"/>
      <c r="DF106" s="30"/>
    </row>
    <row r="107" spans="2:110" s="25" customFormat="1" x14ac:dyDescent="0.2">
      <c r="B107" s="25" t="s">
        <v>338</v>
      </c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>
        <f>832+809</f>
        <v>1641</v>
      </c>
      <c r="R107" s="30"/>
      <c r="S107" s="30"/>
      <c r="T107" s="30"/>
      <c r="U107" s="30"/>
      <c r="V107" s="30"/>
      <c r="W107" s="30"/>
      <c r="X107" s="30">
        <v>275</v>
      </c>
      <c r="Y107" s="50"/>
      <c r="Z107" s="50"/>
      <c r="AA107" s="50">
        <f>347+899</f>
        <v>1246</v>
      </c>
      <c r="AB107" s="50"/>
      <c r="AC107" s="50"/>
      <c r="AD107" s="50"/>
      <c r="AE107" s="50">
        <f>287+836</f>
        <v>1123</v>
      </c>
      <c r="AF107" s="30">
        <f>357+805</f>
        <v>1162</v>
      </c>
      <c r="AG107" s="30"/>
      <c r="AH107" s="30"/>
      <c r="AI107" s="30"/>
      <c r="AJ107" s="30"/>
      <c r="AK107" s="30">
        <v>4198</v>
      </c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50"/>
      <c r="CY107" s="50"/>
      <c r="CZ107" s="50"/>
      <c r="DA107" s="30"/>
      <c r="DB107" s="30"/>
      <c r="DC107" s="30"/>
      <c r="DD107" s="30"/>
      <c r="DE107" s="30"/>
      <c r="DF107" s="30"/>
    </row>
    <row r="108" spans="2:110" s="25" customFormat="1" x14ac:dyDescent="0.2">
      <c r="B108" s="25" t="s">
        <v>339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>
        <v>769</v>
      </c>
      <c r="R108" s="30"/>
      <c r="S108" s="30"/>
      <c r="T108" s="30"/>
      <c r="U108" s="30"/>
      <c r="V108" s="30"/>
      <c r="W108" s="30"/>
      <c r="X108" s="30">
        <v>671</v>
      </c>
      <c r="Y108" s="50"/>
      <c r="Z108" s="50"/>
      <c r="AA108" s="50">
        <v>935</v>
      </c>
      <c r="AB108" s="50"/>
      <c r="AC108" s="50"/>
      <c r="AD108" s="50"/>
      <c r="AE108" s="50">
        <v>1073</v>
      </c>
      <c r="AF108" s="30">
        <v>1061</v>
      </c>
      <c r="AG108" s="30"/>
      <c r="AH108" s="30"/>
      <c r="AI108" s="30"/>
      <c r="AJ108" s="30"/>
      <c r="AK108" s="30">
        <v>1034</v>
      </c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50"/>
      <c r="CY108" s="50"/>
      <c r="CZ108" s="50"/>
      <c r="DA108" s="30"/>
      <c r="DB108" s="30"/>
      <c r="DC108" s="30"/>
      <c r="DD108" s="30"/>
      <c r="DE108" s="30"/>
      <c r="DF108" s="30"/>
    </row>
    <row r="109" spans="2:110" s="25" customFormat="1" x14ac:dyDescent="0.2">
      <c r="B109" s="25" t="s">
        <v>106</v>
      </c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>
        <f>199+455</f>
        <v>654</v>
      </c>
      <c r="R109" s="30"/>
      <c r="S109" s="30"/>
      <c r="T109" s="30"/>
      <c r="U109" s="30"/>
      <c r="V109" s="30"/>
      <c r="W109" s="30"/>
      <c r="X109" s="30">
        <f>49+749</f>
        <v>798</v>
      </c>
      <c r="Y109" s="50"/>
      <c r="Z109" s="50"/>
      <c r="AA109" s="50">
        <f>63+660</f>
        <v>723</v>
      </c>
      <c r="AB109" s="50"/>
      <c r="AC109" s="50"/>
      <c r="AD109" s="50"/>
      <c r="AE109" s="50">
        <f>162+573</f>
        <v>735</v>
      </c>
      <c r="AF109" s="30">
        <f>138+604</f>
        <v>742</v>
      </c>
      <c r="AG109" s="30"/>
      <c r="AH109" s="30"/>
      <c r="AI109" s="30"/>
      <c r="AJ109" s="30"/>
      <c r="AK109" s="30">
        <f>739+904+208</f>
        <v>1851</v>
      </c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>
        <v>3034</v>
      </c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50"/>
      <c r="CY109" s="50"/>
      <c r="CZ109" s="50"/>
      <c r="DA109" s="30"/>
      <c r="DB109" s="30"/>
      <c r="DC109" s="30"/>
      <c r="DD109" s="30"/>
      <c r="DE109" s="30"/>
      <c r="DF109" s="30"/>
    </row>
    <row r="110" spans="2:110" s="25" customFormat="1" x14ac:dyDescent="0.2">
      <c r="B110" s="25" t="s">
        <v>340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>
        <v>618</v>
      </c>
      <c r="R110" s="30"/>
      <c r="S110" s="30"/>
      <c r="T110" s="30"/>
      <c r="U110" s="30"/>
      <c r="V110" s="30"/>
      <c r="W110" s="30"/>
      <c r="X110" s="30">
        <v>556</v>
      </c>
      <c r="Y110" s="50"/>
      <c r="Z110" s="50"/>
      <c r="AA110" s="50">
        <v>578</v>
      </c>
      <c r="AB110" s="50"/>
      <c r="AC110" s="50"/>
      <c r="AD110" s="50"/>
      <c r="AE110" s="50">
        <v>593</v>
      </c>
      <c r="AF110" s="30">
        <v>598</v>
      </c>
      <c r="AG110" s="30"/>
      <c r="AH110" s="30"/>
      <c r="AI110" s="30"/>
      <c r="AJ110" s="30"/>
      <c r="AK110" s="30">
        <v>611</v>
      </c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50"/>
      <c r="CY110" s="50"/>
      <c r="CZ110" s="50"/>
      <c r="DA110" s="30"/>
      <c r="DB110" s="30"/>
      <c r="DC110" s="30"/>
      <c r="DD110" s="30"/>
      <c r="DE110" s="30"/>
      <c r="DF110" s="30"/>
    </row>
    <row r="111" spans="2:110" s="25" customFormat="1" x14ac:dyDescent="0.2">
      <c r="B111" s="25" t="s">
        <v>341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>
        <v>60</v>
      </c>
      <c r="R111" s="30"/>
      <c r="S111" s="30"/>
      <c r="T111" s="30"/>
      <c r="U111" s="30"/>
      <c r="V111" s="30"/>
      <c r="W111" s="30"/>
      <c r="X111" s="30">
        <v>0</v>
      </c>
      <c r="Y111" s="50"/>
      <c r="Z111" s="50"/>
      <c r="AA111" s="50">
        <v>0</v>
      </c>
      <c r="AB111" s="50"/>
      <c r="AC111" s="50"/>
      <c r="AD111" s="50"/>
      <c r="AE111" s="50">
        <v>0</v>
      </c>
      <c r="AF111" s="30">
        <v>0</v>
      </c>
      <c r="AG111" s="30"/>
      <c r="AH111" s="30"/>
      <c r="AI111" s="30"/>
      <c r="AJ111" s="30"/>
      <c r="AK111" s="30">
        <v>0</v>
      </c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50"/>
      <c r="CY111" s="50"/>
      <c r="CZ111" s="50"/>
      <c r="DA111" s="30"/>
      <c r="DB111" s="30"/>
      <c r="DC111" s="30"/>
      <c r="DD111" s="30"/>
      <c r="DE111" s="30"/>
      <c r="DF111" s="30"/>
    </row>
    <row r="112" spans="2:110" s="25" customFormat="1" x14ac:dyDescent="0.2">
      <c r="B112" s="25" t="s">
        <v>342</v>
      </c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>
        <v>695</v>
      </c>
      <c r="R112" s="30"/>
      <c r="S112" s="30"/>
      <c r="T112" s="30"/>
      <c r="U112" s="30"/>
      <c r="V112" s="30"/>
      <c r="W112" s="30"/>
      <c r="X112" s="30">
        <v>1248</v>
      </c>
      <c r="Y112" s="50"/>
      <c r="Z112" s="50"/>
      <c r="AA112" s="50">
        <v>922</v>
      </c>
      <c r="AB112" s="50"/>
      <c r="AC112" s="50"/>
      <c r="AD112" s="50"/>
      <c r="AE112" s="50">
        <v>1616</v>
      </c>
      <c r="AF112" s="30">
        <v>1543</v>
      </c>
      <c r="AG112" s="30"/>
      <c r="AH112" s="30"/>
      <c r="AI112" s="30"/>
      <c r="AJ112" s="30"/>
      <c r="AK112" s="30">
        <v>773</v>
      </c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50"/>
      <c r="CY112" s="50"/>
      <c r="CZ112" s="50"/>
      <c r="DA112" s="30"/>
      <c r="DB112" s="30"/>
      <c r="DC112" s="30"/>
      <c r="DD112" s="30"/>
      <c r="DE112" s="30"/>
      <c r="DF112" s="30"/>
    </row>
    <row r="113" spans="1:111" s="25" customFormat="1" x14ac:dyDescent="0.2">
      <c r="B113" s="25" t="s">
        <v>104</v>
      </c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>
        <v>508</v>
      </c>
      <c r="R113" s="30"/>
      <c r="S113" s="30"/>
      <c r="T113" s="30"/>
      <c r="U113" s="30"/>
      <c r="V113" s="30"/>
      <c r="W113" s="30"/>
      <c r="X113" s="30">
        <f>915+409</f>
        <v>1324</v>
      </c>
      <c r="Y113" s="50"/>
      <c r="Z113" s="50"/>
      <c r="AA113" s="50">
        <v>438</v>
      </c>
      <c r="AB113" s="50"/>
      <c r="AC113" s="50"/>
      <c r="AD113" s="50"/>
      <c r="AE113" s="50">
        <v>656</v>
      </c>
      <c r="AF113" s="30">
        <v>703</v>
      </c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>
        <v>6640</v>
      </c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50"/>
      <c r="CY113" s="50"/>
      <c r="CZ113" s="50"/>
      <c r="DA113" s="30"/>
      <c r="DB113" s="30"/>
      <c r="DC113" s="30"/>
      <c r="DD113" s="30"/>
      <c r="DE113" s="30"/>
      <c r="DF113" s="30"/>
    </row>
    <row r="114" spans="1:111" s="25" customFormat="1" x14ac:dyDescent="0.2">
      <c r="B114" s="44" t="s">
        <v>397</v>
      </c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>
        <f>SUM(Q104:Q113)</f>
        <v>15538</v>
      </c>
      <c r="R114" s="30"/>
      <c r="S114" s="30"/>
      <c r="T114" s="30"/>
      <c r="U114" s="30"/>
      <c r="V114" s="30"/>
      <c r="W114" s="30"/>
      <c r="X114" s="30">
        <f>SUM(X104:X113)</f>
        <v>15477</v>
      </c>
      <c r="Y114" s="50"/>
      <c r="Z114" s="50"/>
      <c r="AA114" s="50">
        <f>SUM(AA104:AA113)</f>
        <v>14950</v>
      </c>
      <c r="AB114" s="50"/>
      <c r="AC114" s="50"/>
      <c r="AD114" s="50"/>
      <c r="AE114" s="50">
        <f>SUM(AE104:AE113)</f>
        <v>16162</v>
      </c>
      <c r="AF114" s="50">
        <f>SUM(AF104:AF113)</f>
        <v>15855</v>
      </c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50"/>
      <c r="CY114" s="50"/>
      <c r="CZ114" s="50"/>
      <c r="DA114" s="30"/>
      <c r="DB114" s="30"/>
      <c r="DC114" s="30"/>
      <c r="DD114" s="30"/>
      <c r="DE114" s="30"/>
      <c r="DF114" s="30"/>
    </row>
    <row r="115" spans="1:111" s="25" customFormat="1" x14ac:dyDescent="0.2">
      <c r="B115" s="25" t="s">
        <v>343</v>
      </c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>
        <f>Q102-Q114</f>
        <v>12938</v>
      </c>
      <c r="R115" s="30"/>
      <c r="S115" s="30"/>
      <c r="T115" s="30"/>
      <c r="U115" s="30"/>
      <c r="V115" s="30"/>
      <c r="W115" s="30"/>
      <c r="X115" s="30">
        <v>15574</v>
      </c>
      <c r="Y115" s="50"/>
      <c r="Z115" s="50"/>
      <c r="AA115" s="50">
        <v>15901</v>
      </c>
      <c r="AB115" s="50"/>
      <c r="AC115" s="50"/>
      <c r="AD115" s="50"/>
      <c r="AE115" s="50">
        <v>16246</v>
      </c>
      <c r="AF115" s="30">
        <v>15812</v>
      </c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>
        <v>32661</v>
      </c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50"/>
      <c r="CY115" s="50"/>
      <c r="CZ115" s="50"/>
      <c r="DA115" s="30"/>
      <c r="DB115" s="30"/>
      <c r="DC115" s="30"/>
      <c r="DD115" s="30"/>
      <c r="DE115" s="30"/>
      <c r="DF115" s="30"/>
    </row>
    <row r="116" spans="1:111" s="25" customFormat="1" x14ac:dyDescent="0.2">
      <c r="B116" s="44" t="s">
        <v>396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>
        <f>+Q115+Q114</f>
        <v>28476</v>
      </c>
      <c r="R116" s="30"/>
      <c r="S116" s="30"/>
      <c r="T116" s="30"/>
      <c r="U116" s="30"/>
      <c r="V116" s="30"/>
      <c r="W116" s="30"/>
      <c r="X116" s="30">
        <f>+X115+X114</f>
        <v>31051</v>
      </c>
      <c r="Y116" s="50"/>
      <c r="Z116" s="50"/>
      <c r="AA116" s="50">
        <f>+AA115+AA114</f>
        <v>30851</v>
      </c>
      <c r="AB116" s="50"/>
      <c r="AC116" s="50"/>
      <c r="AD116" s="50"/>
      <c r="AE116" s="50">
        <f>+AE115+AE114</f>
        <v>32408</v>
      </c>
      <c r="AF116" s="50">
        <f>+AF115+AF114</f>
        <v>31667</v>
      </c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>
        <f>SUM(BT104:BT115)</f>
        <v>100357</v>
      </c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50"/>
      <c r="CY116" s="50"/>
      <c r="CZ116" s="50"/>
      <c r="DA116" s="30"/>
      <c r="DB116" s="30"/>
      <c r="DC116" s="30"/>
      <c r="DD116" s="30"/>
      <c r="DE116" s="30"/>
      <c r="DF116" s="30"/>
    </row>
    <row r="117" spans="1:111" s="25" customFormat="1" x14ac:dyDescent="0.2">
      <c r="B117" s="25" t="s">
        <v>344</v>
      </c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>
        <f>Q102-Q114-Q99</f>
        <v>6885</v>
      </c>
      <c r="R117" s="30"/>
      <c r="S117" s="30"/>
      <c r="T117" s="30"/>
      <c r="U117" s="30"/>
      <c r="V117" s="30"/>
      <c r="W117" s="30"/>
      <c r="X117" s="30">
        <f>X102-X114-X99</f>
        <v>7593</v>
      </c>
      <c r="Y117" s="50"/>
      <c r="Z117" s="50"/>
      <c r="AA117" s="50">
        <f>AA102-AA114-AA99</f>
        <v>7369</v>
      </c>
      <c r="AB117" s="50"/>
      <c r="AC117" s="50"/>
      <c r="AD117" s="50"/>
      <c r="AE117" s="50">
        <f>AE102-AE114-AE99</f>
        <v>4631</v>
      </c>
      <c r="AF117" s="50">
        <f>AF102-AF114-AF99</f>
        <v>4444</v>
      </c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50"/>
      <c r="CY117" s="50"/>
      <c r="CZ117" s="50"/>
      <c r="DA117" s="30"/>
      <c r="DB117" s="30"/>
      <c r="DC117" s="30"/>
      <c r="DD117" s="30"/>
      <c r="DE117" s="30"/>
      <c r="DF117" s="30"/>
    </row>
    <row r="118" spans="1:111" s="25" customFormat="1" x14ac:dyDescent="0.2">
      <c r="A118" s="1"/>
      <c r="B118" s="1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48"/>
      <c r="Z118" s="48"/>
      <c r="AA118" s="48"/>
      <c r="AB118" s="48"/>
      <c r="AC118" s="48"/>
      <c r="AD118" s="4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48"/>
      <c r="CY118" s="48"/>
      <c r="CZ118" s="48"/>
      <c r="DA118" s="28"/>
      <c r="DB118" s="28"/>
      <c r="DC118" s="28"/>
      <c r="DD118" s="28"/>
      <c r="DE118" s="28"/>
      <c r="DF118" s="28"/>
      <c r="DG118" s="1"/>
    </row>
    <row r="119" spans="1:111" x14ac:dyDescent="0.2">
      <c r="B119" s="1" t="s">
        <v>323</v>
      </c>
      <c r="CG119" s="39">
        <f>CG52/CF52-1</f>
        <v>5.5340081354649406E-2</v>
      </c>
      <c r="CH119" s="39">
        <f>CH52/CG52-1</f>
        <v>2.3036930799569699E-2</v>
      </c>
    </row>
    <row r="120" spans="1:111" x14ac:dyDescent="0.2">
      <c r="B120" s="1" t="s">
        <v>324</v>
      </c>
      <c r="CG120" s="39">
        <v>0.01</v>
      </c>
      <c r="CH120" s="39">
        <v>0.03</v>
      </c>
    </row>
    <row r="121" spans="1:111" x14ac:dyDescent="0.2">
      <c r="B121" s="1" t="s">
        <v>325</v>
      </c>
      <c r="CG121" s="39">
        <v>0.04</v>
      </c>
      <c r="CH121" s="39">
        <v>0.02</v>
      </c>
    </row>
    <row r="122" spans="1:111" x14ac:dyDescent="0.2">
      <c r="B122" s="1" t="s">
        <v>326</v>
      </c>
      <c r="CG122" s="39">
        <v>0.01</v>
      </c>
      <c r="CH122" s="39">
        <v>-0.03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pageSetup scale="15" orientation="landscape" horizontalDpi="1200" verticalDpi="1200" r:id="rId1"/>
  <headerFooter alignWithMargins="0"/>
  <ignoredErrors>
    <ignoredError sqref="H52 CQ52:CS52 DA52 CV52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8"/>
  <sheetViews>
    <sheetView zoomScaleNormal="100"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s="32" t="s">
        <v>64</v>
      </c>
      <c r="C2" s="32" t="s">
        <v>635</v>
      </c>
    </row>
    <row r="3" spans="1:3" x14ac:dyDescent="0.2">
      <c r="B3" s="32" t="s">
        <v>65</v>
      </c>
    </row>
    <row r="4" spans="1:3" x14ac:dyDescent="0.2">
      <c r="B4" s="32" t="s">
        <v>1</v>
      </c>
      <c r="C4" s="32" t="s">
        <v>176</v>
      </c>
    </row>
    <row r="5" spans="1:3" x14ac:dyDescent="0.2">
      <c r="B5" s="32" t="s">
        <v>141</v>
      </c>
      <c r="C5" s="32" t="s">
        <v>410</v>
      </c>
    </row>
    <row r="6" spans="1:3" x14ac:dyDescent="0.2">
      <c r="B6" s="32" t="s">
        <v>151</v>
      </c>
      <c r="C6" s="32" t="s">
        <v>411</v>
      </c>
    </row>
    <row r="7" spans="1:3" x14ac:dyDescent="0.2">
      <c r="B7" s="32" t="s">
        <v>140</v>
      </c>
    </row>
    <row r="8" spans="1:3" x14ac:dyDescent="0.2">
      <c r="B8" s="32"/>
      <c r="C8" s="47" t="s">
        <v>414</v>
      </c>
    </row>
    <row r="9" spans="1:3" x14ac:dyDescent="0.2">
      <c r="B9" s="32"/>
      <c r="C9" s="32" t="s">
        <v>415</v>
      </c>
    </row>
    <row r="10" spans="1:3" x14ac:dyDescent="0.2">
      <c r="B10" s="32"/>
    </row>
    <row r="11" spans="1:3" x14ac:dyDescent="0.2">
      <c r="C11" s="47" t="s">
        <v>412</v>
      </c>
    </row>
    <row r="12" spans="1:3" x14ac:dyDescent="0.2">
      <c r="C12" s="32" t="s">
        <v>413</v>
      </c>
    </row>
    <row r="13" spans="1:3" x14ac:dyDescent="0.2">
      <c r="C13" s="32" t="s">
        <v>487</v>
      </c>
    </row>
    <row r="14" spans="1:3" x14ac:dyDescent="0.2">
      <c r="C14" s="32" t="s">
        <v>482</v>
      </c>
    </row>
    <row r="15" spans="1:3" x14ac:dyDescent="0.2">
      <c r="C15" s="32" t="s">
        <v>483</v>
      </c>
    </row>
    <row r="16" spans="1:3" x14ac:dyDescent="0.2">
      <c r="C16" s="32" t="s">
        <v>484</v>
      </c>
    </row>
    <row r="17" spans="3:3" x14ac:dyDescent="0.2">
      <c r="C17" s="32" t="s">
        <v>485</v>
      </c>
    </row>
    <row r="18" spans="3:3" x14ac:dyDescent="0.2">
      <c r="C18" s="32" t="s">
        <v>486</v>
      </c>
    </row>
  </sheetData>
  <hyperlinks>
    <hyperlink ref="A1" location="Main!A1" display="Main" xr:uid="{00000000-0004-0000-0E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/>
  </sheetViews>
  <sheetFormatPr defaultRowHeight="12.75" x14ac:dyDescent="0.2"/>
  <cols>
    <col min="1" max="1" width="5" style="1" bestFit="1" customWidth="1"/>
    <col min="2" max="2" width="14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524</v>
      </c>
    </row>
    <row r="3" spans="1:3" x14ac:dyDescent="0.2">
      <c r="A3" s="14"/>
      <c r="B3" s="1" t="s">
        <v>65</v>
      </c>
      <c r="C3" s="1" t="s">
        <v>66</v>
      </c>
    </row>
    <row r="4" spans="1:3" x14ac:dyDescent="0.2">
      <c r="A4" s="14"/>
      <c r="B4" s="1" t="s">
        <v>67</v>
      </c>
      <c r="C4" s="1" t="s">
        <v>68</v>
      </c>
    </row>
    <row r="5" spans="1:3" x14ac:dyDescent="0.2">
      <c r="A5" s="14"/>
      <c r="B5" s="1" t="s">
        <v>1</v>
      </c>
      <c r="C5" s="1" t="s">
        <v>29</v>
      </c>
    </row>
    <row r="6" spans="1:3" x14ac:dyDescent="0.2">
      <c r="B6" s="1" t="s">
        <v>69</v>
      </c>
      <c r="C6" s="1" t="s">
        <v>30</v>
      </c>
    </row>
    <row r="7" spans="1:3" x14ac:dyDescent="0.2">
      <c r="B7" s="1" t="s">
        <v>75</v>
      </c>
      <c r="C7" s="1" t="s">
        <v>76</v>
      </c>
    </row>
    <row r="8" spans="1:3" x14ac:dyDescent="0.2">
      <c r="B8" s="1" t="s">
        <v>70</v>
      </c>
      <c r="C8" s="1" t="s">
        <v>71</v>
      </c>
    </row>
    <row r="9" spans="1:3" x14ac:dyDescent="0.2">
      <c r="C9" s="1" t="s">
        <v>73</v>
      </c>
    </row>
    <row r="10" spans="1:3" x14ac:dyDescent="0.2">
      <c r="C10" s="1" t="s">
        <v>72</v>
      </c>
    </row>
    <row r="11" spans="1:3" x14ac:dyDescent="0.2">
      <c r="C11" s="1" t="s">
        <v>74</v>
      </c>
    </row>
    <row r="13" spans="1:3" x14ac:dyDescent="0.2">
      <c r="C13" s="17" t="s">
        <v>464</v>
      </c>
    </row>
    <row r="14" spans="1:3" x14ac:dyDescent="0.2">
      <c r="C14" s="23" t="s">
        <v>465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8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</row>
    <row r="3" spans="1:3" x14ac:dyDescent="0.2">
      <c r="B3" s="1" t="s">
        <v>65</v>
      </c>
      <c r="C3" s="1" t="s">
        <v>150</v>
      </c>
    </row>
    <row r="4" spans="1:3" x14ac:dyDescent="0.2">
      <c r="B4" s="1" t="s">
        <v>141</v>
      </c>
      <c r="C4" s="1" t="s">
        <v>156</v>
      </c>
    </row>
    <row r="5" spans="1:3" x14ac:dyDescent="0.2">
      <c r="B5" s="1" t="s">
        <v>1</v>
      </c>
      <c r="C5" s="1" t="s">
        <v>157</v>
      </c>
    </row>
    <row r="6" spans="1:3" x14ac:dyDescent="0.2">
      <c r="B6" s="1" t="s">
        <v>151</v>
      </c>
      <c r="C6" s="1" t="s">
        <v>27</v>
      </c>
    </row>
    <row r="7" spans="1:3" x14ac:dyDescent="0.2">
      <c r="B7" s="1" t="s">
        <v>140</v>
      </c>
    </row>
    <row r="8" spans="1:3" x14ac:dyDescent="0.2">
      <c r="C8" s="17" t="s">
        <v>385</v>
      </c>
    </row>
    <row r="11" spans="1:3" x14ac:dyDescent="0.2">
      <c r="C11" s="17" t="s">
        <v>386</v>
      </c>
    </row>
    <row r="12" spans="1:3" x14ac:dyDescent="0.2">
      <c r="C12" s="23" t="s">
        <v>387</v>
      </c>
    </row>
    <row r="14" spans="1:3" x14ac:dyDescent="0.2">
      <c r="C14" s="17" t="s">
        <v>152</v>
      </c>
    </row>
    <row r="15" spans="1:3" x14ac:dyDescent="0.2">
      <c r="C15" s="1" t="s">
        <v>153</v>
      </c>
    </row>
    <row r="17" spans="3:3" x14ac:dyDescent="0.2">
      <c r="C17" s="17" t="s">
        <v>154</v>
      </c>
    </row>
    <row r="18" spans="3:3" x14ac:dyDescent="0.2">
      <c r="C18" s="1" t="s">
        <v>155</v>
      </c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2"/>
  <sheetViews>
    <sheetView workbookViewId="0">
      <selection activeCell="C3" sqref="C3"/>
    </sheetView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3" t="s">
        <v>518</v>
      </c>
    </row>
    <row r="3" spans="1:3" x14ac:dyDescent="0.2">
      <c r="B3" s="1" t="s">
        <v>65</v>
      </c>
      <c r="C3" s="1" t="s">
        <v>139</v>
      </c>
    </row>
    <row r="4" spans="1:3" x14ac:dyDescent="0.2">
      <c r="B4" s="1" t="s">
        <v>1</v>
      </c>
      <c r="C4" s="1" t="s">
        <v>171</v>
      </c>
    </row>
    <row r="5" spans="1:3" x14ac:dyDescent="0.2">
      <c r="B5" s="1" t="s">
        <v>141</v>
      </c>
      <c r="C5" s="1" t="s">
        <v>111</v>
      </c>
    </row>
    <row r="6" spans="1:3" x14ac:dyDescent="0.2">
      <c r="B6" s="1" t="s">
        <v>69</v>
      </c>
      <c r="C6" s="1" t="s">
        <v>85</v>
      </c>
    </row>
    <row r="7" spans="1:3" x14ac:dyDescent="0.2">
      <c r="B7" s="1" t="s">
        <v>151</v>
      </c>
      <c r="C7" s="1" t="s">
        <v>218</v>
      </c>
    </row>
    <row r="8" spans="1:3" x14ac:dyDescent="0.2">
      <c r="B8" s="1" t="s">
        <v>3</v>
      </c>
      <c r="C8" s="1" t="s">
        <v>149</v>
      </c>
    </row>
    <row r="9" spans="1:3" x14ac:dyDescent="0.2">
      <c r="B9" s="1" t="s">
        <v>140</v>
      </c>
    </row>
    <row r="10" spans="1:3" x14ac:dyDescent="0.2">
      <c r="C10" s="17" t="s">
        <v>142</v>
      </c>
    </row>
    <row r="11" spans="1:3" x14ac:dyDescent="0.2">
      <c r="C11" s="1" t="s">
        <v>143</v>
      </c>
    </row>
    <row r="12" spans="1:3" x14ac:dyDescent="0.2">
      <c r="C12" s="1" t="s">
        <v>144</v>
      </c>
    </row>
    <row r="14" spans="1:3" x14ac:dyDescent="0.2">
      <c r="C14" s="17" t="s">
        <v>145</v>
      </c>
    </row>
    <row r="17" spans="3:3" x14ac:dyDescent="0.2">
      <c r="C17" s="17" t="s">
        <v>146</v>
      </c>
    </row>
    <row r="20" spans="3:3" x14ac:dyDescent="0.2">
      <c r="C20" s="17" t="s">
        <v>147</v>
      </c>
    </row>
    <row r="21" spans="3:3" x14ac:dyDescent="0.2">
      <c r="C21" s="17"/>
    </row>
    <row r="23" spans="3:3" x14ac:dyDescent="0.2">
      <c r="C23" s="17" t="s">
        <v>148</v>
      </c>
    </row>
    <row r="27" spans="3:3" x14ac:dyDescent="0.2">
      <c r="C27" s="19" t="s">
        <v>173</v>
      </c>
    </row>
    <row r="29" spans="3:3" x14ac:dyDescent="0.2">
      <c r="C29" s="17" t="s">
        <v>172</v>
      </c>
    </row>
    <row r="31" spans="3:3" x14ac:dyDescent="0.2">
      <c r="C31" s="17" t="s">
        <v>391</v>
      </c>
    </row>
    <row r="32" spans="3:3" x14ac:dyDescent="0.2">
      <c r="C32" s="23" t="s">
        <v>392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Normal="100"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4" x14ac:dyDescent="0.2">
      <c r="A1" s="29" t="s">
        <v>63</v>
      </c>
    </row>
    <row r="2" spans="1:4" x14ac:dyDescent="0.2">
      <c r="B2" s="32" t="s">
        <v>64</v>
      </c>
      <c r="C2" s="32" t="s">
        <v>643</v>
      </c>
      <c r="D2" s="32"/>
    </row>
    <row r="3" spans="1:4" x14ac:dyDescent="0.2">
      <c r="B3" s="32" t="s">
        <v>65</v>
      </c>
      <c r="C3" s="32" t="s">
        <v>417</v>
      </c>
    </row>
    <row r="4" spans="1:4" x14ac:dyDescent="0.2">
      <c r="B4" s="32" t="s">
        <v>1</v>
      </c>
      <c r="C4" s="32" t="s">
        <v>493</v>
      </c>
    </row>
    <row r="5" spans="1:4" x14ac:dyDescent="0.2">
      <c r="B5" s="32" t="s">
        <v>141</v>
      </c>
      <c r="C5" s="32" t="s">
        <v>642</v>
      </c>
    </row>
    <row r="6" spans="1:4" x14ac:dyDescent="0.2">
      <c r="B6" s="32" t="s">
        <v>151</v>
      </c>
      <c r="C6" s="32" t="s">
        <v>639</v>
      </c>
    </row>
    <row r="7" spans="1:4" x14ac:dyDescent="0.2">
      <c r="B7" s="32" t="s">
        <v>140</v>
      </c>
    </row>
    <row r="8" spans="1:4" x14ac:dyDescent="0.2">
      <c r="C8" s="47" t="s">
        <v>488</v>
      </c>
    </row>
    <row r="9" spans="1:4" x14ac:dyDescent="0.2">
      <c r="C9" s="32" t="s">
        <v>489</v>
      </c>
    </row>
    <row r="10" spans="1:4" x14ac:dyDescent="0.2">
      <c r="C10" s="32"/>
    </row>
    <row r="11" spans="1:4" x14ac:dyDescent="0.2">
      <c r="C11" s="47" t="s">
        <v>641</v>
      </c>
    </row>
    <row r="12" spans="1:4" x14ac:dyDescent="0.2">
      <c r="C12" s="32"/>
    </row>
    <row r="14" spans="1:4" x14ac:dyDescent="0.2">
      <c r="C14" s="47" t="s">
        <v>490</v>
      </c>
    </row>
    <row r="15" spans="1:4" x14ac:dyDescent="0.2">
      <c r="C15" s="32" t="s">
        <v>491</v>
      </c>
    </row>
    <row r="16" spans="1:4" x14ac:dyDescent="0.2">
      <c r="C16" s="32" t="s">
        <v>492</v>
      </c>
    </row>
  </sheetData>
  <hyperlinks>
    <hyperlink ref="A1" location="Main!A1" display="Main" xr:uid="{00000000-0004-0000-0D00-000000000000}"/>
  </hyperlink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/>
  </sheetViews>
  <sheetFormatPr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345</v>
      </c>
    </row>
    <row r="3" spans="1:3" x14ac:dyDescent="0.2">
      <c r="B3" s="1" t="s">
        <v>65</v>
      </c>
      <c r="C3" s="1" t="s">
        <v>291</v>
      </c>
    </row>
    <row r="4" spans="1:3" x14ac:dyDescent="0.2">
      <c r="B4" s="1" t="s">
        <v>141</v>
      </c>
      <c r="C4" s="1" t="s">
        <v>279</v>
      </c>
    </row>
    <row r="5" spans="1:3" x14ac:dyDescent="0.2">
      <c r="B5" s="1" t="s">
        <v>151</v>
      </c>
      <c r="C5" s="1" t="s">
        <v>346</v>
      </c>
    </row>
    <row r="6" spans="1:3" x14ac:dyDescent="0.2">
      <c r="B6" s="1" t="s">
        <v>1</v>
      </c>
      <c r="C6" s="1" t="s">
        <v>347</v>
      </c>
    </row>
    <row r="7" spans="1:3" x14ac:dyDescent="0.2">
      <c r="B7" s="1" t="s">
        <v>140</v>
      </c>
    </row>
    <row r="8" spans="1:3" x14ac:dyDescent="0.2">
      <c r="C8" s="17" t="s">
        <v>292</v>
      </c>
    </row>
    <row r="9" spans="1:3" x14ac:dyDescent="0.2">
      <c r="C9" s="1" t="s">
        <v>293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06DA00-2832-4926-9B8E-385E975B4BC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C6227C-4700-4C6A-A399-7F39853AD9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D3B50D-5291-4A7C-B8EF-C3BAE1EC0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Master</vt:lpstr>
      <vt:lpstr>Main</vt:lpstr>
      <vt:lpstr>Model</vt:lpstr>
      <vt:lpstr>Opdivo</vt:lpstr>
      <vt:lpstr>Orencia</vt:lpstr>
      <vt:lpstr>Yervoy</vt:lpstr>
      <vt:lpstr>Eliquis</vt:lpstr>
      <vt:lpstr>Empliciti</vt:lpstr>
      <vt:lpstr>Avapro</vt:lpstr>
      <vt:lpstr>Plavix</vt:lpstr>
      <vt:lpstr>Abilify</vt:lpstr>
      <vt:lpstr>Reyataz</vt:lpstr>
      <vt:lpstr>Sprycel</vt:lpstr>
      <vt:lpstr>Erbitux</vt:lpstr>
      <vt:lpstr>Onglyza</vt:lpstr>
      <vt:lpstr>Sustiva</vt:lpstr>
      <vt:lpstr>dapagliflozin</vt:lpstr>
      <vt:lpstr>ixabepilone</vt:lpstr>
      <vt:lpstr>790052</vt:lpstr>
      <vt:lpstr>Discontinuations</vt:lpstr>
      <vt:lpstr>brivanib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2009-08-24T23:46:17Z</cp:lastPrinted>
  <dcterms:created xsi:type="dcterms:W3CDTF">2004-12-13T22:58:10Z</dcterms:created>
  <dcterms:modified xsi:type="dcterms:W3CDTF">2022-09-12T12:49:02Z</dcterms:modified>
</cp:coreProperties>
</file>