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6243105-8E6D-48CA-8964-F18BD2C60D70}" xr6:coauthVersionLast="47" xr6:coauthVersionMax="47" xr10:uidLastSave="{00000000-0000-0000-0000-000000000000}"/>
  <bookViews>
    <workbookView xWindow="77910" yWindow="750" windowWidth="25035" windowHeight="19590" xr2:uid="{17641224-F2C3-441B-B85B-BB32567FE633}"/>
  </bookViews>
  <sheets>
    <sheet name="Main" sheetId="1" r:id="rId1"/>
    <sheet name="FX" sheetId="2" r:id="rId2"/>
    <sheet name="Private" sheetId="3" r:id="rId3"/>
    <sheet name="Acquisition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5" i="1" l="1"/>
  <c r="I145" i="1"/>
  <c r="F145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8" i="1" s="1"/>
  <c r="B19" i="1" s="1"/>
  <c r="B17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G54" i="1"/>
  <c r="I54" i="1"/>
  <c r="F54" i="1" s="1"/>
  <c r="H54" i="1" s="1"/>
  <c r="B31" i="1" l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H145" i="1"/>
  <c r="G26" i="1"/>
  <c r="I26" i="1"/>
  <c r="F26" i="1" s="1"/>
  <c r="B1" i="1" l="1"/>
  <c r="H26" i="1"/>
  <c r="I24" i="1"/>
  <c r="F24" i="1" s="1"/>
  <c r="G24" i="1"/>
  <c r="I22" i="1"/>
  <c r="H24" i="1" l="1"/>
  <c r="I21" i="1"/>
  <c r="F21" i="1" s="1"/>
  <c r="G20" i="1" l="1"/>
  <c r="F20" i="1"/>
  <c r="I16" i="1" l="1"/>
  <c r="F16" i="1" s="1"/>
  <c r="I15" i="1" l="1"/>
  <c r="I14" i="1" l="1"/>
  <c r="F14" i="1" s="1"/>
  <c r="G12" i="1" l="1"/>
  <c r="G13" i="1" l="1"/>
  <c r="I13" i="1"/>
  <c r="F13" i="1" s="1"/>
  <c r="I12" i="1" l="1"/>
  <c r="F12" i="1" l="1"/>
  <c r="I19" i="1" l="1"/>
  <c r="F19" i="1" s="1"/>
  <c r="I18" i="1"/>
  <c r="F18" i="1" s="1"/>
  <c r="K19" i="1"/>
  <c r="K2" i="1" s="1"/>
  <c r="G23" i="1" l="1"/>
  <c r="F25" i="1"/>
  <c r="I23" i="1"/>
  <c r="F23" i="1" s="1"/>
  <c r="H23" i="1" l="1"/>
  <c r="G140" i="1"/>
  <c r="I140" i="1"/>
  <c r="F140" i="1" s="1"/>
  <c r="G56" i="1"/>
  <c r="I56" i="1"/>
  <c r="F56" i="1" s="1"/>
  <c r="H56" i="1" l="1"/>
  <c r="H140" i="1"/>
  <c r="I17" i="1"/>
  <c r="F17" i="1" s="1"/>
  <c r="G11" i="1" l="1"/>
  <c r="I11" i="1"/>
  <c r="F11" i="1" s="1"/>
  <c r="G10" i="1" l="1"/>
  <c r="G9" i="1"/>
  <c r="I10" i="1"/>
  <c r="F10" i="1" s="1"/>
  <c r="I9" i="1"/>
  <c r="F9" i="1" s="1"/>
  <c r="H10" i="1" l="1"/>
  <c r="AB6" i="1"/>
  <c r="AA6" i="1"/>
  <c r="Z6" i="1"/>
  <c r="Y6" i="1"/>
  <c r="X6" i="1"/>
  <c r="W6" i="1"/>
  <c r="O6" i="1"/>
  <c r="N6" i="1"/>
  <c r="P6" i="1"/>
  <c r="L6" i="1"/>
  <c r="M6" i="1" s="1"/>
  <c r="G6" i="1" l="1"/>
  <c r="I6" i="1"/>
  <c r="F6" i="1" s="1"/>
  <c r="G7" i="1" l="1"/>
  <c r="I7" i="1" l="1"/>
  <c r="F7" i="1" s="1"/>
  <c r="I5" i="1" l="1"/>
  <c r="F5" i="1" s="1"/>
  <c r="G5" i="1"/>
  <c r="I8" i="1" l="1"/>
  <c r="F8" i="1" s="1"/>
  <c r="I4" i="1" l="1"/>
  <c r="G55" i="1" l="1"/>
  <c r="I55" i="1"/>
  <c r="F55" i="1" s="1"/>
  <c r="H55" i="1" l="1"/>
  <c r="G130" i="1"/>
  <c r="F130" i="1"/>
  <c r="H130" i="1" l="1"/>
  <c r="G45" i="1"/>
  <c r="F45" i="1"/>
  <c r="H45" i="1" l="1"/>
  <c r="G96" i="1"/>
  <c r="F96" i="1"/>
  <c r="G129" i="1"/>
  <c r="F129" i="1"/>
  <c r="F22" i="1"/>
  <c r="G22" i="1"/>
  <c r="H96" i="1" l="1"/>
  <c r="H129" i="1"/>
  <c r="H22" i="1"/>
  <c r="G25" i="1"/>
  <c r="G49" i="1"/>
  <c r="F49" i="1"/>
  <c r="G147" i="1"/>
  <c r="F147" i="1"/>
  <c r="H49" i="1" l="1"/>
  <c r="H25" i="1"/>
  <c r="H147" i="1"/>
  <c r="F53" i="1"/>
  <c r="G53" i="1"/>
  <c r="G17" i="1"/>
  <c r="H53" i="1" l="1"/>
  <c r="H17" i="1"/>
  <c r="F4" i="1"/>
  <c r="G52" i="1" l="1"/>
  <c r="F52" i="1"/>
  <c r="H52" i="1" l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6" i="1"/>
  <c r="F146" i="1"/>
  <c r="G144" i="1"/>
  <c r="F144" i="1"/>
  <c r="G21" i="1"/>
  <c r="G19" i="1"/>
  <c r="G18" i="1"/>
  <c r="G16" i="1"/>
  <c r="G15" i="1"/>
  <c r="F15" i="1"/>
  <c r="G14" i="1"/>
  <c r="H9" i="1"/>
  <c r="G8" i="1"/>
  <c r="G4" i="1"/>
  <c r="H4" i="1" s="1"/>
  <c r="H21" i="1" l="1"/>
  <c r="H152" i="1"/>
  <c r="H16" i="1"/>
  <c r="H19" i="1"/>
  <c r="H12" i="1"/>
  <c r="H11" i="1"/>
  <c r="H151" i="1"/>
  <c r="H153" i="1"/>
  <c r="H15" i="1"/>
  <c r="H148" i="1"/>
  <c r="H18" i="1"/>
  <c r="H149" i="1"/>
  <c r="H14" i="1"/>
  <c r="H8" i="1"/>
  <c r="H20" i="1"/>
  <c r="H144" i="1"/>
  <c r="H146" i="1"/>
  <c r="H7" i="1"/>
  <c r="H13" i="1"/>
  <c r="H150" i="1"/>
  <c r="H5" i="1"/>
  <c r="H6" i="1" l="1"/>
  <c r="V6" i="1" l="1"/>
  <c r="S6" i="1"/>
  <c r="R6" i="1"/>
  <c r="Q6" i="1"/>
  <c r="U6" i="1"/>
  <c r="T6" i="1"/>
</calcChain>
</file>

<file path=xl/sharedStrings.xml><?xml version="1.0" encoding="utf-8"?>
<sst xmlns="http://schemas.openxmlformats.org/spreadsheetml/2006/main" count="456" uniqueCount="364">
  <si>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</si>
  <si>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</si>
  <si>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</si>
  <si>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</si>
  <si>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</si>
  <si>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</si>
  <si>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</si>
  <si>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</si>
  <si>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</si>
  <si>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</si>
  <si>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</si>
  <si>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</si>
  <si>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</si>
  <si>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</si>
  <si>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</si>
  <si>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</si>
  <si>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</si>
  <si>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</si>
  <si>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</si>
  <si>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</si>
  <si>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</si>
  <si>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</si>
  <si>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</si>
  <si>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</si>
  <si>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</si>
  <si>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</si>
  <si>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</si>
  <si>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</si>
  <si>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</si>
  <si>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</si>
  <si>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</si>
  <si>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</si>
  <si>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</si>
  <si>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</si>
  <si>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</si>
  <si>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</si>
  <si>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</si>
  <si>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</si>
  <si>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</si>
  <si>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</si>
  <si>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</si>
  <si>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</si>
  <si>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</si>
  <si>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</si>
  <si>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</si>
  <si>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</si>
  <si>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</si>
  <si>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</si>
  <si>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</si>
  <si>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</si>
  <si>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</si>
  <si>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</si>
  <si>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</si>
  <si>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</si>
  <si>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</si>
  <si>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</si>
  <si>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</si>
  <si>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</si>
  <si>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</si>
  <si>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</si>
  <si>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</si>
  <si>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</si>
  <si>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</si>
  <si>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</si>
  <si>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</si>
  <si>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</si>
  <si>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</si>
  <si>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</si>
  <si>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</si>
  <si>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</si>
  <si>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</si>
  <si>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</si>
  <si>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</si>
  <si>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</si>
  <si>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</si>
  <si>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</si>
  <si>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</si>
  <si>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</si>
  <si>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</si>
  <si>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</si>
  <si>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</si>
  <si>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</si>
  <si>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</si>
  <si>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</si>
  <si>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</si>
  <si>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</si>
  <si>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</si>
  <si>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</si>
  <si>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</si>
  <si>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</si>
  <si>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</si>
  <si>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</si>
  <si>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</si>
  <si>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</si>
  <si>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</si>
  <si>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</si>
  <si>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</si>
  <si>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</si>
  <si>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</si>
  <si>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</si>
  <si>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</si>
  <si>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</si>
  <si>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</si>
  <si>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</si>
  <si>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</si>
  <si>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</si>
  <si>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</si>
  <si>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</si>
  <si>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</si>
  <si>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</si>
  <si>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</si>
  <si>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</si>
  <si>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</si>
  <si>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</si>
  <si>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</si>
  <si>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</si>
  <si>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</si>
  <si>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</si>
  <si>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</si>
  <si>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</si>
  <si>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</si>
  <si>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</si>
  <si>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</si>
  <si>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</si>
  <si>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</si>
  <si>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</si>
  <si>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</si>
  <si>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</si>
  <si>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</si>
  <si>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</si>
  <si>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</si>
  <si>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</si>
  <si>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</si>
  <si>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</si>
  <si>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</si>
  <si>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</si>
  <si>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</si>
  <si>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</si>
  <si>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</si>
  <si>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</si>
  <si>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</si>
  <si>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</si>
  <si>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</si>
  <si>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</si>
  <si>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</si>
  <si>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</si>
  <si>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</si>
  <si>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</si>
  <si>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</si>
  <si>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</si>
  <si>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</si>
  <si>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</si>
  <si>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</si>
  <si>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</si>
  <si>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</si>
  <si>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</si>
  <si>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</si>
  <si>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</si>
  <si>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</si>
  <si>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</si>
  <si>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</si>
  <si>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</si>
  <si>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</si>
  <si>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</si>
  <si>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</si>
  <si>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</si>
  <si>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</si>
  <si>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</si>
  <si>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</si>
  <si>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</si>
  <si>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</si>
  <si>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</si>
  <si>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</si>
  <si>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</si>
  <si>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</si>
  <si>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</si>
  <si>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</si>
  <si>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</si>
  <si>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</si>
  <si>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</si>
  <si>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</si>
  <si>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</si>
  <si>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</si>
  <si>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</si>
  <si>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</si>
  <si>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</si>
  <si>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</si>
  <si>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</si>
  <si>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</si>
  <si>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</si>
  <si>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</si>
  <si>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</si>
  <si>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</si>
  <si>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</si>
  <si>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</si>
  <si>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</si>
  <si>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</si>
  <si>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</si>
  <si>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</si>
  <si>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</si>
  <si>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</si>
  <si>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</si>
  <si>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</si>
  <si>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</si>
  <si>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</si>
  <si>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</si>
  <si>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</si>
  <si>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</si>
  <si>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</si>
  <si>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</si>
  <si>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</si>
  <si>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</si>
  <si>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</si>
  <si>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</si>
  <si>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</si>
  <si>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</si>
  <si>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</si>
  <si>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</si>
  <si>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</si>
  <si>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</si>
  <si>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</si>
  <si>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</si>
  <si>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</si>
  <si>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</si>
  <si>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</si>
  <si>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</si>
  <si>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</si>
  <si>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</si>
  <si>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</si>
  <si>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</si>
  <si>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</si>
  <si>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</si>
  <si>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</si>
  <si>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</si>
  <si>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</si>
  <si>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</si>
  <si>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</si>
  <si>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</si>
  <si>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</si>
  <si>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</si>
  <si>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</si>
  <si>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</si>
  <si>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</si>
  <si>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</si>
  <si>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</si>
  <si>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</si>
  <si>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</si>
  <si>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</si>
  <si>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</si>
  <si>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</si>
  <si>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</si>
  <si>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</si>
  <si>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</si>
  <si>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</si>
  <si>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</si>
  <si>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</si>
  <si>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</si>
  <si>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</si>
  <si>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</si>
  <si>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</si>
  <si>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</si>
  <si>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</si>
  <si>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</si>
  <si>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</si>
  <si>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</si>
  <si>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</si>
  <si>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</si>
  <si>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</si>
  <si>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</si>
  <si>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</si>
  <si>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</si>
  <si>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</si>
  <si>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</si>
  <si>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</si>
  <si>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</si>
  <si>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</si>
  <si>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</si>
  <si>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</si>
  <si>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</si>
  <si>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</si>
  <si>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</si>
  <si>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</si>
  <si>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</si>
  <si>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</si>
  <si>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</si>
  <si>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</si>
  <si>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</si>
  <si>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</si>
  <si>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</si>
  <si>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</si>
  <si>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</si>
  <si>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</si>
  <si>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</si>
  <si>
    <t>Avista Therapeutics</t>
  </si>
  <si>
    <t>Main</t>
  </si>
  <si>
    <t>InnoRNA</t>
  </si>
  <si>
    <t>Veru</t>
  </si>
  <si>
    <t>VERU</t>
  </si>
  <si>
    <t>Empirico</t>
  </si>
  <si>
    <t>Everest Medicines</t>
  </si>
  <si>
    <t>1952 HK</t>
  </si>
  <si>
    <t>BioCryst</t>
  </si>
  <si>
    <t>GW Pharma</t>
  </si>
  <si>
    <t>Acquiree</t>
  </si>
  <si>
    <t>Acquirer</t>
  </si>
  <si>
    <t>Hikma</t>
  </si>
  <si>
    <t>HIK LN</t>
  </si>
  <si>
    <t>Siga</t>
  </si>
  <si>
    <t>SIGA</t>
  </si>
  <si>
    <t>SO</t>
  </si>
  <si>
    <t>Q222</t>
  </si>
  <si>
    <t>Altimmune</t>
  </si>
  <si>
    <t>ALT</t>
  </si>
  <si>
    <t>Atai</t>
  </si>
  <si>
    <t>ATAI</t>
  </si>
  <si>
    <t>Last</t>
  </si>
  <si>
    <t>Innovent</t>
  </si>
  <si>
    <t>1801 HK</t>
  </si>
  <si>
    <t>I-Mab</t>
  </si>
  <si>
    <t>IMAB</t>
  </si>
  <si>
    <t>EPS</t>
  </si>
  <si>
    <t>EV/EPS</t>
  </si>
  <si>
    <t>NPV</t>
  </si>
  <si>
    <t>Discount</t>
  </si>
  <si>
    <t>Upside</t>
  </si>
  <si>
    <t>ROIC</t>
  </si>
  <si>
    <t>Terminal</t>
  </si>
  <si>
    <t>NOVOB</t>
  </si>
  <si>
    <t>MiroBio</t>
  </si>
  <si>
    <t>Consideration</t>
  </si>
  <si>
    <t>$405m</t>
  </si>
  <si>
    <t>Avalo</t>
  </si>
  <si>
    <t>AVTX</t>
  </si>
  <si>
    <t>1859, Inc.</t>
  </si>
  <si>
    <t>Round</t>
  </si>
  <si>
    <t>Series A</t>
  </si>
  <si>
    <t>Size</t>
  </si>
  <si>
    <t>Investors</t>
  </si>
  <si>
    <t>Northpond Ventures, OMX Ventures</t>
  </si>
  <si>
    <t>40m</t>
  </si>
  <si>
    <t>Date</t>
  </si>
  <si>
    <t>San Diego, CA</t>
  </si>
  <si>
    <t>Absci</t>
  </si>
  <si>
    <t>ABSI</t>
  </si>
  <si>
    <t>x</t>
  </si>
  <si>
    <t>4502 JP</t>
  </si>
  <si>
    <t>Arcellx</t>
  </si>
  <si>
    <t>ACLX</t>
  </si>
  <si>
    <t>SyntheticGestalt</t>
  </si>
  <si>
    <t>11m</t>
  </si>
  <si>
    <t>Neomorph</t>
  </si>
  <si>
    <t>Moonlake Immunotherapeutics</t>
  </si>
  <si>
    <t>IL-17 A/F mab</t>
  </si>
  <si>
    <t>Iveric</t>
  </si>
  <si>
    <t>ISEE</t>
  </si>
  <si>
    <t>Ablynx</t>
  </si>
  <si>
    <t>Centocor</t>
  </si>
  <si>
    <t>Medarex</t>
  </si>
  <si>
    <t>Cel-Sci</t>
  </si>
  <si>
    <t>CVM</t>
  </si>
  <si>
    <t>Roivant</t>
  </si>
  <si>
    <t>RVNT</t>
  </si>
  <si>
    <t>Cytodyn</t>
  </si>
  <si>
    <t>CYDY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</si>
</sst>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\x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4" fontId="0" fillId="0" borderId="0" xfId="0" applyNumberFormat="1"/>
    <xf numFmtId="0" fontId="2" fillId="0" borderId="0" xfId="1" applyFill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RK%20G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SL%20AU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VRT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EGN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MR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VTRS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BNTX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INCY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BGNE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ROIV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IK%20LN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ALK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ABC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L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VERU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IGA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AVTX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CYDY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LQDA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OG%20VX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"/>
      <sheetName val="Markets"/>
      <sheetName val="Debt"/>
      <sheetName val="IMS"/>
      <sheetName val="IP"/>
      <sheetName val="Master Pipeline"/>
      <sheetName val="Main"/>
      <sheetName val="Model"/>
      <sheetName val="Stelara"/>
      <sheetName val="Remicade"/>
      <sheetName val="Imbruvica"/>
      <sheetName val="Darzalex"/>
      <sheetName val="Ponvory"/>
      <sheetName val="Xarelto"/>
      <sheetName val="Tecvayli"/>
      <sheetName val="Invega"/>
      <sheetName val="Sustenna"/>
      <sheetName val="Simponi"/>
      <sheetName val="Consta"/>
      <sheetName val="Procrit"/>
      <sheetName val="Velcade"/>
      <sheetName val="Topamax"/>
      <sheetName val="Prezista"/>
      <sheetName val="Intelence"/>
      <sheetName val="Concerta"/>
      <sheetName val="Contraceptives"/>
      <sheetName val="riplivirine"/>
      <sheetName val="canagliflozin"/>
      <sheetName val="abiraterone"/>
      <sheetName val="Consumer"/>
      <sheetName val="telaprevir"/>
      <sheetName val="Consumer Model"/>
      <sheetName val="MD&amp;D"/>
      <sheetName val="DePuy"/>
      <sheetName val="DePuy Model"/>
      <sheetName val="LifeScan"/>
      <sheetName val="Vision"/>
      <sheetName val="Cordis"/>
      <sheetName val="EndoSurgery"/>
      <sheetName val="Ethicon"/>
      <sheetName val="Ultram"/>
      <sheetName val="Acquisitions"/>
      <sheetName val="Levaquin"/>
      <sheetName val="Aciphex"/>
      <sheetName val="Doripenem"/>
      <sheetName val="Tapentadol"/>
      <sheetName val="Comfyde"/>
      <sheetName val="Natrecor"/>
      <sheetName val="Diagnostics"/>
      <sheetName val="Risperdal"/>
      <sheetName val="Duragesic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Q3">
            <v>2631.4018040000001</v>
          </cell>
        </row>
        <row r="5">
          <cell r="Q5">
            <v>30388</v>
          </cell>
        </row>
        <row r="6">
          <cell r="Q6">
            <v>33148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>
        <row r="3">
          <cell r="K3">
            <v>1251</v>
          </cell>
        </row>
        <row r="5">
          <cell r="K5">
            <v>0</v>
          </cell>
        </row>
        <row r="6">
          <cell r="K6">
            <v>12190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/>
      <sheetData sheetId="1">
        <row r="3">
          <cell r="L3">
            <v>1560</v>
          </cell>
        </row>
        <row r="5">
          <cell r="L5">
            <v>0</v>
          </cell>
        </row>
        <row r="6">
          <cell r="L6">
            <v>24689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 refreshError="1"/>
      <sheetData sheetId="1">
        <row r="4">
          <cell r="K4">
            <v>4025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Biktarvy"/>
      <sheetName val="Descovy"/>
      <sheetName val="Genvoya"/>
      <sheetName val="Veklury"/>
      <sheetName val="Stribild"/>
      <sheetName val="Trodelvy"/>
      <sheetName val="Truvada"/>
      <sheetName val="Viread"/>
      <sheetName val="Ranexa"/>
      <sheetName val="Atripla"/>
      <sheetName val="Harvoni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 refreshError="1"/>
      <sheetData sheetId="1">
        <row r="3">
          <cell r="J3">
            <v>1253.3673940000001</v>
          </cell>
        </row>
        <row r="5">
          <cell r="J5">
            <v>7000</v>
          </cell>
        </row>
        <row r="6">
          <cell r="J6">
            <v>26216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J5">
            <v>1637.8999999999996</v>
          </cell>
        </row>
        <row r="6">
          <cell r="J6">
            <v>11803.1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470.117188</v>
          </cell>
        </row>
        <row r="5">
          <cell r="J5">
            <v>10436.4</v>
          </cell>
        </row>
        <row r="6">
          <cell r="J6">
            <v>9657.7999999999993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rikafta"/>
      <sheetName val="Orkambi"/>
      <sheetName val="Symdeko"/>
      <sheetName val="Kalydeco"/>
      <sheetName val="CTX001"/>
      <sheetName val="VX-880"/>
      <sheetName val="VX-121"/>
      <sheetName val="VX-548"/>
      <sheetName val="inaxaplin"/>
      <sheetName val="IP"/>
      <sheetName val="Compounds"/>
    </sheetNames>
    <sheetDataSet>
      <sheetData sheetId="0">
        <row r="3">
          <cell r="M3">
            <v>256</v>
          </cell>
        </row>
        <row r="5">
          <cell r="M5">
            <v>9253.4</v>
          </cell>
        </row>
        <row r="6">
          <cell r="M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Dupixent"/>
      <sheetName val="Eylea"/>
      <sheetName val="Arcalyst"/>
      <sheetName val="Zaltrap"/>
      <sheetName val="VEGF Trap"/>
      <sheetName val="REGN727"/>
      <sheetName val="REGN88"/>
    </sheetNames>
    <sheetDataSet>
      <sheetData sheetId="0">
        <row r="3">
          <cell r="J3">
            <v>109.51814600000002</v>
          </cell>
        </row>
        <row r="5">
          <cell r="J5">
            <v>13982.3</v>
          </cell>
        </row>
        <row r="6">
          <cell r="J6">
            <v>1980.7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391.199544</v>
          </cell>
        </row>
        <row r="5">
          <cell r="L5">
            <v>18059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Humira"/>
      <sheetName val="Rinvoq"/>
      <sheetName val="Skyrizi"/>
    </sheetNames>
    <sheetDataSet>
      <sheetData sheetId="0"/>
      <sheetData sheetId="1">
        <row r="3">
          <cell r="K3">
            <v>1768.096495</v>
          </cell>
        </row>
        <row r="5">
          <cell r="K5">
            <v>10205</v>
          </cell>
        </row>
        <row r="6">
          <cell r="K6">
            <v>72932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1212.326908</v>
          </cell>
        </row>
        <row r="5">
          <cell r="M5">
            <v>752.4</v>
          </cell>
        </row>
        <row r="6">
          <cell r="M6">
            <v>19417.900000000001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omirnaty"/>
    </sheetNames>
    <sheetDataSet>
      <sheetData sheetId="0">
        <row r="3">
          <cell r="K3">
            <v>242.68540100000001</v>
          </cell>
        </row>
        <row r="5">
          <cell r="K5">
            <v>9334.7999999999993</v>
          </cell>
        </row>
        <row r="6">
          <cell r="K6">
            <v>1013.9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Jakafi"/>
      <sheetName val="NEJM letter"/>
      <sheetName val="Opzelura"/>
      <sheetName val="Olumiant"/>
      <sheetName val="Minjuvi"/>
      <sheetName val="Tabrecta"/>
      <sheetName val="Pemazyre"/>
      <sheetName val="retifanlimab"/>
      <sheetName val="parsaclisib"/>
      <sheetName val="INCB7839"/>
      <sheetName val="INCB24360"/>
      <sheetName val="INCB 7839"/>
      <sheetName val="INCB 8696"/>
      <sheetName val="Dexelvucitabine"/>
      <sheetName val="INCB 13739"/>
      <sheetName val="INCB 15050"/>
      <sheetName val="Old Model"/>
      <sheetName val="JAK field"/>
    </sheetNames>
    <sheetDataSet>
      <sheetData sheetId="0">
        <row r="3">
          <cell r="K3">
            <v>221.505011</v>
          </cell>
        </row>
        <row r="5">
          <cell r="K5">
            <v>2721</v>
          </cell>
        </row>
        <row r="6">
          <cell r="K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102.46286600000001</v>
          </cell>
        </row>
        <row r="5">
          <cell r="L5">
            <v>6252.2330000000002</v>
          </cell>
        </row>
        <row r="6">
          <cell r="L6">
            <v>608.99199999999996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Vtama"/>
      <sheetName val="brepocitinib"/>
      <sheetName val="IP"/>
    </sheetNames>
    <sheetDataSet>
      <sheetData sheetId="0">
        <row r="3">
          <cell r="K3">
            <v>695.87885900000003</v>
          </cell>
        </row>
        <row r="5">
          <cell r="K5">
            <v>2257.7559999999999</v>
          </cell>
        </row>
        <row r="6">
          <cell r="K6">
            <v>417.024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233</v>
          </cell>
        </row>
        <row r="5">
          <cell r="K5">
            <v>426</v>
          </cell>
        </row>
        <row r="6">
          <cell r="K6">
            <v>763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onsta"/>
      <sheetName val="Vivitrol"/>
      <sheetName val="nemvaleukin"/>
      <sheetName val="Byetta LAR"/>
      <sheetName val="Discontinued - ALKS27"/>
      <sheetName val="Jansenn Contract"/>
      <sheetName val="ALKS33"/>
    </sheetNames>
    <sheetDataSet>
      <sheetData sheetId="0">
        <row r="3">
          <cell r="L3">
            <v>164.25427500000001</v>
          </cell>
        </row>
        <row r="5">
          <cell r="L5">
            <v>759.97699999999998</v>
          </cell>
        </row>
        <row r="6">
          <cell r="L6">
            <v>294.53699999999998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311.48201699999998</v>
          </cell>
        </row>
        <row r="5">
          <cell r="N5">
            <v>869.93499999999995</v>
          </cell>
        </row>
        <row r="6">
          <cell r="N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/>
      <sheetData sheetId="1">
        <row r="3">
          <cell r="J3">
            <v>950.15955899999994</v>
          </cell>
        </row>
        <row r="5">
          <cell r="J5">
            <v>5295.6</v>
          </cell>
        </row>
        <row r="6">
          <cell r="J6">
            <v>16508.8</v>
          </cell>
        </row>
      </sheetData>
      <sheetData sheetId="2">
        <row r="66">
          <cell r="DC66">
            <v>10.453488289438305</v>
          </cell>
          <cell r="DD66">
            <v>10.36667078924344</v>
          </cell>
          <cell r="DE66">
            <v>20.384820100617208</v>
          </cell>
          <cell r="DF66">
            <v>23.432667692629824</v>
          </cell>
          <cell r="DG66">
            <v>27.490447248773627</v>
          </cell>
          <cell r="DH66">
            <v>28.457013407039554</v>
          </cell>
        </row>
        <row r="79">
          <cell r="DM79">
            <v>0.01</v>
          </cell>
        </row>
        <row r="80">
          <cell r="DM80">
            <v>-0.01</v>
          </cell>
        </row>
        <row r="81">
          <cell r="DM81">
            <v>7.0000000000000007E-2</v>
          </cell>
        </row>
        <row r="83">
          <cell r="DM83">
            <v>232.39058800375966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abizabulin"/>
    </sheetNames>
    <sheetDataSet>
      <sheetData sheetId="0">
        <row r="3">
          <cell r="L3">
            <v>80.073863000000003</v>
          </cell>
        </row>
        <row r="5">
          <cell r="L5">
            <v>112.015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nkeypox"/>
      <sheetName val="Model"/>
      <sheetName val="Potential award"/>
      <sheetName val="TPOXX"/>
      <sheetName val="Legal"/>
      <sheetName val="Pipeline"/>
    </sheetNames>
    <sheetDataSet>
      <sheetData sheetId="0">
        <row r="3">
          <cell r="L3">
            <v>72.566367</v>
          </cell>
        </row>
        <row r="5">
          <cell r="L5">
            <v>153.25991400000001</v>
          </cell>
        </row>
        <row r="6">
          <cell r="L6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9.4141049999999993</v>
          </cell>
        </row>
        <row r="5">
          <cell r="N5">
            <v>11.249000000000001</v>
          </cell>
        </row>
        <row r="6">
          <cell r="N6">
            <v>18.713000000000001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810.72042399999998</v>
          </cell>
        </row>
        <row r="5">
          <cell r="K5">
            <v>4.2309999999999999</v>
          </cell>
        </row>
        <row r="6">
          <cell r="K6">
            <v>42.215000000000003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/>
      <sheetData sheetId="2"/>
      <sheetData sheetId="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ster"/>
      <sheetName val="Main"/>
      <sheetName val="Model"/>
      <sheetName val="Tecentriq"/>
      <sheetName val="Diagnostics"/>
      <sheetName val="MabThera"/>
      <sheetName val="Avastin"/>
      <sheetName val="Avastin Model"/>
      <sheetName val="Polivy"/>
      <sheetName val="Herceptin"/>
      <sheetName val="Pegasys"/>
      <sheetName val="Xeloda"/>
      <sheetName val="Actemra"/>
      <sheetName val="Lucentis"/>
      <sheetName val="Perjeta"/>
      <sheetName val="Ocrevus"/>
      <sheetName val="Kadcyla"/>
      <sheetName val="Mircera"/>
      <sheetName val="Tarceva"/>
      <sheetName val="Failures"/>
      <sheetName val="dalcetrapib"/>
      <sheetName val="aleglitazar"/>
      <sheetName val="R1626"/>
      <sheetName val="taspoglutide"/>
    </sheetNames>
    <sheetDataSet>
      <sheetData sheetId="0"/>
      <sheetData sheetId="1"/>
      <sheetData sheetId="2"/>
      <sheetData sheetId="3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Comirnaty"/>
      <sheetName val="Ibrance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ype 2 Diabetes"/>
      <sheetName val="Victoza"/>
      <sheetName val="NovoLog"/>
      <sheetName val="Levemir"/>
    </sheetNames>
    <sheetDataSet>
      <sheetData sheetId="0">
        <row r="3">
          <cell r="J3">
            <v>2283.3000000000002</v>
          </cell>
        </row>
        <row r="5">
          <cell r="J5">
            <v>20612</v>
          </cell>
        </row>
        <row r="6">
          <cell r="J6">
            <v>25480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Keytruda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  <sheetName val="Crixivan"/>
    </sheetNames>
    <sheetDataSet>
      <sheetData sheetId="0"/>
      <sheetData sheetId="1">
        <row r="3">
          <cell r="J3">
            <v>2528.8050250000001</v>
          </cell>
        </row>
        <row r="5">
          <cell r="J5">
            <v>9244</v>
          </cell>
        </row>
        <row r="6">
          <cell r="J6">
            <v>31794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ster"/>
      <sheetName val="Main"/>
      <sheetName val="Model"/>
      <sheetName val="Cosentyx"/>
      <sheetName val="Entresto"/>
      <sheetName val="Lucentis"/>
      <sheetName val="Gilenya"/>
      <sheetName val="Exjade"/>
      <sheetName val="Sandostatin"/>
      <sheetName val="Gleevec"/>
      <sheetName val="Tekturna"/>
      <sheetName val="Galvus"/>
      <sheetName val="Tasigna"/>
      <sheetName val="Xolair"/>
      <sheetName val="Zometa"/>
      <sheetName val="Femara"/>
      <sheetName val="indacaterol"/>
      <sheetName val="Focalin"/>
      <sheetName val="Aclasta"/>
      <sheetName val="Exforge"/>
      <sheetName val="Lotrel"/>
      <sheetName val="Afinitor"/>
      <sheetName val="Ilaris"/>
      <sheetName val="Consumer"/>
      <sheetName val="Vaccines"/>
      <sheetName val="Menveo"/>
      <sheetName val="Diovan"/>
    </sheetNames>
    <sheetDataSet>
      <sheetData sheetId="0"/>
      <sheetData sheetId="1"/>
      <sheetData sheetId="2"/>
      <sheetData sheetId="3"/>
      <sheetData sheetId="4">
        <row r="3">
          <cell r="K3">
            <v>2182.7885879999999</v>
          </cell>
        </row>
        <row r="5">
          <cell r="K5">
            <v>0</v>
          </cell>
        </row>
        <row r="6">
          <cell r="K6">
            <v>9519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Opdivo"/>
      <sheetName val="Orencia"/>
      <sheetName val="Yervoy"/>
      <sheetName val="Eliquis"/>
      <sheetName val="Empliciti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</sheetNames>
    <sheetDataSet>
      <sheetData sheetId="0"/>
      <sheetData sheetId="1">
        <row r="3">
          <cell r="K3">
            <v>2135.2551579999999</v>
          </cell>
        </row>
        <row r="5">
          <cell r="K5">
            <v>13228</v>
          </cell>
        </row>
        <row r="6">
          <cell r="K6">
            <v>42060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\..\OneDrive\Models%20Backup\SAN%20FP.xlsx" TargetMode="External"/><Relationship Id="rId18" Type="http://schemas.openxmlformats.org/officeDocument/2006/relationships/hyperlink" Target="../../AppData/Roaming/Microsoft/Excel/INCY.xlsx" TargetMode="External"/><Relationship Id="rId26" Type="http://schemas.openxmlformats.org/officeDocument/2006/relationships/hyperlink" Target="../../AppData/Roaming/OneDrive/Models%20Backup/ACET.xlsx" TargetMode="External"/><Relationship Id="rId39" Type="http://schemas.openxmlformats.org/officeDocument/2006/relationships/hyperlink" Target="../../AppData/Roaming/Microsoft/Excel/ABCL.xlsx" TargetMode="External"/><Relationship Id="rId21" Type="http://schemas.openxmlformats.org/officeDocument/2006/relationships/hyperlink" Target="../../AppData/Roaming/Microsoft/Excel/ALNY.xls" TargetMode="External"/><Relationship Id="rId34" Type="http://schemas.openxmlformats.org/officeDocument/2006/relationships/hyperlink" Target="../../AppData/Roaming/Microsoft/Excel/UTHR.xlsx" TargetMode="External"/><Relationship Id="rId42" Type="http://schemas.openxmlformats.org/officeDocument/2006/relationships/hyperlink" Target="../../AppData/Roaming/Microsoft/Excel/ALKS.xlsx" TargetMode="External"/><Relationship Id="rId47" Type="http://schemas.openxmlformats.org/officeDocument/2006/relationships/hyperlink" Target="ROIV.xlsx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..\..\AppData\Roaming\Microsoft\Excel\AZN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GILD.xlsx" TargetMode="External"/><Relationship Id="rId29" Type="http://schemas.openxmlformats.org/officeDocument/2006/relationships/hyperlink" Target="../../AppData/Roaming/OneDrive/Models%20Backup/GRAY.xlsx" TargetMode="External"/><Relationship Id="rId11" Type="http://schemas.openxmlformats.org/officeDocument/2006/relationships/hyperlink" Target="CSL%20AU.xlsx" TargetMode="External"/><Relationship Id="rId24" Type="http://schemas.openxmlformats.org/officeDocument/2006/relationships/hyperlink" Target="../../AppData/Roaming/Microsoft/Excel/LQDA.xlsx" TargetMode="External"/><Relationship Id="rId32" Type="http://schemas.openxmlformats.org/officeDocument/2006/relationships/hyperlink" Target="../../AppData/Roaming/OneDrive/Models%20Backup/BIOR.xlsx" TargetMode="External"/><Relationship Id="rId37" Type="http://schemas.openxmlformats.org/officeDocument/2006/relationships/hyperlink" Target="../../AppData/Roaming/Microsoft/Excel/VTRS.xlsx" TargetMode="External"/><Relationship Id="rId40" Type="http://schemas.openxmlformats.org/officeDocument/2006/relationships/hyperlink" Target="../../AppData/Roaming/Microsoft/Excel/SIGA.xlsx" TargetMode="External"/><Relationship Id="rId45" Type="http://schemas.openxmlformats.org/officeDocument/2006/relationships/hyperlink" Target="MRNA.xlsx" TargetMode="External"/><Relationship Id="rId5" Type="http://schemas.openxmlformats.org/officeDocument/2006/relationships/hyperlink" Target="ROG%20VX.xlsx" TargetMode="External"/><Relationship Id="rId15" Type="http://schemas.openxmlformats.org/officeDocument/2006/relationships/hyperlink" Target="ABBV.xlsx" TargetMode="External"/><Relationship Id="rId23" Type="http://schemas.openxmlformats.org/officeDocument/2006/relationships/hyperlink" Target="../../AppData/Roaming/Microsoft/Excel/4502%20Takeda.xls" TargetMode="External"/><Relationship Id="rId28" Type="http://schemas.openxmlformats.org/officeDocument/2006/relationships/hyperlink" Target="../../AppData/Roaming/OneDrive/Models%20Backup/MGTX.xlsx" TargetMode="External"/><Relationship Id="rId36" Type="http://schemas.openxmlformats.org/officeDocument/2006/relationships/hyperlink" Target="../../AppData/Roaming/Microsoft/Excel/BGNE.xlsx" TargetMode="External"/><Relationship Id="rId49" Type="http://schemas.openxmlformats.org/officeDocument/2006/relationships/hyperlink" Target="CYDY.xlsx" TargetMode="External"/><Relationship Id="rId10" Type="http://schemas.openxmlformats.org/officeDocument/2006/relationships/hyperlink" Target="NOVOB.xlsx" TargetMode="External"/><Relationship Id="rId19" Type="http://schemas.openxmlformats.org/officeDocument/2006/relationships/hyperlink" Target="..\..\AppData\Roaming\Microsoft\Excel\REGN.xlsx" TargetMode="External"/><Relationship Id="rId31" Type="http://schemas.openxmlformats.org/officeDocument/2006/relationships/hyperlink" Target="../../AppData/Roaming/OneDrive/Models%20Backup/CVRX.xlsx" TargetMode="External"/><Relationship Id="rId44" Type="http://schemas.openxmlformats.org/officeDocument/2006/relationships/hyperlink" Target="../../AppData/Roaming/Microsoft/Excel/4502%20Takeda.xls" TargetMode="External"/><Relationship Id="rId4" Type="http://schemas.openxmlformats.org/officeDocument/2006/relationships/hyperlink" Target="..\..\OneDrive\Models%20Backup\AMGN.xlsx" TargetMode="External"/><Relationship Id="rId9" Type="http://schemas.openxmlformats.org/officeDocument/2006/relationships/hyperlink" Target="MRK%20GR.xlsx" TargetMode="External"/><Relationship Id="rId14" Type="http://schemas.openxmlformats.org/officeDocument/2006/relationships/hyperlink" Target="..\..\AppData\Roaming\Microsoft\Excel\GSK.xlsx" TargetMode="External"/><Relationship Id="rId22" Type="http://schemas.openxmlformats.org/officeDocument/2006/relationships/hyperlink" Target="../../AppData/Roaming/Microsoft/Excel/Genmab.xls" TargetMode="External"/><Relationship Id="rId27" Type="http://schemas.openxmlformats.org/officeDocument/2006/relationships/hyperlink" Target="../../AppData/Roaming/OneDrive/Models%20Backup/PHAS.xlsx" TargetMode="External"/><Relationship Id="rId30" Type="http://schemas.openxmlformats.org/officeDocument/2006/relationships/hyperlink" Target="../../AppData/Roaming/OneDrive/Models%20Backup/CPRX.xlsx" TargetMode="External"/><Relationship Id="rId35" Type="http://schemas.openxmlformats.org/officeDocument/2006/relationships/hyperlink" Target="../../AppData/Roaming/Microsoft/Excel/APLS.xlsx" TargetMode="External"/><Relationship Id="rId43" Type="http://schemas.openxmlformats.org/officeDocument/2006/relationships/hyperlink" Target="../../AppData/Roaming/Microsoft/Excel/AVTX.xlsx" TargetMode="External"/><Relationship Id="rId48" Type="http://schemas.openxmlformats.org/officeDocument/2006/relationships/hyperlink" Target="NOVOB.xlsx" TargetMode="External"/><Relationship Id="rId8" Type="http://schemas.openxmlformats.org/officeDocument/2006/relationships/hyperlink" Target="..\..\AppData\Roaming\Microsoft\Excel\LLY.xlsx" TargetMode="External"/><Relationship Id="rId3" Type="http://schemas.openxmlformats.org/officeDocument/2006/relationships/hyperlink" Target="..\..\AppData\Roaming\OneDrive\Models%20Backup\PFE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VRTX.xlsx" TargetMode="External"/><Relationship Id="rId25" Type="http://schemas.openxmlformats.org/officeDocument/2006/relationships/hyperlink" Target="../../AppData/Roaming/OneDrive/Models%20Backup/TCON.xlsx" TargetMode="External"/><Relationship Id="rId33" Type="http://schemas.openxmlformats.org/officeDocument/2006/relationships/hyperlink" Target="../../AppData/Roaming/Microsoft/Excel/GSK.xlsx" TargetMode="External"/><Relationship Id="rId38" Type="http://schemas.openxmlformats.org/officeDocument/2006/relationships/hyperlink" Target="../../AppData/Roaming/Microsoft/Excel/VERU.xlsx" TargetMode="External"/><Relationship Id="rId46" Type="http://schemas.openxmlformats.org/officeDocument/2006/relationships/hyperlink" Target="BNTX.xlsx" TargetMode="External"/><Relationship Id="rId20" Type="http://schemas.openxmlformats.org/officeDocument/2006/relationships/hyperlink" Target="../../AppData/Roaming/Microsoft/Excel/4519%20Chugai.xls" TargetMode="External"/><Relationship Id="rId41" Type="http://schemas.openxmlformats.org/officeDocument/2006/relationships/hyperlink" Target="../../AppData/Roaming/Microsoft/Excel/HIK%20LN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A1:AC158"/>
  <sheetViews>
    <sheetView tabSelected="1" zoomScale="145" zoomScaleNormal="145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I19" sqref="I19"/>
    </sheetView>
  </sheetViews>
  <sheetFormatPr defaultRowHeight="12.75" x14ac:dyDescent="0.2"/>
  <cols>
    <col min="1" max="1" width="2.42578125" style="1" customWidth="1"/>
    <col min="2" max="2" width="4.140625" style="1" bestFit="1" customWidth="1"/>
    <col min="3" max="3" width="15.85546875" style="1" customWidth="1"/>
    <col min="4" max="4" width="10.5703125" style="1" bestFit="1" customWidth="1"/>
    <col min="5" max="5" width="6.7109375" style="3" customWidth="1"/>
    <col min="6" max="8" width="9.140625" style="3"/>
    <col min="9" max="9" width="7.42578125" style="3" customWidth="1"/>
    <col min="10" max="10" width="9.140625" style="3"/>
    <col min="11" max="11" width="9.85546875" style="3" customWidth="1"/>
    <col min="12" max="16" width="9.140625" style="3"/>
    <col min="17" max="28" width="9.140625" style="4"/>
    <col min="29" max="16384" width="9.140625" style="1"/>
  </cols>
  <sheetData>
    <row r="1" spans="1:29" x14ac:dyDescent="0.2">
      <c r="B1" s="1">
        <f ca="1">RANDBETWEEN(1,B145)</f>
        <v>23</v>
      </c>
    </row>
    <row r="2" spans="1:29" x14ac:dyDescent="0.2">
      <c r="K2" s="9">
        <f>MIN(K4:K24)</f>
        <v>44792</v>
      </c>
      <c r="Q2" s="15" t="s">
        <v>321</v>
      </c>
      <c r="R2" s="15"/>
      <c r="S2" s="15"/>
      <c r="T2" s="15"/>
      <c r="U2" s="15"/>
      <c r="V2" s="15"/>
      <c r="W2" s="15" t="s">
        <v>320</v>
      </c>
      <c r="X2" s="15"/>
      <c r="Y2" s="15"/>
      <c r="Z2" s="15"/>
      <c r="AA2" s="15"/>
      <c r="AB2" s="15"/>
    </row>
    <row r="3" spans="1:29" x14ac:dyDescent="0.2">
      <c r="C3" s="1" t="s">
        <v>1</v>
      </c>
      <c r="D3" s="1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309</v>
      </c>
      <c r="J3" s="3" t="s">
        <v>13</v>
      </c>
      <c r="K3" s="3" t="s">
        <v>315</v>
      </c>
      <c r="L3" s="3" t="s">
        <v>322</v>
      </c>
      <c r="M3" s="3" t="s">
        <v>324</v>
      </c>
      <c r="N3" s="3" t="s">
        <v>325</v>
      </c>
      <c r="O3" s="3" t="s">
        <v>326</v>
      </c>
      <c r="P3" s="3" t="s">
        <v>323</v>
      </c>
      <c r="Q3" s="4">
        <v>2022</v>
      </c>
      <c r="R3" s="4">
        <v>2023</v>
      </c>
      <c r="S3" s="4">
        <v>2024</v>
      </c>
      <c r="T3" s="4">
        <v>2025</v>
      </c>
      <c r="U3" s="4">
        <v>2026</v>
      </c>
      <c r="V3" s="4">
        <v>2027</v>
      </c>
      <c r="W3" s="4">
        <v>2022</v>
      </c>
      <c r="X3" s="4">
        <v>2023</v>
      </c>
      <c r="Y3" s="4">
        <v>2024</v>
      </c>
      <c r="Z3" s="4">
        <v>2025</v>
      </c>
      <c r="AA3" s="4">
        <v>2026</v>
      </c>
      <c r="AB3" s="4">
        <v>2027</v>
      </c>
      <c r="AC3" s="1" t="s">
        <v>2</v>
      </c>
    </row>
    <row r="4" spans="1:29" x14ac:dyDescent="0.2">
      <c r="A4" s="1" t="s">
        <v>344</v>
      </c>
      <c r="B4" s="1">
        <v>1</v>
      </c>
      <c r="C4" s="5" t="s">
        <v>14</v>
      </c>
      <c r="D4" s="1" t="s">
        <v>15</v>
      </c>
      <c r="E4" s="7">
        <v>169.99</v>
      </c>
      <c r="F4" s="6">
        <f>E4*[1]Main!$Q$3</f>
        <v>447311.99266196002</v>
      </c>
      <c r="G4" s="6">
        <f>+[1]Main!$Q$5-[1]Main!$Q$6</f>
        <v>-2760</v>
      </c>
      <c r="H4" s="6">
        <f>F4-G4</f>
        <v>450071.99266196002</v>
      </c>
      <c r="I4" s="6">
        <f>+[1]Main!$Q$3</f>
        <v>2631.4018040000001</v>
      </c>
      <c r="J4" s="3" t="s">
        <v>16</v>
      </c>
      <c r="K4" s="9">
        <v>44804</v>
      </c>
      <c r="L4" s="9"/>
      <c r="M4" s="9"/>
      <c r="N4" s="9"/>
      <c r="O4" s="9"/>
      <c r="P4" s="9"/>
    </row>
    <row r="5" spans="1:29" x14ac:dyDescent="0.2">
      <c r="A5" s="1" t="s">
        <v>344</v>
      </c>
      <c r="B5" s="1">
        <f>B4+1</f>
        <v>2</v>
      </c>
      <c r="C5" s="5" t="s">
        <v>17</v>
      </c>
      <c r="D5" s="1" t="s">
        <v>18</v>
      </c>
      <c r="E5" s="7">
        <v>141.41999999999999</v>
      </c>
      <c r="F5" s="6">
        <f>+E5*I5</f>
        <v>250044.20632289999</v>
      </c>
      <c r="G5" s="6">
        <f>+[2]Main!$K$5-[2]Main!$K$6</f>
        <v>-62727</v>
      </c>
      <c r="H5" s="6">
        <f t="shared" ref="H5:H14" si="0">F5-G5</f>
        <v>312771.20632290002</v>
      </c>
      <c r="I5" s="6">
        <f>+[2]Main!$K$3</f>
        <v>1768.096495</v>
      </c>
      <c r="J5" s="3" t="s">
        <v>16</v>
      </c>
      <c r="K5" s="9">
        <v>44814</v>
      </c>
      <c r="L5" s="9"/>
      <c r="M5" s="9"/>
      <c r="N5" s="9"/>
      <c r="O5" s="9"/>
      <c r="P5" s="9"/>
    </row>
    <row r="6" spans="1:29" x14ac:dyDescent="0.2">
      <c r="A6" s="1" t="s">
        <v>344</v>
      </c>
      <c r="B6" s="1">
        <f t="shared" ref="B6:B69" si="1">B5+1</f>
        <v>3</v>
      </c>
      <c r="C6" s="5" t="s">
        <v>19</v>
      </c>
      <c r="D6" s="1" t="s">
        <v>20</v>
      </c>
      <c r="E6" s="7">
        <v>290.89999999999998</v>
      </c>
      <c r="F6" s="6">
        <f>+E6*I6</f>
        <v>276401.41571309994</v>
      </c>
      <c r="G6" s="6">
        <f>+[3]Main!$J$5-[3]Main!$J$6</f>
        <v>-11213.199999999999</v>
      </c>
      <c r="H6" s="6">
        <f t="shared" si="0"/>
        <v>287614.61571309995</v>
      </c>
      <c r="I6" s="6">
        <f>+[3]Main!$J$3</f>
        <v>950.15955899999994</v>
      </c>
      <c r="J6" s="3" t="s">
        <v>16</v>
      </c>
      <c r="K6" s="9">
        <v>44816</v>
      </c>
      <c r="L6" s="7">
        <f>+[3]Model!$DM$83</f>
        <v>232.39058800375966</v>
      </c>
      <c r="M6" s="10">
        <f>L6/E6-1</f>
        <v>-0.20113238912423625</v>
      </c>
      <c r="N6" s="10">
        <f>[3]Model!$DM$79</f>
        <v>0.01</v>
      </c>
      <c r="O6" s="10">
        <f>[3]Model!$DM$80</f>
        <v>-0.01</v>
      </c>
      <c r="P6" s="10">
        <f>[3]Model!$DM$81</f>
        <v>7.0000000000000007E-2</v>
      </c>
      <c r="Q6" s="12">
        <f t="shared" ref="Q6:V6" si="2">($H$6/$I$6)/W6</f>
        <v>28.956973779108008</v>
      </c>
      <c r="R6" s="12">
        <f t="shared" si="2"/>
        <v>29.199479027689733</v>
      </c>
      <c r="S6" s="12">
        <f t="shared" si="2"/>
        <v>14.849352842133371</v>
      </c>
      <c r="T6" s="12">
        <f t="shared" si="2"/>
        <v>12.917922545911619</v>
      </c>
      <c r="U6" s="12">
        <f t="shared" si="2"/>
        <v>11.011148111130908</v>
      </c>
      <c r="V6" s="12">
        <f t="shared" si="2"/>
        <v>10.637145295879744</v>
      </c>
      <c r="W6" s="11">
        <f>+[3]Model!DC66</f>
        <v>10.453488289438305</v>
      </c>
      <c r="X6" s="11">
        <f>+[3]Model!DD66</f>
        <v>10.36667078924344</v>
      </c>
      <c r="Y6" s="11">
        <f>+[3]Model!DE66</f>
        <v>20.384820100617208</v>
      </c>
      <c r="Z6" s="11">
        <f>+[3]Model!DF66</f>
        <v>23.432667692629824</v>
      </c>
      <c r="AA6" s="11">
        <f>+[3]Model!DG66</f>
        <v>27.490447248773627</v>
      </c>
      <c r="AB6" s="11">
        <f>+[3]Model!DH66</f>
        <v>28.457013407039554</v>
      </c>
      <c r="AC6" s="1">
        <v>1876</v>
      </c>
    </row>
    <row r="7" spans="1:29" x14ac:dyDescent="0.2">
      <c r="A7" s="1" t="s">
        <v>344</v>
      </c>
      <c r="B7" s="1">
        <f t="shared" si="1"/>
        <v>4</v>
      </c>
      <c r="C7" s="5" t="s">
        <v>21</v>
      </c>
      <c r="D7" s="1" t="s">
        <v>22</v>
      </c>
      <c r="E7" s="7">
        <v>303.35000000000002</v>
      </c>
      <c r="F7" s="6">
        <f>+I7*E7</f>
        <v>242802.25005000003</v>
      </c>
      <c r="G7" s="6">
        <f>+[4]Main!$K$5-[4]Main!$K$6</f>
        <v>-18167</v>
      </c>
      <c r="H7" s="6">
        <f t="shared" si="0"/>
        <v>260969.25005000003</v>
      </c>
      <c r="I7" s="6">
        <f>+[4]Main!$K$3</f>
        <v>800.40300000000002</v>
      </c>
      <c r="J7" s="3" t="s">
        <v>23</v>
      </c>
      <c r="K7" s="9">
        <v>44815</v>
      </c>
      <c r="L7" s="9"/>
      <c r="M7" s="9"/>
      <c r="N7" s="9"/>
      <c r="O7" s="9"/>
      <c r="P7" s="9"/>
      <c r="AC7" s="1">
        <v>1896</v>
      </c>
    </row>
    <row r="8" spans="1:29" x14ac:dyDescent="0.2">
      <c r="A8" s="1" t="s">
        <v>344</v>
      </c>
      <c r="B8" s="1">
        <f t="shared" si="1"/>
        <v>5</v>
      </c>
      <c r="C8" s="5" t="s">
        <v>24</v>
      </c>
      <c r="D8" s="1" t="s">
        <v>25</v>
      </c>
      <c r="E8" s="3">
        <v>46.53</v>
      </c>
      <c r="F8" s="6">
        <f>+E8*I8</f>
        <v>267919.74</v>
      </c>
      <c r="G8" s="6">
        <f>([5]Main!$L$5-[5]Main!$L$6)*1000</f>
        <v>8332.9999999999909</v>
      </c>
      <c r="H8" s="6">
        <f t="shared" si="0"/>
        <v>259586.74</v>
      </c>
      <c r="I8" s="6">
        <f>+[5]Main!$L$3*1000</f>
        <v>5758</v>
      </c>
      <c r="J8" s="3" t="s">
        <v>310</v>
      </c>
      <c r="K8" s="9">
        <v>44814</v>
      </c>
      <c r="L8" s="9"/>
      <c r="M8" s="9"/>
      <c r="N8" s="9"/>
      <c r="O8" s="9"/>
      <c r="P8" s="9"/>
    </row>
    <row r="9" spans="1:29" x14ac:dyDescent="0.2">
      <c r="A9" t="s">
        <v>344</v>
      </c>
      <c r="B9" s="1">
        <f t="shared" si="1"/>
        <v>6</v>
      </c>
      <c r="C9" s="5" t="s">
        <v>26</v>
      </c>
      <c r="D9" s="1" t="s">
        <v>27</v>
      </c>
      <c r="E9" s="7">
        <v>106</v>
      </c>
      <c r="F9" s="6">
        <f>+I9*E9</f>
        <v>242029.80000000002</v>
      </c>
      <c r="G9" s="6">
        <f>([6]Main!$J$5-[6]Main!$J$6)/DKK</f>
        <v>-665.40001913640151</v>
      </c>
      <c r="H9" s="6">
        <f t="shared" si="0"/>
        <v>242695.20001913642</v>
      </c>
      <c r="I9" s="6">
        <f>+[6]Main!$J$3</f>
        <v>2283.3000000000002</v>
      </c>
      <c r="J9" s="3" t="s">
        <v>16</v>
      </c>
      <c r="K9" s="9">
        <v>44817</v>
      </c>
    </row>
    <row r="10" spans="1:29" x14ac:dyDescent="0.2">
      <c r="A10" t="s">
        <v>344</v>
      </c>
      <c r="B10" s="1">
        <f t="shared" si="1"/>
        <v>7</v>
      </c>
      <c r="C10" s="5" t="s">
        <v>26</v>
      </c>
      <c r="D10" t="s">
        <v>327</v>
      </c>
      <c r="E10" s="7">
        <v>775</v>
      </c>
      <c r="F10" s="6">
        <f>+E10*I10/DKK</f>
        <v>241878.3061550869</v>
      </c>
      <c r="G10" s="6">
        <f>([6]Main!$J$5-[6]Main!$J$6)/DKK</f>
        <v>-665.40001913640151</v>
      </c>
      <c r="H10" s="6">
        <f t="shared" si="0"/>
        <v>242543.70617422331</v>
      </c>
      <c r="I10" s="6">
        <f>+[6]Main!$J$3</f>
        <v>2283.3000000000002</v>
      </c>
      <c r="J10" s="3" t="s">
        <v>16</v>
      </c>
      <c r="K10" s="9">
        <v>44817</v>
      </c>
    </row>
    <row r="11" spans="1:29" x14ac:dyDescent="0.2">
      <c r="A11" t="s">
        <v>344</v>
      </c>
      <c r="B11" s="1">
        <f t="shared" si="1"/>
        <v>8</v>
      </c>
      <c r="C11" s="5" t="s">
        <v>28</v>
      </c>
      <c r="D11" s="1" t="s">
        <v>29</v>
      </c>
      <c r="E11" s="3">
        <v>88.16</v>
      </c>
      <c r="F11" s="6">
        <f>+E11*I11</f>
        <v>222939.451004</v>
      </c>
      <c r="G11" s="6">
        <f>+[7]Main!$J$5-[7]Main!$J$6</f>
        <v>-22550</v>
      </c>
      <c r="H11" s="6">
        <f t="shared" si="0"/>
        <v>245489.451004</v>
      </c>
      <c r="I11" s="6">
        <f>+[7]Main!$J$3</f>
        <v>2528.8050250000001</v>
      </c>
      <c r="J11" s="3" t="s">
        <v>16</v>
      </c>
      <c r="K11" s="9">
        <v>44817</v>
      </c>
    </row>
    <row r="12" spans="1:29" x14ac:dyDescent="0.2">
      <c r="A12" t="s">
        <v>344</v>
      </c>
      <c r="B12" s="1">
        <f t="shared" si="1"/>
        <v>9</v>
      </c>
      <c r="C12" s="5" t="s">
        <v>30</v>
      </c>
      <c r="D12" s="1" t="s">
        <v>31</v>
      </c>
      <c r="E12" s="3">
        <v>81.06</v>
      </c>
      <c r="F12" s="6">
        <f>+E12*I12</f>
        <v>176936.84294328</v>
      </c>
      <c r="G12" s="6">
        <f>+[8]Main!$K$5-[8]Main!$K$6</f>
        <v>-9519</v>
      </c>
      <c r="H12" s="6">
        <f>F12-G12</f>
        <v>186455.84294328</v>
      </c>
      <c r="I12" s="6">
        <f>+[8]Main!$K$3</f>
        <v>2182.7885879999999</v>
      </c>
      <c r="J12" s="3" t="s">
        <v>310</v>
      </c>
      <c r="K12" s="9">
        <v>44808</v>
      </c>
    </row>
    <row r="13" spans="1:29" x14ac:dyDescent="0.2">
      <c r="A13" t="s">
        <v>344</v>
      </c>
      <c r="B13" s="1">
        <f t="shared" si="1"/>
        <v>10</v>
      </c>
      <c r="C13" s="5" t="s">
        <v>32</v>
      </c>
      <c r="D13" s="1" t="s">
        <v>33</v>
      </c>
      <c r="E13" s="3">
        <v>75.03</v>
      </c>
      <c r="F13" s="6">
        <f>+E13*I13</f>
        <v>160208.19450474001</v>
      </c>
      <c r="G13" s="6">
        <f>+[9]Main!$K$5-[9]Main!$K$6</f>
        <v>-28832</v>
      </c>
      <c r="H13" s="6">
        <f>F13-G13</f>
        <v>189040.19450474001</v>
      </c>
      <c r="I13" s="6">
        <f>+[9]Main!$K$3</f>
        <v>2135.2551579999999</v>
      </c>
      <c r="J13" s="3" t="s">
        <v>310</v>
      </c>
      <c r="K13" s="9">
        <v>44810</v>
      </c>
    </row>
    <row r="14" spans="1:29" x14ac:dyDescent="0.2">
      <c r="A14" t="s">
        <v>344</v>
      </c>
      <c r="B14" s="1">
        <f t="shared" si="1"/>
        <v>11</v>
      </c>
      <c r="C14" s="5" t="s">
        <v>34</v>
      </c>
      <c r="D14" s="1" t="s">
        <v>35</v>
      </c>
      <c r="E14" s="7">
        <v>246.73</v>
      </c>
      <c r="F14" s="6">
        <f>+E14*I14</f>
        <v>131753.82</v>
      </c>
      <c r="G14" s="6">
        <f>[10]Main!$K$5-[10]Main!$K$6</f>
        <v>-30310</v>
      </c>
      <c r="H14" s="6">
        <f t="shared" si="0"/>
        <v>162063.82</v>
      </c>
      <c r="I14" s="6">
        <f>+[10]Main!$K$3</f>
        <v>534</v>
      </c>
      <c r="J14" s="3" t="s">
        <v>16</v>
      </c>
      <c r="K14" s="9">
        <v>44810</v>
      </c>
    </row>
    <row r="15" spans="1:29" x14ac:dyDescent="0.2">
      <c r="A15" t="s">
        <v>344</v>
      </c>
      <c r="B15" s="1">
        <f t="shared" si="1"/>
        <v>12</v>
      </c>
      <c r="C15" s="5" t="s">
        <v>36</v>
      </c>
      <c r="D15" s="1" t="s">
        <v>37</v>
      </c>
      <c r="E15" s="7">
        <v>49.2</v>
      </c>
      <c r="F15" s="6">
        <f>E15*[11]Main!$K$3*2</f>
        <v>123098.40000000001</v>
      </c>
      <c r="G15" s="6">
        <f>([11]Main!$K$5-[11]Main!$K$6)*EUR</f>
        <v>-12400.887000000001</v>
      </c>
      <c r="H15" s="6">
        <f t="shared" ref="H15:H24" si="3">F15-G15</f>
        <v>135499.28700000001</v>
      </c>
      <c r="I15" s="6">
        <f>+[11]Main!$K$3</f>
        <v>1251</v>
      </c>
      <c r="J15" s="3" t="s">
        <v>310</v>
      </c>
      <c r="K15" s="9">
        <v>44810</v>
      </c>
    </row>
    <row r="16" spans="1:29" x14ac:dyDescent="0.2">
      <c r="A16" s="1" t="s">
        <v>344</v>
      </c>
      <c r="B16" s="1">
        <f t="shared" si="1"/>
        <v>13</v>
      </c>
      <c r="C16" s="5" t="s">
        <v>38</v>
      </c>
      <c r="D16" s="1" t="s">
        <v>39</v>
      </c>
      <c r="E16" s="7">
        <v>66</v>
      </c>
      <c r="F16" s="6">
        <f>+E16*I16</f>
        <v>102960</v>
      </c>
      <c r="G16" s="6">
        <f>[12]Main!$L$5-[12]Main!$L$6</f>
        <v>-24689</v>
      </c>
      <c r="H16" s="6">
        <f t="shared" si="3"/>
        <v>127649</v>
      </c>
      <c r="I16" s="6">
        <f>+[12]Main!$L$3</f>
        <v>1560</v>
      </c>
      <c r="J16" s="3" t="s">
        <v>310</v>
      </c>
      <c r="K16" s="9">
        <v>44812</v>
      </c>
    </row>
    <row r="17" spans="1:11" x14ac:dyDescent="0.2">
      <c r="A17" t="s">
        <v>344</v>
      </c>
      <c r="B17" s="1">
        <f>B19+1</f>
        <v>16</v>
      </c>
      <c r="C17" s="5" t="s">
        <v>46</v>
      </c>
      <c r="D17" s="1" t="s">
        <v>47</v>
      </c>
      <c r="E17" s="7">
        <v>60.9</v>
      </c>
      <c r="F17" s="6">
        <f>+E17*I17</f>
        <v>76330.07429460001</v>
      </c>
      <c r="G17" s="6">
        <f>+[14]Main!$J$5-[14]Main!$J$6</f>
        <v>-19216</v>
      </c>
      <c r="H17" s="6">
        <f t="shared" si="3"/>
        <v>95546.07429460001</v>
      </c>
      <c r="I17" s="6">
        <f>+[14]Main!$J$3</f>
        <v>1253.3673940000001</v>
      </c>
      <c r="J17" s="3" t="s">
        <v>310</v>
      </c>
      <c r="K17" s="9">
        <v>44819</v>
      </c>
    </row>
    <row r="18" spans="1:11" x14ac:dyDescent="0.2">
      <c r="A18" t="s">
        <v>344</v>
      </c>
      <c r="B18" s="1">
        <f>B16+1</f>
        <v>14</v>
      </c>
      <c r="C18" s="5" t="s">
        <v>40</v>
      </c>
      <c r="D18" s="1" t="s">
        <v>41</v>
      </c>
      <c r="E18" s="3">
        <v>31.02</v>
      </c>
      <c r="F18" s="6">
        <f>+E18*I18/2</f>
        <v>62427.75</v>
      </c>
      <c r="G18" s="6">
        <f>([13]Main!$K$6-[13]Main!$K$7)*GBP</f>
        <v>-22956.02</v>
      </c>
      <c r="H18" s="6">
        <f>F18-G18</f>
        <v>85383.77</v>
      </c>
      <c r="I18" s="6">
        <f>+[13]Main!$K$4</f>
        <v>4025</v>
      </c>
      <c r="J18" s="3" t="s">
        <v>16</v>
      </c>
      <c r="K18" s="9">
        <v>44792</v>
      </c>
    </row>
    <row r="19" spans="1:11" x14ac:dyDescent="0.2">
      <c r="A19" t="s">
        <v>344</v>
      </c>
      <c r="B19" s="1">
        <f>B18+1</f>
        <v>15</v>
      </c>
      <c r="C19" s="5" t="s">
        <v>40</v>
      </c>
      <c r="D19" s="1" t="s">
        <v>42</v>
      </c>
      <c r="E19" s="6">
        <v>1332.8</v>
      </c>
      <c r="F19" s="6">
        <f>+E19*I19/100*GBP</f>
        <v>63478.365159999994</v>
      </c>
      <c r="G19" s="6">
        <f>([13]Main!$K$6-[13]Main!$K$7)*GBP</f>
        <v>-22956.02</v>
      </c>
      <c r="H19" s="6">
        <f>F19-G19</f>
        <v>86434.385159999991</v>
      </c>
      <c r="I19" s="6">
        <f>+[13]Main!$K$4</f>
        <v>4025</v>
      </c>
      <c r="J19" s="3" t="s">
        <v>16</v>
      </c>
      <c r="K19" s="9">
        <f>+K18</f>
        <v>44792</v>
      </c>
    </row>
    <row r="20" spans="1:11" x14ac:dyDescent="0.2">
      <c r="A20" t="s">
        <v>344</v>
      </c>
      <c r="B20" s="1">
        <f>B17+1</f>
        <v>17</v>
      </c>
      <c r="C20" s="5" t="s">
        <v>43</v>
      </c>
      <c r="D20" s="1" t="s">
        <v>44</v>
      </c>
      <c r="E20" s="7">
        <v>175.1</v>
      </c>
      <c r="F20" s="6">
        <f>+E20*I20</f>
        <v>76168.5</v>
      </c>
      <c r="G20" s="6">
        <f>([15]Main!$J$5-[15]Main!$J$6)*EUR</f>
        <v>-10341.057960000002</v>
      </c>
      <c r="H20" s="6">
        <f t="shared" si="3"/>
        <v>86509.557960000006</v>
      </c>
      <c r="I20" s="3">
        <v>435</v>
      </c>
      <c r="J20" s="3" t="s">
        <v>310</v>
      </c>
      <c r="K20" s="9">
        <v>44813</v>
      </c>
    </row>
    <row r="21" spans="1:11" x14ac:dyDescent="0.2">
      <c r="A21" t="s">
        <v>344</v>
      </c>
      <c r="B21" s="1">
        <f t="shared" si="1"/>
        <v>18</v>
      </c>
      <c r="C21" s="5" t="s">
        <v>45</v>
      </c>
      <c r="D21" s="1" t="s">
        <v>45</v>
      </c>
      <c r="E21" s="7">
        <v>255.99</v>
      </c>
      <c r="F21" s="6">
        <f>+E21*I21*AUD</f>
        <v>82472.633374629047</v>
      </c>
      <c r="G21" s="6">
        <f>[16]Main!$J$5-[16]Main!$J$6</f>
        <v>778.60000000000036</v>
      </c>
      <c r="H21" s="6">
        <f t="shared" si="3"/>
        <v>81694.033374629042</v>
      </c>
      <c r="I21" s="6">
        <f>+[16]Main!$J$3</f>
        <v>470.117188</v>
      </c>
      <c r="J21" s="3" t="s">
        <v>310</v>
      </c>
      <c r="K21" s="9">
        <v>44813</v>
      </c>
    </row>
    <row r="22" spans="1:11" x14ac:dyDescent="0.2">
      <c r="A22" t="s">
        <v>344</v>
      </c>
      <c r="B22" s="1">
        <f t="shared" si="1"/>
        <v>19</v>
      </c>
      <c r="C22" s="5" t="s">
        <v>48</v>
      </c>
      <c r="D22" s="1" t="s">
        <v>49</v>
      </c>
      <c r="E22" s="7">
        <v>288</v>
      </c>
      <c r="F22" s="6">
        <f>+E22*[17]Main!$M$3</f>
        <v>73728</v>
      </c>
      <c r="G22" s="6">
        <f>+[17]Main!$M$5-[17]Main!$M$6</f>
        <v>9253.4</v>
      </c>
      <c r="H22" s="6">
        <f t="shared" si="3"/>
        <v>64474.6</v>
      </c>
      <c r="I22" s="6">
        <f>+[17]Main!$M$3</f>
        <v>256</v>
      </c>
      <c r="J22" s="3" t="s">
        <v>16</v>
      </c>
      <c r="K22" s="9">
        <v>44813</v>
      </c>
    </row>
    <row r="23" spans="1:11" x14ac:dyDescent="0.2">
      <c r="A23" t="s">
        <v>344</v>
      </c>
      <c r="B23" s="1">
        <f t="shared" si="1"/>
        <v>20</v>
      </c>
      <c r="C23" s="5" t="s">
        <v>52</v>
      </c>
      <c r="D23" s="1" t="s">
        <v>53</v>
      </c>
      <c r="E23" s="7">
        <v>700</v>
      </c>
      <c r="F23" s="6">
        <f>+E23*I23</f>
        <v>76662.702200000014</v>
      </c>
      <c r="G23" s="6">
        <f>+[18]Main!$J$5-[18]Main!$J$6</f>
        <v>12001.599999999999</v>
      </c>
      <c r="H23" s="6">
        <f t="shared" si="3"/>
        <v>64661.102200000016</v>
      </c>
      <c r="I23" s="6">
        <f>+[18]Main!$J$3</f>
        <v>109.51814600000002</v>
      </c>
      <c r="J23" s="3" t="s">
        <v>310</v>
      </c>
      <c r="K23" s="9">
        <v>44820</v>
      </c>
    </row>
    <row r="24" spans="1:11" x14ac:dyDescent="0.2">
      <c r="A24" t="s">
        <v>344</v>
      </c>
      <c r="B24" s="1">
        <f t="shared" si="1"/>
        <v>21</v>
      </c>
      <c r="C24" s="14" t="s">
        <v>54</v>
      </c>
      <c r="D24" s="1" t="s">
        <v>55</v>
      </c>
      <c r="E24" s="7">
        <v>142</v>
      </c>
      <c r="F24" s="6">
        <f>+E24*I24</f>
        <v>55550.335248000003</v>
      </c>
      <c r="G24" s="6">
        <f>+[19]Main!$L$5-[19]Main!$L$6</f>
        <v>18059</v>
      </c>
      <c r="H24" s="6">
        <f t="shared" si="3"/>
        <v>37491.335248000003</v>
      </c>
      <c r="I24" s="6">
        <f>+[19]Main!$L$3</f>
        <v>391.199544</v>
      </c>
      <c r="J24" s="3" t="s">
        <v>310</v>
      </c>
      <c r="K24" s="9">
        <v>44814</v>
      </c>
    </row>
    <row r="25" spans="1:11" x14ac:dyDescent="0.2">
      <c r="B25" s="1">
        <f t="shared" si="1"/>
        <v>22</v>
      </c>
      <c r="C25" s="5" t="s">
        <v>76</v>
      </c>
      <c r="D25" s="1" t="s">
        <v>77</v>
      </c>
      <c r="E25" s="3">
        <v>10.46</v>
      </c>
      <c r="F25" s="6">
        <f>E25*[20]Main!$M$3</f>
        <v>12680.93945768</v>
      </c>
      <c r="G25" s="6">
        <f>[20]Main!$M$5-[20]Main!$M$6</f>
        <v>-18665.5</v>
      </c>
      <c r="H25" s="6">
        <f>F25-G25</f>
        <v>31346.43945768</v>
      </c>
      <c r="J25" s="3" t="s">
        <v>16</v>
      </c>
    </row>
    <row r="26" spans="1:11" x14ac:dyDescent="0.2">
      <c r="A26" s="1" t="s">
        <v>344</v>
      </c>
      <c r="B26" s="1">
        <f t="shared" si="1"/>
        <v>23</v>
      </c>
      <c r="C26" s="5" t="s">
        <v>74</v>
      </c>
      <c r="D26" s="1" t="s">
        <v>75</v>
      </c>
      <c r="E26" s="7">
        <v>150.91</v>
      </c>
      <c r="F26" s="6">
        <f>+E26*I26</f>
        <v>36623.653864910004</v>
      </c>
      <c r="G26" s="6">
        <f>+[21]Main!$K$5-[21]Main!$K$6</f>
        <v>8320.9</v>
      </c>
      <c r="H26" s="6">
        <f>+F26-G26</f>
        <v>28302.753864910002</v>
      </c>
      <c r="I26" s="6">
        <f>+[21]Main!$K$3</f>
        <v>242.68540100000001</v>
      </c>
      <c r="J26" s="3" t="s">
        <v>310</v>
      </c>
      <c r="K26" s="9">
        <v>44815</v>
      </c>
    </row>
    <row r="27" spans="1:11" x14ac:dyDescent="0.2">
      <c r="A27" t="s">
        <v>344</v>
      </c>
      <c r="B27" s="1">
        <f t="shared" si="1"/>
        <v>24</v>
      </c>
      <c r="C27" s="5" t="s">
        <v>56</v>
      </c>
      <c r="D27" s="1" t="s">
        <v>57</v>
      </c>
      <c r="E27" s="6">
        <v>3311</v>
      </c>
    </row>
    <row r="28" spans="1:11" x14ac:dyDescent="0.2">
      <c r="A28" t="s">
        <v>344</v>
      </c>
      <c r="B28" s="1">
        <f t="shared" si="1"/>
        <v>25</v>
      </c>
      <c r="C28" s="5" t="s">
        <v>62</v>
      </c>
      <c r="D28" s="1" t="s">
        <v>63</v>
      </c>
      <c r="E28" s="3">
        <v>13.12</v>
      </c>
    </row>
    <row r="29" spans="1:11" x14ac:dyDescent="0.2">
      <c r="A29" t="s">
        <v>344</v>
      </c>
      <c r="B29" s="1">
        <f t="shared" si="1"/>
        <v>26</v>
      </c>
      <c r="C29" s="5" t="s">
        <v>62</v>
      </c>
      <c r="D29" s="1" t="s">
        <v>345</v>
      </c>
    </row>
    <row r="30" spans="1:11" x14ac:dyDescent="0.2">
      <c r="A30" s="1" t="s">
        <v>344</v>
      </c>
      <c r="B30" s="1">
        <f t="shared" si="1"/>
        <v>27</v>
      </c>
      <c r="C30" s="1" t="s">
        <v>263</v>
      </c>
      <c r="D30" t="s">
        <v>264</v>
      </c>
    </row>
    <row r="31" spans="1:11" x14ac:dyDescent="0.2">
      <c r="A31" s="1" t="s">
        <v>344</v>
      </c>
      <c r="B31" s="1">
        <f t="shared" si="1"/>
        <v>28</v>
      </c>
      <c r="C31" t="s">
        <v>267</v>
      </c>
      <c r="D31" s="1" t="s">
        <v>268</v>
      </c>
    </row>
    <row r="32" spans="1:11" x14ac:dyDescent="0.2">
      <c r="A32" s="1" t="s">
        <v>344</v>
      </c>
      <c r="B32" s="1">
        <f t="shared" si="1"/>
        <v>29</v>
      </c>
      <c r="C32" t="s">
        <v>265</v>
      </c>
      <c r="D32" t="s">
        <v>266</v>
      </c>
    </row>
    <row r="33" spans="1:10" x14ac:dyDescent="0.2">
      <c r="A33" s="1" t="s">
        <v>344</v>
      </c>
      <c r="B33" s="1">
        <f t="shared" si="1"/>
        <v>30</v>
      </c>
      <c r="C33" s="1" t="s">
        <v>84</v>
      </c>
      <c r="D33" s="1" t="s">
        <v>85</v>
      </c>
      <c r="E33" s="6">
        <v>3060</v>
      </c>
    </row>
    <row r="34" spans="1:10" x14ac:dyDescent="0.2">
      <c r="A34" t="s">
        <v>344</v>
      </c>
      <c r="B34" s="1">
        <f t="shared" si="1"/>
        <v>31</v>
      </c>
      <c r="C34" t="s">
        <v>269</v>
      </c>
      <c r="D34" t="s">
        <v>270</v>
      </c>
    </row>
    <row r="35" spans="1:10" x14ac:dyDescent="0.2">
      <c r="A35" s="1" t="s">
        <v>344</v>
      </c>
      <c r="B35" s="1">
        <f t="shared" si="1"/>
        <v>32</v>
      </c>
      <c r="C35" s="1" t="s">
        <v>72</v>
      </c>
      <c r="D35" s="1" t="s">
        <v>73</v>
      </c>
      <c r="E35" s="3">
        <v>165.45</v>
      </c>
    </row>
    <row r="36" spans="1:10" x14ac:dyDescent="0.2">
      <c r="A36" t="s">
        <v>344</v>
      </c>
      <c r="B36" s="1">
        <f t="shared" si="1"/>
        <v>33</v>
      </c>
      <c r="C36" s="1" t="s">
        <v>66</v>
      </c>
      <c r="D36" s="1" t="s">
        <v>67</v>
      </c>
      <c r="E36" s="3">
        <v>63.83</v>
      </c>
    </row>
    <row r="37" spans="1:10" x14ac:dyDescent="0.2">
      <c r="A37" t="s">
        <v>344</v>
      </c>
      <c r="B37" s="1">
        <f t="shared" si="1"/>
        <v>34</v>
      </c>
      <c r="C37" t="s">
        <v>271</v>
      </c>
      <c r="D37" t="s">
        <v>272</v>
      </c>
      <c r="E37" s="6"/>
    </row>
    <row r="38" spans="1:10" x14ac:dyDescent="0.2">
      <c r="A38" s="1" t="s">
        <v>344</v>
      </c>
      <c r="B38" s="1">
        <f t="shared" si="1"/>
        <v>35</v>
      </c>
      <c r="C38" s="1" t="s">
        <v>82</v>
      </c>
      <c r="D38" s="1" t="s">
        <v>83</v>
      </c>
      <c r="E38" s="6">
        <v>1978</v>
      </c>
    </row>
    <row r="39" spans="1:10" x14ac:dyDescent="0.2">
      <c r="A39" t="s">
        <v>344</v>
      </c>
      <c r="B39" s="1">
        <f t="shared" si="1"/>
        <v>36</v>
      </c>
      <c r="C39" t="s">
        <v>275</v>
      </c>
      <c r="D39" t="s">
        <v>276</v>
      </c>
      <c r="E39" s="6"/>
    </row>
    <row r="40" spans="1:10" x14ac:dyDescent="0.2">
      <c r="A40" s="1" t="s">
        <v>344</v>
      </c>
      <c r="B40" s="1">
        <f t="shared" si="1"/>
        <v>37</v>
      </c>
      <c r="C40" s="1" t="s">
        <v>78</v>
      </c>
      <c r="D40" s="1" t="s">
        <v>79</v>
      </c>
      <c r="E40" s="3">
        <v>39.35</v>
      </c>
    </row>
    <row r="41" spans="1:10" x14ac:dyDescent="0.2">
      <c r="A41" t="s">
        <v>344</v>
      </c>
      <c r="B41" s="1">
        <f t="shared" si="1"/>
        <v>38</v>
      </c>
      <c r="C41" t="s">
        <v>273</v>
      </c>
      <c r="D41" t="s">
        <v>274</v>
      </c>
    </row>
    <row r="42" spans="1:10" x14ac:dyDescent="0.2">
      <c r="A42" s="1" t="s">
        <v>344</v>
      </c>
      <c r="B42" s="1">
        <f t="shared" si="1"/>
        <v>39</v>
      </c>
      <c r="C42" t="s">
        <v>286</v>
      </c>
      <c r="D42" t="s">
        <v>287</v>
      </c>
    </row>
    <row r="43" spans="1:10" x14ac:dyDescent="0.2">
      <c r="B43" s="1">
        <f t="shared" si="1"/>
        <v>40</v>
      </c>
      <c r="C43" s="1" t="s">
        <v>68</v>
      </c>
      <c r="D43" s="1" t="s">
        <v>69</v>
      </c>
      <c r="E43" s="6">
        <v>4360</v>
      </c>
    </row>
    <row r="44" spans="1:10" x14ac:dyDescent="0.2">
      <c r="B44" s="1">
        <f t="shared" si="1"/>
        <v>41</v>
      </c>
      <c r="C44" s="1" t="s">
        <v>70</v>
      </c>
      <c r="D44" s="1" t="s">
        <v>71</v>
      </c>
      <c r="E44" s="3">
        <v>76.08</v>
      </c>
    </row>
    <row r="45" spans="1:10" x14ac:dyDescent="0.2">
      <c r="B45" s="1">
        <f t="shared" si="1"/>
        <v>42</v>
      </c>
      <c r="C45" s="5" t="s">
        <v>50</v>
      </c>
      <c r="D45" s="1" t="s">
        <v>51</v>
      </c>
      <c r="E45" s="3">
        <v>71.27</v>
      </c>
      <c r="F45" s="6">
        <f>+E45*[22]Main!$K$3</f>
        <v>15786.66213397</v>
      </c>
      <c r="G45" s="6">
        <f>+[22]Main!$K$5-[22]Main!$K$6</f>
        <v>2721</v>
      </c>
      <c r="H45" s="6">
        <f>F45-G45</f>
        <v>13065.66213397</v>
      </c>
      <c r="J45" s="3" t="s">
        <v>16</v>
      </c>
    </row>
    <row r="46" spans="1:10" x14ac:dyDescent="0.2">
      <c r="B46" s="1">
        <f t="shared" si="1"/>
        <v>43</v>
      </c>
      <c r="C46" s="5" t="s">
        <v>60</v>
      </c>
      <c r="D46" s="1" t="s">
        <v>61</v>
      </c>
      <c r="E46" s="3">
        <v>28.54</v>
      </c>
    </row>
    <row r="47" spans="1:10" x14ac:dyDescent="0.2">
      <c r="B47" s="1">
        <f t="shared" si="1"/>
        <v>44</v>
      </c>
      <c r="C47" s="1" t="s">
        <v>64</v>
      </c>
      <c r="D47" s="1" t="s">
        <v>65</v>
      </c>
      <c r="E47" s="3">
        <v>349.96</v>
      </c>
    </row>
    <row r="48" spans="1:10" x14ac:dyDescent="0.2">
      <c r="B48" s="1">
        <f t="shared" si="1"/>
        <v>45</v>
      </c>
      <c r="C48" s="5" t="s">
        <v>58</v>
      </c>
      <c r="D48" s="1" t="s">
        <v>59</v>
      </c>
      <c r="E48" s="7">
        <v>137.09</v>
      </c>
    </row>
    <row r="49" spans="2:11" x14ac:dyDescent="0.2">
      <c r="B49" s="1">
        <f t="shared" si="1"/>
        <v>46</v>
      </c>
      <c r="C49" s="5" t="s">
        <v>80</v>
      </c>
      <c r="D49" s="1" t="s">
        <v>81</v>
      </c>
      <c r="E49" s="7">
        <v>132.13999999999999</v>
      </c>
      <c r="F49" s="6">
        <f>E49*[23]Main!$L$3</f>
        <v>13539.443113239999</v>
      </c>
      <c r="G49" s="6">
        <f>[23]Main!$L$5-[23]Main!$L$6</f>
        <v>5643.241</v>
      </c>
      <c r="H49" s="6">
        <f>F49-G49</f>
        <v>7896.2021132399987</v>
      </c>
      <c r="J49" s="3" t="s">
        <v>16</v>
      </c>
    </row>
    <row r="50" spans="2:11" x14ac:dyDescent="0.2">
      <c r="B50" s="1">
        <f t="shared" si="1"/>
        <v>47</v>
      </c>
      <c r="C50" s="1" t="s">
        <v>86</v>
      </c>
      <c r="D50" s="1" t="s">
        <v>87</v>
      </c>
      <c r="E50" s="3">
        <v>11.57</v>
      </c>
    </row>
    <row r="51" spans="2:11" x14ac:dyDescent="0.2">
      <c r="B51" s="1">
        <f t="shared" si="1"/>
        <v>48</v>
      </c>
      <c r="C51" s="1" t="s">
        <v>88</v>
      </c>
      <c r="D51" s="1" t="s">
        <v>89</v>
      </c>
      <c r="E51" s="3">
        <v>145.13999999999999</v>
      </c>
    </row>
    <row r="52" spans="2:11" x14ac:dyDescent="0.2">
      <c r="B52" s="1">
        <f t="shared" si="1"/>
        <v>49</v>
      </c>
      <c r="C52" s="5" t="s">
        <v>90</v>
      </c>
      <c r="D52" s="1" t="s">
        <v>91</v>
      </c>
      <c r="E52" s="7">
        <v>219.38</v>
      </c>
      <c r="F52" s="6">
        <f>E52*[24]Main!$K$3</f>
        <v>10464.426000000001</v>
      </c>
      <c r="G52" s="6">
        <f>[24]Main!$K$5-[24]Main!$K$6</f>
        <v>3027</v>
      </c>
      <c r="H52" s="6">
        <f>F52-G52</f>
        <v>7437.4260000000013</v>
      </c>
      <c r="J52" s="3" t="s">
        <v>16</v>
      </c>
    </row>
    <row r="53" spans="2:11" x14ac:dyDescent="0.2">
      <c r="B53" s="1">
        <f t="shared" si="1"/>
        <v>50</v>
      </c>
      <c r="C53" s="5" t="s">
        <v>136</v>
      </c>
      <c r="D53" s="1" t="s">
        <v>137</v>
      </c>
      <c r="E53" s="7">
        <v>57</v>
      </c>
      <c r="F53" s="6">
        <f>+E53*[25]Main!$L$3</f>
        <v>6071.7436259999995</v>
      </c>
      <c r="G53" s="6">
        <f>+[25]Main!$L$5-[25]Main!$L$6</f>
        <v>776.13</v>
      </c>
      <c r="H53" s="6">
        <f>+F53-G53</f>
        <v>5295.6136259999994</v>
      </c>
      <c r="J53" s="3" t="s">
        <v>16</v>
      </c>
    </row>
    <row r="54" spans="2:11" x14ac:dyDescent="0.2">
      <c r="B54" s="1">
        <f t="shared" si="1"/>
        <v>51</v>
      </c>
      <c r="C54" s="5" t="s">
        <v>360</v>
      </c>
      <c r="D54" t="s">
        <v>361</v>
      </c>
      <c r="E54" s="3">
        <v>3.42</v>
      </c>
      <c r="F54" s="6">
        <f>+E54*I54</f>
        <v>2379.9056977800001</v>
      </c>
      <c r="G54" s="6">
        <f>+[26]Main!$K$5-[26]Main!$K$6</f>
        <v>1840.732</v>
      </c>
      <c r="H54" s="6">
        <f>+F54-G54</f>
        <v>539.17369778000011</v>
      </c>
      <c r="I54" s="6">
        <f>+[26]Main!$K$3</f>
        <v>695.87885900000003</v>
      </c>
      <c r="J54" s="3" t="s">
        <v>310</v>
      </c>
      <c r="K54" s="9">
        <v>44816</v>
      </c>
    </row>
    <row r="55" spans="2:11" x14ac:dyDescent="0.2">
      <c r="B55" s="1">
        <f t="shared" si="1"/>
        <v>52</v>
      </c>
      <c r="C55" s="5" t="s">
        <v>305</v>
      </c>
      <c r="D55" t="s">
        <v>306</v>
      </c>
      <c r="E55" s="6">
        <v>1721.48</v>
      </c>
      <c r="F55" s="6">
        <f>+E55*I55/100*GBP</f>
        <v>4746.2735717200003</v>
      </c>
      <c r="G55" s="6">
        <f>+[27]Main!$K$5-[27]Main!$K$6</f>
        <v>-337</v>
      </c>
      <c r="H55" s="6">
        <f>+F55-G55</f>
        <v>5083.2735717200003</v>
      </c>
      <c r="I55" s="6">
        <f>+[27]Main!$K$3</f>
        <v>233</v>
      </c>
      <c r="J55" s="3" t="s">
        <v>23</v>
      </c>
    </row>
    <row r="56" spans="2:11" x14ac:dyDescent="0.2">
      <c r="B56" s="1">
        <f t="shared" si="1"/>
        <v>53</v>
      </c>
      <c r="C56" s="5" t="s">
        <v>138</v>
      </c>
      <c r="D56" s="1" t="s">
        <v>139</v>
      </c>
      <c r="E56" s="3">
        <v>28.03</v>
      </c>
      <c r="F56" s="6">
        <f>+I56*E56</f>
        <v>4604.0473282500006</v>
      </c>
      <c r="G56" s="6">
        <f>+[28]Main!$L$5-[28]Main!$L$6</f>
        <v>465.44</v>
      </c>
      <c r="H56" s="6">
        <f>+F56-G56</f>
        <v>4138.607328250001</v>
      </c>
      <c r="I56" s="6">
        <f>+[28]Main!$L$3</f>
        <v>164.25427500000001</v>
      </c>
      <c r="J56" s="3" t="s">
        <v>310</v>
      </c>
      <c r="K56" s="9">
        <v>44782</v>
      </c>
    </row>
    <row r="57" spans="2:11" x14ac:dyDescent="0.2">
      <c r="B57" s="1">
        <f t="shared" si="1"/>
        <v>54</v>
      </c>
      <c r="C57" s="1" t="s">
        <v>92</v>
      </c>
      <c r="D57" s="1" t="s">
        <v>93</v>
      </c>
      <c r="E57" s="3">
        <v>93.28</v>
      </c>
    </row>
    <row r="58" spans="2:11" x14ac:dyDescent="0.2">
      <c r="B58" s="1">
        <f t="shared" si="1"/>
        <v>55</v>
      </c>
      <c r="C58" s="1" t="s">
        <v>94</v>
      </c>
      <c r="D58" s="1" t="s">
        <v>95</v>
      </c>
      <c r="E58" s="3">
        <v>142.91</v>
      </c>
    </row>
    <row r="59" spans="2:11" x14ac:dyDescent="0.2">
      <c r="B59" s="1">
        <f t="shared" si="1"/>
        <v>56</v>
      </c>
      <c r="C59" t="s">
        <v>279</v>
      </c>
      <c r="D59" t="s">
        <v>279</v>
      </c>
    </row>
    <row r="60" spans="2:11" x14ac:dyDescent="0.2">
      <c r="B60" s="1">
        <f t="shared" si="1"/>
        <v>57</v>
      </c>
      <c r="C60" s="1" t="s">
        <v>96</v>
      </c>
      <c r="D60" s="1" t="s">
        <v>97</v>
      </c>
      <c r="E60" s="3">
        <v>7.71</v>
      </c>
    </row>
    <row r="61" spans="2:11" x14ac:dyDescent="0.2">
      <c r="B61" s="1">
        <f t="shared" si="1"/>
        <v>58</v>
      </c>
      <c r="C61" t="s">
        <v>284</v>
      </c>
      <c r="D61" t="s">
        <v>285</v>
      </c>
    </row>
    <row r="62" spans="2:11" x14ac:dyDescent="0.2">
      <c r="B62" s="1">
        <f t="shared" si="1"/>
        <v>59</v>
      </c>
      <c r="C62" t="s">
        <v>282</v>
      </c>
      <c r="D62" t="s">
        <v>283</v>
      </c>
    </row>
    <row r="63" spans="2:11" x14ac:dyDescent="0.2">
      <c r="B63" s="1">
        <f t="shared" si="1"/>
        <v>60</v>
      </c>
      <c r="C63" t="s">
        <v>280</v>
      </c>
      <c r="D63" t="s">
        <v>281</v>
      </c>
    </row>
    <row r="64" spans="2:11" x14ac:dyDescent="0.2">
      <c r="B64" s="1">
        <f t="shared" si="1"/>
        <v>61</v>
      </c>
      <c r="C64" t="s">
        <v>277</v>
      </c>
      <c r="D64" t="s">
        <v>278</v>
      </c>
    </row>
    <row r="65" spans="2:5" x14ac:dyDescent="0.2">
      <c r="B65" s="1">
        <f t="shared" si="1"/>
        <v>62</v>
      </c>
      <c r="C65" t="s">
        <v>261</v>
      </c>
      <c r="D65" t="s">
        <v>262</v>
      </c>
    </row>
    <row r="66" spans="2:5" x14ac:dyDescent="0.2">
      <c r="B66" s="1">
        <f t="shared" si="1"/>
        <v>63</v>
      </c>
      <c r="C66" s="1" t="s">
        <v>98</v>
      </c>
      <c r="D66" s="1" t="s">
        <v>99</v>
      </c>
      <c r="E66" s="3">
        <v>11.04</v>
      </c>
    </row>
    <row r="67" spans="2:5" x14ac:dyDescent="0.2">
      <c r="B67" s="1">
        <f t="shared" si="1"/>
        <v>64</v>
      </c>
      <c r="C67" s="1" t="s">
        <v>100</v>
      </c>
      <c r="D67" s="1" t="s">
        <v>101</v>
      </c>
      <c r="E67" s="3">
        <v>44.14</v>
      </c>
    </row>
    <row r="68" spans="2:5" x14ac:dyDescent="0.2">
      <c r="B68" s="1">
        <f t="shared" si="1"/>
        <v>65</v>
      </c>
      <c r="C68" s="1" t="s">
        <v>102</v>
      </c>
      <c r="D68" s="1" t="s">
        <v>103</v>
      </c>
      <c r="E68" s="3">
        <v>35.26</v>
      </c>
    </row>
    <row r="69" spans="2:5" x14ac:dyDescent="0.2">
      <c r="B69" s="1">
        <f t="shared" si="1"/>
        <v>66</v>
      </c>
      <c r="C69" s="1" t="s">
        <v>104</v>
      </c>
      <c r="D69" s="1" t="s">
        <v>105</v>
      </c>
      <c r="E69" s="3">
        <v>82.53</v>
      </c>
    </row>
    <row r="70" spans="2:5" x14ac:dyDescent="0.2">
      <c r="B70" s="1">
        <f t="shared" ref="B70:B133" si="4">B69+1</f>
        <v>67</v>
      </c>
      <c r="C70" s="1" t="s">
        <v>106</v>
      </c>
      <c r="D70" s="1" t="s">
        <v>107</v>
      </c>
      <c r="E70" s="3">
        <v>24.78</v>
      </c>
    </row>
    <row r="71" spans="2:5" x14ac:dyDescent="0.2">
      <c r="B71" s="1">
        <f t="shared" si="4"/>
        <v>68</v>
      </c>
      <c r="C71" s="1" t="s">
        <v>108</v>
      </c>
      <c r="D71" s="1" t="s">
        <v>109</v>
      </c>
      <c r="E71" s="3">
        <v>4.72</v>
      </c>
    </row>
    <row r="72" spans="2:5" x14ac:dyDescent="0.2">
      <c r="B72" s="1">
        <f t="shared" si="4"/>
        <v>69</v>
      </c>
      <c r="C72" s="1" t="s">
        <v>110</v>
      </c>
      <c r="D72" s="1" t="s">
        <v>111</v>
      </c>
      <c r="E72" s="3">
        <v>24.53</v>
      </c>
    </row>
    <row r="73" spans="2:5" x14ac:dyDescent="0.2">
      <c r="B73" s="1">
        <f t="shared" si="4"/>
        <v>70</v>
      </c>
      <c r="C73" s="1" t="s">
        <v>112</v>
      </c>
      <c r="D73" s="1" t="s">
        <v>113</v>
      </c>
      <c r="E73" s="3">
        <v>23.02</v>
      </c>
    </row>
    <row r="74" spans="2:5" x14ac:dyDescent="0.2">
      <c r="B74" s="1">
        <f t="shared" si="4"/>
        <v>71</v>
      </c>
      <c r="C74" s="1" t="s">
        <v>114</v>
      </c>
      <c r="D74" s="1" t="s">
        <v>115</v>
      </c>
      <c r="E74" s="3">
        <v>29.12</v>
      </c>
    </row>
    <row r="75" spans="2:5" x14ac:dyDescent="0.2">
      <c r="B75" s="1">
        <f t="shared" si="4"/>
        <v>72</v>
      </c>
      <c r="C75" s="1" t="s">
        <v>116</v>
      </c>
      <c r="D75" s="1" t="s">
        <v>117</v>
      </c>
      <c r="E75" s="3">
        <v>33.17</v>
      </c>
    </row>
    <row r="76" spans="2:5" x14ac:dyDescent="0.2">
      <c r="B76" s="1">
        <f t="shared" si="4"/>
        <v>73</v>
      </c>
      <c r="C76" s="1" t="s">
        <v>118</v>
      </c>
      <c r="D76" s="1" t="s">
        <v>119</v>
      </c>
      <c r="E76" s="3">
        <v>53.21</v>
      </c>
    </row>
    <row r="77" spans="2:5" x14ac:dyDescent="0.2">
      <c r="B77" s="1">
        <f t="shared" si="4"/>
        <v>74</v>
      </c>
      <c r="C77" s="1" t="s">
        <v>120</v>
      </c>
      <c r="D77" s="1" t="s">
        <v>121</v>
      </c>
      <c r="E77" s="3">
        <v>46.23</v>
      </c>
    </row>
    <row r="78" spans="2:5" x14ac:dyDescent="0.2">
      <c r="B78" s="1">
        <f t="shared" si="4"/>
        <v>75</v>
      </c>
      <c r="C78" s="1" t="s">
        <v>122</v>
      </c>
      <c r="D78" s="1" t="s">
        <v>123</v>
      </c>
      <c r="E78" s="7">
        <v>70</v>
      </c>
    </row>
    <row r="79" spans="2:5" x14ac:dyDescent="0.2">
      <c r="B79" s="1">
        <f t="shared" si="4"/>
        <v>76</v>
      </c>
      <c r="C79" s="1" t="s">
        <v>124</v>
      </c>
      <c r="D79" s="1" t="s">
        <v>125</v>
      </c>
      <c r="E79" s="3">
        <v>18.559999999999999</v>
      </c>
    </row>
    <row r="80" spans="2:5" x14ac:dyDescent="0.2">
      <c r="B80" s="1">
        <f t="shared" si="4"/>
        <v>77</v>
      </c>
      <c r="C80" s="1" t="s">
        <v>126</v>
      </c>
      <c r="D80" s="1" t="s">
        <v>127</v>
      </c>
      <c r="E80" s="3">
        <v>15.75</v>
      </c>
    </row>
    <row r="81" spans="2:29" x14ac:dyDescent="0.2">
      <c r="B81" s="1">
        <f t="shared" si="4"/>
        <v>78</v>
      </c>
      <c r="C81" s="1" t="s">
        <v>128</v>
      </c>
      <c r="D81" s="1" t="s">
        <v>129</v>
      </c>
      <c r="E81" s="3">
        <v>19.510000000000002</v>
      </c>
    </row>
    <row r="82" spans="2:29" x14ac:dyDescent="0.2">
      <c r="B82" s="1">
        <f t="shared" si="4"/>
        <v>79</v>
      </c>
      <c r="C82" s="1" t="s">
        <v>130</v>
      </c>
      <c r="D82" s="1" t="s">
        <v>131</v>
      </c>
      <c r="E82" s="3">
        <v>66.97</v>
      </c>
    </row>
    <row r="83" spans="2:29" x14ac:dyDescent="0.2">
      <c r="B83" s="1">
        <f t="shared" si="4"/>
        <v>80</v>
      </c>
      <c r="C83" s="1" t="s">
        <v>132</v>
      </c>
      <c r="D83" s="1" t="s">
        <v>133</v>
      </c>
      <c r="E83" s="3">
        <v>54.94</v>
      </c>
    </row>
    <row r="84" spans="2:29" x14ac:dyDescent="0.2">
      <c r="B84" s="1">
        <f t="shared" si="4"/>
        <v>81</v>
      </c>
      <c r="C84" s="1" t="s">
        <v>134</v>
      </c>
      <c r="D84" s="1" t="s">
        <v>135</v>
      </c>
      <c r="E84" s="3">
        <v>38.840000000000003</v>
      </c>
    </row>
    <row r="85" spans="2:29" x14ac:dyDescent="0.2">
      <c r="B85" s="1">
        <f t="shared" si="4"/>
        <v>82</v>
      </c>
      <c r="C85" s="1" t="s">
        <v>140</v>
      </c>
      <c r="D85" s="1" t="s">
        <v>141</v>
      </c>
      <c r="E85" s="3">
        <v>83.92</v>
      </c>
    </row>
    <row r="86" spans="2:29" x14ac:dyDescent="0.2">
      <c r="B86" s="1">
        <f t="shared" si="4"/>
        <v>83</v>
      </c>
      <c r="C86" s="1" t="s">
        <v>142</v>
      </c>
      <c r="D86" s="1" t="s">
        <v>143</v>
      </c>
      <c r="E86" s="3">
        <v>60.72</v>
      </c>
    </row>
    <row r="87" spans="2:29" x14ac:dyDescent="0.2">
      <c r="B87" s="1">
        <f t="shared" si="4"/>
        <v>84</v>
      </c>
      <c r="C87" s="1" t="s">
        <v>144</v>
      </c>
      <c r="D87" s="1" t="s">
        <v>145</v>
      </c>
      <c r="E87" s="7">
        <v>12.2</v>
      </c>
    </row>
    <row r="88" spans="2:29" x14ac:dyDescent="0.2">
      <c r="B88" s="1">
        <f t="shared" si="4"/>
        <v>85</v>
      </c>
      <c r="C88" s="1" t="s">
        <v>146</v>
      </c>
      <c r="D88" s="1" t="s">
        <v>147</v>
      </c>
      <c r="E88" s="3">
        <v>2.37</v>
      </c>
    </row>
    <row r="89" spans="2:29" x14ac:dyDescent="0.2">
      <c r="B89" s="1">
        <f t="shared" si="4"/>
        <v>86</v>
      </c>
      <c r="C89" t="s">
        <v>316</v>
      </c>
      <c r="D89" t="s">
        <v>317</v>
      </c>
      <c r="E89" s="3">
        <v>4.26</v>
      </c>
      <c r="AC89" s="1">
        <v>2011</v>
      </c>
    </row>
    <row r="90" spans="2:29" x14ac:dyDescent="0.2">
      <c r="B90" s="1">
        <f t="shared" si="4"/>
        <v>87</v>
      </c>
      <c r="C90" s="1" t="s">
        <v>148</v>
      </c>
      <c r="D90" s="1" t="s">
        <v>149</v>
      </c>
      <c r="E90" s="3">
        <v>42.98</v>
      </c>
    </row>
    <row r="91" spans="2:29" x14ac:dyDescent="0.2">
      <c r="B91" s="1">
        <f t="shared" si="4"/>
        <v>88</v>
      </c>
      <c r="C91" s="1" t="s">
        <v>150</v>
      </c>
      <c r="D91" s="1" t="s">
        <v>151</v>
      </c>
      <c r="E91" s="3">
        <v>23.92</v>
      </c>
    </row>
    <row r="92" spans="2:29" x14ac:dyDescent="0.2">
      <c r="B92" s="1">
        <f t="shared" si="4"/>
        <v>89</v>
      </c>
      <c r="C92" s="1" t="s">
        <v>152</v>
      </c>
      <c r="D92" s="1" t="s">
        <v>153</v>
      </c>
      <c r="E92" s="3">
        <v>53.29</v>
      </c>
    </row>
    <row r="93" spans="2:29" x14ac:dyDescent="0.2">
      <c r="B93" s="1">
        <f t="shared" si="4"/>
        <v>90</v>
      </c>
      <c r="C93" s="1" t="s">
        <v>154</v>
      </c>
      <c r="D93" s="1" t="s">
        <v>155</v>
      </c>
      <c r="E93" s="3">
        <v>74.459999999999994</v>
      </c>
    </row>
    <row r="94" spans="2:29" x14ac:dyDescent="0.2">
      <c r="B94" s="1">
        <f t="shared" si="4"/>
        <v>91</v>
      </c>
      <c r="C94" s="1" t="s">
        <v>156</v>
      </c>
      <c r="D94" s="1" t="s">
        <v>157</v>
      </c>
      <c r="E94" s="3">
        <v>48.63</v>
      </c>
    </row>
    <row r="95" spans="2:29" x14ac:dyDescent="0.2">
      <c r="B95" s="1">
        <f t="shared" si="4"/>
        <v>92</v>
      </c>
      <c r="C95" s="1" t="s">
        <v>158</v>
      </c>
      <c r="D95" s="1" t="s">
        <v>159</v>
      </c>
      <c r="E95" s="3">
        <v>27.73</v>
      </c>
    </row>
    <row r="96" spans="2:29" x14ac:dyDescent="0.2">
      <c r="B96" s="1">
        <f t="shared" si="4"/>
        <v>93</v>
      </c>
      <c r="C96" s="5" t="s">
        <v>160</v>
      </c>
      <c r="D96" s="1" t="s">
        <v>161</v>
      </c>
      <c r="E96" s="3">
        <v>10.119999999999999</v>
      </c>
      <c r="F96" s="6">
        <f>+E96*[29]Main!$N$3</f>
        <v>3152.1980120399994</v>
      </c>
      <c r="G96" s="6">
        <f>+[29]Main!$N$5-[29]Main!$N$6</f>
        <v>869.93499999999995</v>
      </c>
      <c r="H96" s="6">
        <f>+F96-G96</f>
        <v>2282.2630120399995</v>
      </c>
      <c r="J96" s="3" t="s">
        <v>16</v>
      </c>
    </row>
    <row r="97" spans="2:5" x14ac:dyDescent="0.2">
      <c r="B97" s="1">
        <f t="shared" si="4"/>
        <v>94</v>
      </c>
      <c r="C97" s="1" t="s">
        <v>162</v>
      </c>
      <c r="D97" s="1" t="s">
        <v>163</v>
      </c>
      <c r="E97" s="3">
        <v>35.770000000000003</v>
      </c>
    </row>
    <row r="98" spans="2:5" x14ac:dyDescent="0.2">
      <c r="B98" s="1">
        <f t="shared" si="4"/>
        <v>95</v>
      </c>
      <c r="C98" s="1" t="s">
        <v>164</v>
      </c>
      <c r="D98" s="1" t="s">
        <v>165</v>
      </c>
      <c r="E98" s="3">
        <v>14.27</v>
      </c>
    </row>
    <row r="99" spans="2:5" x14ac:dyDescent="0.2">
      <c r="B99" s="1">
        <f t="shared" si="4"/>
        <v>96</v>
      </c>
      <c r="C99" s="1" t="s">
        <v>166</v>
      </c>
      <c r="D99" s="1" t="s">
        <v>167</v>
      </c>
      <c r="E99" s="3">
        <v>7.36</v>
      </c>
    </row>
    <row r="100" spans="2:5" x14ac:dyDescent="0.2">
      <c r="B100" s="1">
        <f t="shared" si="4"/>
        <v>97</v>
      </c>
      <c r="C100" s="1" t="s">
        <v>168</v>
      </c>
      <c r="D100" s="1" t="s">
        <v>169</v>
      </c>
      <c r="E100" s="3">
        <v>9.35</v>
      </c>
    </row>
    <row r="101" spans="2:5" x14ac:dyDescent="0.2">
      <c r="B101" s="1">
        <f t="shared" si="4"/>
        <v>98</v>
      </c>
      <c r="C101" s="1" t="s">
        <v>170</v>
      </c>
      <c r="D101" s="1" t="s">
        <v>171</v>
      </c>
      <c r="E101" s="3">
        <v>43.98</v>
      </c>
    </row>
    <row r="102" spans="2:5" x14ac:dyDescent="0.2">
      <c r="B102" s="1">
        <f t="shared" si="4"/>
        <v>99</v>
      </c>
      <c r="C102" s="1" t="s">
        <v>172</v>
      </c>
      <c r="D102" s="1" t="s">
        <v>173</v>
      </c>
      <c r="E102" s="3">
        <v>5.18</v>
      </c>
    </row>
    <row r="103" spans="2:5" x14ac:dyDescent="0.2">
      <c r="B103" s="1">
        <f t="shared" si="4"/>
        <v>100</v>
      </c>
      <c r="C103" s="1" t="s">
        <v>174</v>
      </c>
      <c r="D103" s="1" t="s">
        <v>175</v>
      </c>
      <c r="E103" s="3">
        <v>53.72</v>
      </c>
    </row>
    <row r="104" spans="2:5" x14ac:dyDescent="0.2">
      <c r="B104" s="1">
        <f t="shared" si="4"/>
        <v>101</v>
      </c>
      <c r="C104" s="1" t="s">
        <v>176</v>
      </c>
      <c r="D104" s="1" t="s">
        <v>177</v>
      </c>
      <c r="E104" s="3">
        <v>21.04</v>
      </c>
    </row>
    <row r="105" spans="2:5" x14ac:dyDescent="0.2">
      <c r="B105" s="1">
        <f t="shared" si="4"/>
        <v>102</v>
      </c>
      <c r="C105" t="s">
        <v>318</v>
      </c>
      <c r="D105" t="s">
        <v>319</v>
      </c>
    </row>
    <row r="106" spans="2:5" x14ac:dyDescent="0.2">
      <c r="B106" s="1">
        <f t="shared" si="4"/>
        <v>103</v>
      </c>
      <c r="C106" s="1" t="s">
        <v>178</v>
      </c>
      <c r="D106" s="1" t="s">
        <v>179</v>
      </c>
      <c r="E106" s="7">
        <v>20.7</v>
      </c>
    </row>
    <row r="107" spans="2:5" x14ac:dyDescent="0.2">
      <c r="B107" s="1">
        <f t="shared" si="4"/>
        <v>104</v>
      </c>
      <c r="C107" s="1" t="s">
        <v>180</v>
      </c>
      <c r="D107" s="1" t="s">
        <v>181</v>
      </c>
      <c r="E107" s="3">
        <v>18.579999999999998</v>
      </c>
    </row>
    <row r="108" spans="2:5" x14ac:dyDescent="0.2">
      <c r="B108" s="1">
        <f t="shared" si="4"/>
        <v>105</v>
      </c>
      <c r="C108" s="1" t="s">
        <v>182</v>
      </c>
      <c r="D108" s="1" t="s">
        <v>183</v>
      </c>
      <c r="E108" s="3">
        <v>16.12</v>
      </c>
    </row>
    <row r="109" spans="2:5" x14ac:dyDescent="0.2">
      <c r="B109" s="1">
        <f t="shared" si="4"/>
        <v>106</v>
      </c>
      <c r="C109" s="1" t="s">
        <v>184</v>
      </c>
      <c r="D109" s="1" t="s">
        <v>185</v>
      </c>
      <c r="E109" s="3">
        <v>28.41</v>
      </c>
    </row>
    <row r="110" spans="2:5" x14ac:dyDescent="0.2">
      <c r="B110" s="1">
        <f t="shared" si="4"/>
        <v>107</v>
      </c>
      <c r="C110" s="1" t="s">
        <v>186</v>
      </c>
      <c r="D110" s="1" t="s">
        <v>187</v>
      </c>
      <c r="E110" s="3">
        <v>33.86</v>
      </c>
    </row>
    <row r="111" spans="2:5" x14ac:dyDescent="0.2">
      <c r="B111" s="1">
        <f t="shared" si="4"/>
        <v>108</v>
      </c>
      <c r="C111" t="s">
        <v>353</v>
      </c>
      <c r="D111" t="s">
        <v>354</v>
      </c>
      <c r="E111" s="7">
        <v>15</v>
      </c>
    </row>
    <row r="112" spans="2:5" x14ac:dyDescent="0.2">
      <c r="B112" s="1">
        <f t="shared" si="4"/>
        <v>109</v>
      </c>
      <c r="C112" s="1" t="s">
        <v>188</v>
      </c>
      <c r="D112" s="1" t="s">
        <v>189</v>
      </c>
      <c r="E112" s="3">
        <v>38.35</v>
      </c>
    </row>
    <row r="113" spans="2:5" x14ac:dyDescent="0.2">
      <c r="B113" s="1">
        <f t="shared" si="4"/>
        <v>110</v>
      </c>
      <c r="C113" s="1" t="s">
        <v>301</v>
      </c>
      <c r="D113" s="1" t="s">
        <v>190</v>
      </c>
      <c r="E113" s="3">
        <v>9.6199999999999992</v>
      </c>
    </row>
    <row r="114" spans="2:5" x14ac:dyDescent="0.2">
      <c r="B114" s="1">
        <f t="shared" si="4"/>
        <v>111</v>
      </c>
      <c r="C114" s="1" t="s">
        <v>191</v>
      </c>
      <c r="D114" s="1" t="s">
        <v>192</v>
      </c>
      <c r="E114" s="3">
        <v>25.49</v>
      </c>
    </row>
    <row r="115" spans="2:5" x14ac:dyDescent="0.2">
      <c r="B115" s="1">
        <f t="shared" si="4"/>
        <v>112</v>
      </c>
      <c r="C115" t="s">
        <v>299</v>
      </c>
      <c r="D115" t="s">
        <v>300</v>
      </c>
    </row>
    <row r="116" spans="2:5" x14ac:dyDescent="0.2">
      <c r="B116" s="1">
        <f t="shared" si="4"/>
        <v>113</v>
      </c>
      <c r="C116" s="1" t="s">
        <v>193</v>
      </c>
      <c r="D116" s="1" t="s">
        <v>194</v>
      </c>
      <c r="E116" s="3">
        <v>11.42</v>
      </c>
    </row>
    <row r="117" spans="2:5" x14ac:dyDescent="0.2">
      <c r="B117" s="1">
        <f t="shared" si="4"/>
        <v>114</v>
      </c>
      <c r="C117" s="1" t="s">
        <v>195</v>
      </c>
      <c r="D117" s="1" t="s">
        <v>196</v>
      </c>
      <c r="E117" s="3">
        <v>26.64</v>
      </c>
    </row>
    <row r="118" spans="2:5" x14ac:dyDescent="0.2">
      <c r="B118" s="1">
        <f t="shared" si="4"/>
        <v>115</v>
      </c>
      <c r="C118" s="1" t="s">
        <v>197</v>
      </c>
      <c r="D118" s="1" t="s">
        <v>198</v>
      </c>
      <c r="E118" s="3">
        <v>30.48</v>
      </c>
    </row>
    <row r="119" spans="2:5" x14ac:dyDescent="0.2">
      <c r="B119" s="1">
        <f t="shared" si="4"/>
        <v>116</v>
      </c>
      <c r="C119" s="1" t="s">
        <v>199</v>
      </c>
      <c r="D119" s="1" t="s">
        <v>200</v>
      </c>
      <c r="E119" s="3">
        <v>12.98</v>
      </c>
    </row>
    <row r="120" spans="2:5" x14ac:dyDescent="0.2">
      <c r="B120" s="1">
        <f t="shared" si="4"/>
        <v>117</v>
      </c>
      <c r="C120" s="1" t="s">
        <v>201</v>
      </c>
      <c r="D120" s="1" t="s">
        <v>202</v>
      </c>
      <c r="E120" s="3">
        <v>10.96</v>
      </c>
    </row>
    <row r="121" spans="2:5" x14ac:dyDescent="0.2">
      <c r="B121" s="1">
        <f t="shared" si="4"/>
        <v>118</v>
      </c>
      <c r="C121" s="1" t="s">
        <v>203</v>
      </c>
      <c r="D121" s="1" t="s">
        <v>204</v>
      </c>
      <c r="E121" s="3">
        <v>2.42</v>
      </c>
    </row>
    <row r="122" spans="2:5" x14ac:dyDescent="0.2">
      <c r="B122" s="1">
        <f t="shared" si="4"/>
        <v>119</v>
      </c>
      <c r="C122" s="1" t="s">
        <v>205</v>
      </c>
      <c r="D122" s="1" t="s">
        <v>206</v>
      </c>
      <c r="E122" s="7">
        <v>55.5</v>
      </c>
    </row>
    <row r="123" spans="2:5" x14ac:dyDescent="0.2">
      <c r="B123" s="1">
        <f t="shared" si="4"/>
        <v>120</v>
      </c>
      <c r="C123" s="1" t="s">
        <v>207</v>
      </c>
      <c r="D123" s="1" t="s">
        <v>208</v>
      </c>
      <c r="E123" s="3">
        <v>10.63</v>
      </c>
    </row>
    <row r="124" spans="2:5" x14ac:dyDescent="0.2">
      <c r="B124" s="1">
        <f t="shared" si="4"/>
        <v>121</v>
      </c>
      <c r="C124" s="1" t="s">
        <v>209</v>
      </c>
      <c r="D124" s="1" t="s">
        <v>210</v>
      </c>
      <c r="E124" s="3">
        <v>33.130000000000003</v>
      </c>
    </row>
    <row r="125" spans="2:5" x14ac:dyDescent="0.2">
      <c r="B125" s="1">
        <f t="shared" si="4"/>
        <v>122</v>
      </c>
      <c r="C125" s="1" t="s">
        <v>211</v>
      </c>
      <c r="D125" s="1" t="s">
        <v>212</v>
      </c>
      <c r="E125" s="3">
        <v>31.52</v>
      </c>
    </row>
    <row r="126" spans="2:5" x14ac:dyDescent="0.2">
      <c r="B126" s="1">
        <f t="shared" si="4"/>
        <v>123</v>
      </c>
      <c r="C126" s="1" t="s">
        <v>213</v>
      </c>
      <c r="D126" s="1" t="s">
        <v>214</v>
      </c>
      <c r="E126" s="3">
        <v>7.62</v>
      </c>
    </row>
    <row r="127" spans="2:5" x14ac:dyDescent="0.2">
      <c r="B127" s="1">
        <f t="shared" si="4"/>
        <v>124</v>
      </c>
      <c r="C127" s="1" t="s">
        <v>215</v>
      </c>
      <c r="D127" s="1" t="s">
        <v>216</v>
      </c>
      <c r="E127" s="3">
        <v>28.55</v>
      </c>
    </row>
    <row r="128" spans="2:5" x14ac:dyDescent="0.2">
      <c r="B128" s="1">
        <f t="shared" si="4"/>
        <v>125</v>
      </c>
      <c r="C128" s="1" t="s">
        <v>217</v>
      </c>
      <c r="D128" s="1" t="s">
        <v>218</v>
      </c>
      <c r="E128" s="3">
        <v>27.02</v>
      </c>
    </row>
    <row r="129" spans="2:16" x14ac:dyDescent="0.2">
      <c r="B129" s="1">
        <f t="shared" si="4"/>
        <v>126</v>
      </c>
      <c r="C129" s="5" t="s">
        <v>296</v>
      </c>
      <c r="D129" t="s">
        <v>297</v>
      </c>
      <c r="E129" s="3">
        <v>15.65</v>
      </c>
      <c r="F129" s="6">
        <f>E129*[30]Main!$L$3</f>
        <v>1253.1559559500001</v>
      </c>
      <c r="G129" s="6">
        <f>+[30]Main!$L$5-[30]Main!$L$6</f>
        <v>112.015</v>
      </c>
      <c r="H129" s="6">
        <f>+F129-G129</f>
        <v>1141.14095595</v>
      </c>
      <c r="J129" s="3" t="s">
        <v>16</v>
      </c>
    </row>
    <row r="130" spans="2:16" x14ac:dyDescent="0.2">
      <c r="B130" s="1">
        <f t="shared" si="4"/>
        <v>127</v>
      </c>
      <c r="C130" s="5" t="s">
        <v>307</v>
      </c>
      <c r="D130" t="s">
        <v>308</v>
      </c>
      <c r="E130" s="3">
        <v>16.93</v>
      </c>
      <c r="F130" s="6">
        <f>+E130*[31]Main!$L$3</f>
        <v>1228.5485933099999</v>
      </c>
      <c r="G130" s="6">
        <f>+[31]Main!$L$5-[31]Main!$L$6</f>
        <v>153.25991400000001</v>
      </c>
      <c r="H130" s="6">
        <f>+F130-G130</f>
        <v>1075.2886793099999</v>
      </c>
      <c r="J130" s="3" t="s">
        <v>16</v>
      </c>
      <c r="K130" s="9">
        <v>44771</v>
      </c>
      <c r="L130" s="9"/>
      <c r="M130" s="9"/>
      <c r="N130" s="9"/>
      <c r="O130" s="9"/>
      <c r="P130" s="9"/>
    </row>
    <row r="131" spans="2:16" x14ac:dyDescent="0.2">
      <c r="B131" s="1">
        <f t="shared" si="4"/>
        <v>128</v>
      </c>
      <c r="C131" s="1" t="s">
        <v>219</v>
      </c>
      <c r="D131" s="1" t="s">
        <v>220</v>
      </c>
      <c r="E131" s="3">
        <v>3.17</v>
      </c>
    </row>
    <row r="132" spans="2:16" x14ac:dyDescent="0.2">
      <c r="B132" s="1">
        <f t="shared" si="4"/>
        <v>129</v>
      </c>
      <c r="C132" s="1" t="s">
        <v>221</v>
      </c>
      <c r="D132" s="1" t="s">
        <v>222</v>
      </c>
      <c r="E132" s="3">
        <v>8.76</v>
      </c>
    </row>
    <row r="133" spans="2:16" x14ac:dyDescent="0.2">
      <c r="B133" s="1">
        <f t="shared" si="4"/>
        <v>130</v>
      </c>
      <c r="C133" s="1" t="s">
        <v>223</v>
      </c>
      <c r="D133" s="1" t="s">
        <v>224</v>
      </c>
      <c r="E133" s="3">
        <v>18.010000000000002</v>
      </c>
    </row>
    <row r="134" spans="2:16" x14ac:dyDescent="0.2">
      <c r="B134" s="1">
        <f t="shared" ref="B134:B158" si="5">B133+1</f>
        <v>131</v>
      </c>
      <c r="C134" t="s">
        <v>313</v>
      </c>
      <c r="D134" t="s">
        <v>314</v>
      </c>
      <c r="E134" s="3">
        <v>3.92</v>
      </c>
      <c r="F134" s="3">
        <v>630</v>
      </c>
    </row>
    <row r="135" spans="2:16" x14ac:dyDescent="0.2">
      <c r="B135" s="1">
        <f t="shared" si="5"/>
        <v>132</v>
      </c>
      <c r="C135" t="s">
        <v>311</v>
      </c>
      <c r="D135" t="s">
        <v>312</v>
      </c>
      <c r="E135" s="3">
        <v>11.93</v>
      </c>
      <c r="F135" s="3">
        <v>516</v>
      </c>
    </row>
    <row r="136" spans="2:16" x14ac:dyDescent="0.2">
      <c r="B136" s="1">
        <f t="shared" si="5"/>
        <v>133</v>
      </c>
      <c r="C136" s="1" t="s">
        <v>225</v>
      </c>
      <c r="D136" s="1" t="s">
        <v>226</v>
      </c>
      <c r="E136" s="3">
        <v>5.46</v>
      </c>
    </row>
    <row r="137" spans="2:16" x14ac:dyDescent="0.2">
      <c r="B137" s="1">
        <f t="shared" si="5"/>
        <v>134</v>
      </c>
      <c r="C137" s="1" t="s">
        <v>227</v>
      </c>
      <c r="D137" s="1" t="s">
        <v>228</v>
      </c>
      <c r="E137" s="7">
        <v>36.6</v>
      </c>
    </row>
    <row r="138" spans="2:16" x14ac:dyDescent="0.2">
      <c r="B138" s="1">
        <f t="shared" si="5"/>
        <v>135</v>
      </c>
      <c r="C138" s="1" t="s">
        <v>229</v>
      </c>
      <c r="D138" s="1" t="s">
        <v>230</v>
      </c>
      <c r="E138" s="7">
        <v>40.24</v>
      </c>
    </row>
    <row r="139" spans="2:16" x14ac:dyDescent="0.2">
      <c r="B139" s="1">
        <f t="shared" si="5"/>
        <v>136</v>
      </c>
      <c r="C139" s="1" t="s">
        <v>231</v>
      </c>
      <c r="D139" s="1" t="s">
        <v>232</v>
      </c>
      <c r="E139" s="3">
        <v>22.11</v>
      </c>
    </row>
    <row r="140" spans="2:16" x14ac:dyDescent="0.2">
      <c r="B140" s="1">
        <f t="shared" si="5"/>
        <v>137</v>
      </c>
      <c r="C140" s="5" t="s">
        <v>331</v>
      </c>
      <c r="D140" t="s">
        <v>332</v>
      </c>
      <c r="E140" s="3">
        <v>3.95</v>
      </c>
      <c r="F140" s="6">
        <f>+E140*I140</f>
        <v>37.185714749999995</v>
      </c>
      <c r="G140" s="6">
        <f>+[32]Main!$N$5-[32]Main!$N$6</f>
        <v>-7.4640000000000004</v>
      </c>
      <c r="H140" s="6">
        <f>+F140-G140</f>
        <v>44.649714749999994</v>
      </c>
      <c r="I140" s="6">
        <f>+[32]Main!$N$3</f>
        <v>9.4141049999999993</v>
      </c>
      <c r="J140" s="3" t="s">
        <v>310</v>
      </c>
      <c r="K140" s="9">
        <v>44780</v>
      </c>
    </row>
    <row r="141" spans="2:16" x14ac:dyDescent="0.2">
      <c r="B141" s="1">
        <f t="shared" si="5"/>
        <v>138</v>
      </c>
      <c r="C141" s="1" t="s">
        <v>233</v>
      </c>
      <c r="D141" s="1" t="s">
        <v>234</v>
      </c>
      <c r="E141" s="3">
        <v>10.31</v>
      </c>
    </row>
    <row r="142" spans="2:16" x14ac:dyDescent="0.2">
      <c r="B142" s="1">
        <f t="shared" si="5"/>
        <v>139</v>
      </c>
      <c r="C142" s="1" t="s">
        <v>235</v>
      </c>
      <c r="D142" s="1" t="s">
        <v>236</v>
      </c>
      <c r="E142" s="7">
        <v>1.3</v>
      </c>
    </row>
    <row r="143" spans="2:16" x14ac:dyDescent="0.2">
      <c r="B143" s="1">
        <f t="shared" si="5"/>
        <v>140</v>
      </c>
      <c r="C143" s="1" t="s">
        <v>237</v>
      </c>
      <c r="D143" s="1" t="s">
        <v>238</v>
      </c>
      <c r="E143" s="3">
        <v>3.35</v>
      </c>
    </row>
    <row r="144" spans="2:16" x14ac:dyDescent="0.2">
      <c r="B144" s="1">
        <f t="shared" si="5"/>
        <v>141</v>
      </c>
      <c r="C144" s="5" t="s">
        <v>239</v>
      </c>
      <c r="D144" s="1" t="s">
        <v>240</v>
      </c>
      <c r="E144" s="3">
        <v>7.06</v>
      </c>
      <c r="F144" s="6">
        <f>E144*[33]Main!$J$3</f>
        <v>725.62786605999997</v>
      </c>
      <c r="G144" s="6">
        <f>[33]Main!$J$5-[33]Main!$J$6</f>
        <v>197.79600000000002</v>
      </c>
      <c r="H144" s="8">
        <f>+F144-G144</f>
        <v>527.83186605999992</v>
      </c>
      <c r="J144" s="3" t="s">
        <v>16</v>
      </c>
    </row>
    <row r="145" spans="2:29" x14ac:dyDescent="0.2">
      <c r="B145" s="1">
        <f t="shared" si="5"/>
        <v>142</v>
      </c>
      <c r="C145" s="5" t="s">
        <v>362</v>
      </c>
      <c r="D145" s="1" t="s">
        <v>363</v>
      </c>
      <c r="E145" s="7">
        <v>0.6</v>
      </c>
      <c r="F145" s="6">
        <f>+E145*I145</f>
        <v>486.43225439999998</v>
      </c>
      <c r="G145" s="6">
        <f>+[34]Main!$K$5-[34]Main!$K$6</f>
        <v>-37.984000000000002</v>
      </c>
      <c r="H145" s="8">
        <f t="shared" ref="H145" si="6">+F145-G145</f>
        <v>524.41625439999996</v>
      </c>
      <c r="I145" s="6">
        <f>+[34]Main!$K$3</f>
        <v>810.72042399999998</v>
      </c>
      <c r="J145" s="3" t="s">
        <v>310</v>
      </c>
      <c r="K145" s="9">
        <v>44816</v>
      </c>
      <c r="AC145" s="1">
        <v>2002</v>
      </c>
    </row>
    <row r="146" spans="2:29" x14ac:dyDescent="0.2">
      <c r="B146" s="1">
        <f t="shared" si="5"/>
        <v>143</v>
      </c>
      <c r="C146" s="5" t="s">
        <v>241</v>
      </c>
      <c r="D146" s="1" t="s">
        <v>242</v>
      </c>
      <c r="E146" s="3">
        <v>14.68</v>
      </c>
      <c r="F146" s="6">
        <f>E146*[35]Main!$L$3</f>
        <v>587.26396075999992</v>
      </c>
      <c r="G146" s="6">
        <f>[35]Main!$L$5-[35]Main!$L$6</f>
        <v>277.88299999999998</v>
      </c>
      <c r="H146" s="8">
        <f>+F146-G146</f>
        <v>309.38096075999994</v>
      </c>
      <c r="J146" s="3" t="s">
        <v>16</v>
      </c>
    </row>
    <row r="147" spans="2:29" x14ac:dyDescent="0.2">
      <c r="B147" s="1">
        <f t="shared" si="5"/>
        <v>144</v>
      </c>
      <c r="C147" s="5" t="s">
        <v>243</v>
      </c>
      <c r="D147" s="1" t="s">
        <v>244</v>
      </c>
      <c r="E147" s="3">
        <v>4.8600000000000003</v>
      </c>
      <c r="F147" s="6">
        <f>E147*[36]Main!$J$3</f>
        <v>312.71415336000001</v>
      </c>
      <c r="G147" s="8">
        <f>+[36]Main!$J$5-[36]Main!$J$6</f>
        <v>92.317999999999998</v>
      </c>
      <c r="H147" s="8">
        <f>+F147-G147</f>
        <v>220.39615336000003</v>
      </c>
      <c r="J147" s="3" t="s">
        <v>16</v>
      </c>
    </row>
    <row r="148" spans="2:29" x14ac:dyDescent="0.2">
      <c r="B148" s="1">
        <f t="shared" si="5"/>
        <v>145</v>
      </c>
      <c r="C148" s="5" t="s">
        <v>245</v>
      </c>
      <c r="D148" s="1" t="s">
        <v>246</v>
      </c>
      <c r="E148" s="3">
        <v>7.57</v>
      </c>
      <c r="F148" s="6">
        <f>E148*[37]Main!$M$3</f>
        <v>338.45983246000003</v>
      </c>
      <c r="G148" s="6">
        <f>[37]Main!$M$5-[37]Main!$M$6</f>
        <v>120.43700000000001</v>
      </c>
      <c r="H148" s="8">
        <f t="shared" ref="H148:H153" si="7">+F148-G148</f>
        <v>218.02283246000002</v>
      </c>
      <c r="J148" s="3" t="s">
        <v>16</v>
      </c>
    </row>
    <row r="149" spans="2:29" x14ac:dyDescent="0.2">
      <c r="B149" s="1">
        <f t="shared" si="5"/>
        <v>146</v>
      </c>
      <c r="C149" s="5" t="s">
        <v>247</v>
      </c>
      <c r="D149" s="1" t="s">
        <v>248</v>
      </c>
      <c r="E149" s="7">
        <v>0.7</v>
      </c>
      <c r="F149" s="6">
        <f>E149*[38]Main!$M$3</f>
        <v>128.9392503</v>
      </c>
      <c r="G149" s="6">
        <f>[38]Main!$M$5-[38]Main!$M$6</f>
        <v>-59.50200000000001</v>
      </c>
      <c r="H149" s="8">
        <f t="shared" si="7"/>
        <v>188.44125030000001</v>
      </c>
      <c r="J149" s="3" t="s">
        <v>16</v>
      </c>
    </row>
    <row r="150" spans="2:29" x14ac:dyDescent="0.2">
      <c r="B150" s="1">
        <f t="shared" si="5"/>
        <v>147</v>
      </c>
      <c r="C150" s="5" t="s">
        <v>249</v>
      </c>
      <c r="D150" s="1" t="s">
        <v>250</v>
      </c>
      <c r="E150" s="3">
        <v>1.98</v>
      </c>
      <c r="F150" s="6">
        <f>E150*[39]Main!$N$3</f>
        <v>39.757463459999997</v>
      </c>
      <c r="G150" s="6">
        <f>[39]Main!$N$5-[39]Main!$N$6</f>
        <v>15.942</v>
      </c>
      <c r="H150" s="8">
        <f t="shared" si="7"/>
        <v>23.815463459999997</v>
      </c>
      <c r="J150" s="3" t="s">
        <v>16</v>
      </c>
    </row>
    <row r="151" spans="2:29" x14ac:dyDescent="0.2">
      <c r="B151" s="1">
        <f t="shared" si="5"/>
        <v>148</v>
      </c>
      <c r="C151" s="5" t="s">
        <v>251</v>
      </c>
      <c r="D151" s="1" t="s">
        <v>252</v>
      </c>
      <c r="E151" s="3">
        <v>0.62</v>
      </c>
      <c r="F151" s="6">
        <f>E151*[40]Main!$L$3</f>
        <v>30.1881658</v>
      </c>
      <c r="G151" s="6">
        <f>[40]Main!$L$5-[40]Main!$L$6</f>
        <v>13.262999999999998</v>
      </c>
      <c r="H151" s="8">
        <f t="shared" si="7"/>
        <v>16.925165800000002</v>
      </c>
      <c r="J151" s="3" t="s">
        <v>16</v>
      </c>
    </row>
    <row r="152" spans="2:29" x14ac:dyDescent="0.2">
      <c r="B152" s="1">
        <f t="shared" si="5"/>
        <v>149</v>
      </c>
      <c r="C152" s="5" t="s">
        <v>253</v>
      </c>
      <c r="D152" s="1" t="s">
        <v>254</v>
      </c>
      <c r="E152" s="3">
        <v>6.12</v>
      </c>
      <c r="F152" s="6">
        <f>E152*[41]Main!$M$3</f>
        <v>125.46108324000001</v>
      </c>
      <c r="G152" s="6">
        <f>[41]Main!$M$5-[41]Main!$M$6</f>
        <v>131.17699999999999</v>
      </c>
      <c r="H152" s="8">
        <f t="shared" si="7"/>
        <v>-5.7159167599999847</v>
      </c>
      <c r="J152" s="3" t="s">
        <v>16</v>
      </c>
    </row>
    <row r="153" spans="2:29" x14ac:dyDescent="0.2">
      <c r="B153" s="1">
        <f t="shared" si="5"/>
        <v>150</v>
      </c>
      <c r="C153" s="5" t="s">
        <v>255</v>
      </c>
      <c r="D153" s="1" t="s">
        <v>256</v>
      </c>
      <c r="E153" s="3">
        <v>0.98</v>
      </c>
      <c r="F153" s="6">
        <f>E153*[42]Main!$M$3</f>
        <v>20.935517539999999</v>
      </c>
      <c r="G153" s="6">
        <f>[42]Main!$M$5-[42]Main!$M$6</f>
        <v>55.28</v>
      </c>
      <c r="H153" s="8">
        <f t="shared" si="7"/>
        <v>-34.344482460000002</v>
      </c>
      <c r="J153" s="3" t="s">
        <v>16</v>
      </c>
    </row>
    <row r="154" spans="2:29" x14ac:dyDescent="0.2">
      <c r="B154" s="1">
        <f t="shared" si="5"/>
        <v>151</v>
      </c>
      <c r="C154" s="1" t="s">
        <v>257</v>
      </c>
      <c r="D154" s="1" t="s">
        <v>258</v>
      </c>
      <c r="E154" s="3">
        <v>0.61</v>
      </c>
    </row>
    <row r="155" spans="2:29" x14ac:dyDescent="0.2">
      <c r="B155" s="1">
        <f t="shared" si="5"/>
        <v>152</v>
      </c>
      <c r="C155" s="1" t="s">
        <v>259</v>
      </c>
      <c r="D155" s="1" t="s">
        <v>260</v>
      </c>
      <c r="E155" s="3">
        <v>5.55</v>
      </c>
    </row>
    <row r="156" spans="2:29" x14ac:dyDescent="0.2">
      <c r="B156" s="1">
        <f t="shared" si="5"/>
        <v>153</v>
      </c>
      <c r="C156" s="1" t="s">
        <v>358</v>
      </c>
      <c r="D156" t="s">
        <v>359</v>
      </c>
      <c r="E156" s="7">
        <v>4.2</v>
      </c>
    </row>
    <row r="157" spans="2:29" x14ac:dyDescent="0.2">
      <c r="B157" s="1">
        <f t="shared" si="5"/>
        <v>154</v>
      </c>
      <c r="C157" s="1" t="s">
        <v>342</v>
      </c>
      <c r="D157" t="s">
        <v>343</v>
      </c>
      <c r="E157" s="7">
        <v>4</v>
      </c>
    </row>
    <row r="158" spans="2:29" x14ac:dyDescent="0.2">
      <c r="B158" s="1">
        <f t="shared" si="5"/>
        <v>155</v>
      </c>
      <c r="C158" t="s">
        <v>346</v>
      </c>
      <c r="D158" t="s">
        <v>347</v>
      </c>
      <c r="E158" s="3">
        <v>20.18</v>
      </c>
    </row>
  </sheetData>
  <mergeCells count="2">
    <mergeCell ref="Q2:V2"/>
    <mergeCell ref="W2:AB2"/>
  </mergeCells>
  <hyperlinks>
    <hyperlink ref="C4" r:id="rId1" xr:uid="{31FFFB9E-A269-4EC0-9451-78F4F00A4890}"/>
    <hyperlink ref="C11" r:id="rId2" xr:uid="{C156021C-BE99-4BC0-AA7F-F8904621CB69}"/>
    <hyperlink ref="C8" r:id="rId3" xr:uid="{087C38CF-D4BE-425F-8F38-C4129E6AE209}"/>
    <hyperlink ref="C14" r:id="rId4" xr:uid="{60368EA6-8CB5-4BF4-AD11-2511F2B2CC10}"/>
    <hyperlink ref="C7" r:id="rId5" xr:uid="{686D20FF-3704-45CC-8366-56508FB00F00}"/>
    <hyperlink ref="C12" r:id="rId6" xr:uid="{8513C491-1620-4390-AB90-9384BB1A043B}"/>
    <hyperlink ref="C16" r:id="rId7" xr:uid="{83DA0EB3-074A-48C7-ADA5-0A0973E8354D}"/>
    <hyperlink ref="C6" r:id="rId8" xr:uid="{615921E7-8A8A-4F41-A8F3-1AF78A43F1AC}"/>
    <hyperlink ref="C20" r:id="rId9" xr:uid="{A38EC1E4-9170-422B-A9F5-3B6EB77DF40A}"/>
    <hyperlink ref="C9" r:id="rId10" xr:uid="{CCC45DFB-BF73-4A15-8527-F4C3C617F472}"/>
    <hyperlink ref="C21" r:id="rId11" xr:uid="{FC86E1B4-4BA7-43A8-8FCA-CC27867A7922}"/>
    <hyperlink ref="C13" r:id="rId12" xr:uid="{F9D09B0D-FACB-4CCA-872E-286E56965815}"/>
    <hyperlink ref="C15" r:id="rId13" xr:uid="{5A59EF45-A9EA-44F3-BECB-EFED8413DCF6}"/>
    <hyperlink ref="C18" r:id="rId14" xr:uid="{316E9202-338F-4301-AEBE-A9FA398A76CC}"/>
    <hyperlink ref="C5" r:id="rId15" xr:uid="{0888F4DA-9569-4326-990C-43015A33BD61}"/>
    <hyperlink ref="C17" r:id="rId16" xr:uid="{C2959A9B-7367-43D7-934F-562A915DC4DD}"/>
    <hyperlink ref="C22" r:id="rId17" xr:uid="{A069369A-FB97-4A4A-A581-321FA79E4250}"/>
    <hyperlink ref="C45" r:id="rId18" xr:uid="{6EF35D30-7113-4CE8-9077-C5BE97F74D36}"/>
    <hyperlink ref="C23" r:id="rId19" xr:uid="{1F769FA7-6B90-4B6B-9BCC-7D6679675B06}"/>
    <hyperlink ref="C27" r:id="rId20" xr:uid="{FBD4E7AC-5982-43A1-83EA-3F3AB2E91655}"/>
    <hyperlink ref="C48" r:id="rId21" xr:uid="{53091BB6-5763-4DDE-A659-5638BD3CADCA}"/>
    <hyperlink ref="C46" r:id="rId22" xr:uid="{10922C8B-4C13-4E76-B998-3ADD8CC60E47}"/>
    <hyperlink ref="C28" r:id="rId23" xr:uid="{61277D68-67DC-475B-9B61-B7E2F3017110}"/>
    <hyperlink ref="C147" r:id="rId24" xr:uid="{14A63DAF-63A6-4B91-A2AF-AE28EA251457}"/>
    <hyperlink ref="C150" r:id="rId25" xr:uid="{4ACA7C7F-E42A-4687-A776-AB8065DB40FF}"/>
    <hyperlink ref="C146" r:id="rId26" xr:uid="{B3421391-7EC0-4253-8F62-5ED45A5BFA02}"/>
    <hyperlink ref="C151" r:id="rId27" xr:uid="{F6A45FC7-B73C-4143-9CAB-B3ADA19B5FD7}"/>
    <hyperlink ref="C148" r:id="rId28" xr:uid="{BBD267CB-7407-4913-9D05-6A6AA380019F}"/>
    <hyperlink ref="C153" r:id="rId29" xr:uid="{85368858-6D0F-4ABE-975C-AE5530342445}"/>
    <hyperlink ref="C144" r:id="rId30" xr:uid="{8B5BC1F5-14D4-45A0-B224-31FAF227EAF3}"/>
    <hyperlink ref="C152" r:id="rId31" xr:uid="{D5FB3BFE-F0A8-4C09-90A1-9F506EF0ADE4}"/>
    <hyperlink ref="C149" r:id="rId32" xr:uid="{11598046-2AED-42E7-ACA5-251A20A59427}"/>
    <hyperlink ref="C19" r:id="rId33" xr:uid="{DD499110-DFB7-4D1A-B234-8AA2514ADD29}"/>
    <hyperlink ref="C52" r:id="rId34" xr:uid="{A1C90F9B-FBBF-4C72-9A11-3798F692A0D2}"/>
    <hyperlink ref="C53" r:id="rId35" xr:uid="{F7B6503D-1F84-47C4-B87E-BDA7159D1B9F}"/>
    <hyperlink ref="C49" r:id="rId36" xr:uid="{D0EE43E7-C3F5-4256-99AE-DDCA9EC11DCF}"/>
    <hyperlink ref="C25" r:id="rId37" xr:uid="{1C25970A-A568-4869-A34A-5C6C7551D812}"/>
    <hyperlink ref="C129" r:id="rId38" xr:uid="{C3A06396-38CD-486E-9F4F-233A79292B4F}"/>
    <hyperlink ref="C96" r:id="rId39" xr:uid="{B83625D8-44D2-4842-9139-F29C8D5F2D8E}"/>
    <hyperlink ref="C130" r:id="rId40" xr:uid="{5FF32E6A-C6C7-4793-8271-BD230B9C7641}"/>
    <hyperlink ref="C55" r:id="rId41" xr:uid="{E5739E03-9FE4-4D05-90C8-36ABF7D078CB}"/>
    <hyperlink ref="C56" r:id="rId42" xr:uid="{25285F59-771C-40DB-8B78-E1E454C61406}"/>
    <hyperlink ref="C140" r:id="rId43" xr:uid="{C000061C-001D-4088-90A4-B672D181D3C5}"/>
    <hyperlink ref="C29" r:id="rId44" xr:uid="{98C5B53F-658C-427A-AF31-B4D604AF2D15}"/>
    <hyperlink ref="C24" r:id="rId45" xr:uid="{6A1F812B-EA91-4B3C-B4DC-88F792A7D0DE}"/>
    <hyperlink ref="C26" r:id="rId46" xr:uid="{6930A656-C59A-465F-8634-B30B4FEF47BC}"/>
    <hyperlink ref="C54" r:id="rId47" xr:uid="{559FAD8A-D620-4B93-BE14-CC22630BD57E}"/>
    <hyperlink ref="C10" r:id="rId48" xr:uid="{467EEBCD-6BD7-4E71-B2C9-FCF3DB57F059}"/>
    <hyperlink ref="C145" r:id="rId49" xr:uid="{6A576FDB-A573-4A00-8381-4BECF13B35A1}"/>
  </hyperlinks>
  <pageMargins left="0.7" right="0.7" top="0.75" bottom="0.75" header="0.3" footer="0.3"/>
  <pageSetup paperSize="9" orientation="portrait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A1:I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26.85546875" bestFit="1" customWidth="1"/>
  </cols>
  <sheetData>
    <row r="1" spans="1:9" x14ac:dyDescent="0.2">
      <c r="A1" s="5" t="s">
        <v>294</v>
      </c>
    </row>
    <row r="2" spans="1:9" x14ac:dyDescent="0.2">
      <c r="B2" t="s">
        <v>1</v>
      </c>
      <c r="C2" t="s">
        <v>2</v>
      </c>
      <c r="D2" t="s">
        <v>292</v>
      </c>
      <c r="E2" t="s">
        <v>334</v>
      </c>
      <c r="F2" t="s">
        <v>336</v>
      </c>
      <c r="G2" t="s">
        <v>337</v>
      </c>
      <c r="H2" t="s">
        <v>340</v>
      </c>
    </row>
    <row r="3" spans="1:9" x14ac:dyDescent="0.2">
      <c r="B3" t="s">
        <v>0</v>
      </c>
    </row>
    <row r="4" spans="1:9" x14ac:dyDescent="0.2">
      <c r="B4" t="s">
        <v>288</v>
      </c>
    </row>
    <row r="5" spans="1:9" x14ac:dyDescent="0.2">
      <c r="B5" t="s">
        <v>289</v>
      </c>
    </row>
    <row r="6" spans="1:9" x14ac:dyDescent="0.2">
      <c r="B6" t="s">
        <v>290</v>
      </c>
      <c r="C6">
        <v>2019</v>
      </c>
      <c r="D6" t="s">
        <v>291</v>
      </c>
    </row>
    <row r="7" spans="1:9" x14ac:dyDescent="0.2">
      <c r="B7" t="s">
        <v>293</v>
      </c>
    </row>
    <row r="8" spans="1:9" x14ac:dyDescent="0.2">
      <c r="B8" t="s">
        <v>295</v>
      </c>
    </row>
    <row r="9" spans="1:9" x14ac:dyDescent="0.2">
      <c r="B9" t="s">
        <v>298</v>
      </c>
    </row>
    <row r="10" spans="1:9" x14ac:dyDescent="0.2">
      <c r="B10" t="s">
        <v>333</v>
      </c>
      <c r="C10">
        <v>2019</v>
      </c>
      <c r="D10" t="s">
        <v>341</v>
      </c>
      <c r="E10" t="s">
        <v>335</v>
      </c>
      <c r="F10" t="s">
        <v>339</v>
      </c>
      <c r="G10" t="s">
        <v>338</v>
      </c>
      <c r="H10" s="13">
        <v>44599</v>
      </c>
    </row>
    <row r="11" spans="1:9" x14ac:dyDescent="0.2">
      <c r="B11" t="s">
        <v>348</v>
      </c>
      <c r="E11" t="s">
        <v>335</v>
      </c>
      <c r="F11" t="s">
        <v>349</v>
      </c>
    </row>
    <row r="12" spans="1:9" x14ac:dyDescent="0.2">
      <c r="B12" t="s">
        <v>350</v>
      </c>
    </row>
    <row r="13" spans="1:9" x14ac:dyDescent="0.2">
      <c r="B13" t="s">
        <v>351</v>
      </c>
      <c r="I13" t="s">
        <v>352</v>
      </c>
    </row>
  </sheetData>
  <hyperlinks>
    <hyperlink ref="A1" location="Main!A1" display="Main" xr:uid="{65B99B04-A55D-44D7-8C7C-94C201F1ED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50EA-F83A-4483-B12E-DBBE9EC4FA2A}">
  <dimension ref="A1:D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4" x14ac:dyDescent="0.2">
      <c r="A1" s="5" t="s">
        <v>294</v>
      </c>
    </row>
    <row r="2" spans="1:4" x14ac:dyDescent="0.2">
      <c r="B2" t="s">
        <v>303</v>
      </c>
      <c r="C2" t="s">
        <v>304</v>
      </c>
      <c r="D2" t="s">
        <v>329</v>
      </c>
    </row>
    <row r="3" spans="1:4" x14ac:dyDescent="0.2">
      <c r="B3" t="s">
        <v>302</v>
      </c>
      <c r="C3" t="s">
        <v>94</v>
      </c>
    </row>
    <row r="4" spans="1:4" x14ac:dyDescent="0.2">
      <c r="B4" t="s">
        <v>328</v>
      </c>
      <c r="C4" t="s">
        <v>46</v>
      </c>
      <c r="D4" t="s">
        <v>330</v>
      </c>
    </row>
    <row r="5" spans="1:4" x14ac:dyDescent="0.2">
      <c r="B5" t="s">
        <v>355</v>
      </c>
      <c r="C5" t="s">
        <v>36</v>
      </c>
    </row>
    <row r="6" spans="1:4" x14ac:dyDescent="0.2">
      <c r="B6" t="s">
        <v>356</v>
      </c>
      <c r="C6" t="s">
        <v>14</v>
      </c>
    </row>
    <row r="7" spans="1:4" x14ac:dyDescent="0.2">
      <c r="B7" t="s">
        <v>357</v>
      </c>
      <c r="C7" t="s">
        <v>33</v>
      </c>
    </row>
  </sheetData>
  <hyperlinks>
    <hyperlink ref="A1" location="Main!A1" display="Main" xr:uid="{D25979DB-5EBB-4C30-9F58-BD318CF0CE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Main</vt:lpstr>
      <vt:lpstr>FX</vt:lpstr>
      <vt:lpstr>Private</vt:lpstr>
      <vt:lpstr>Acquisitions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2022-09-16T11:52:55Z</dcterms:modified>
</cp:coreProperties>
</file>