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8_{83C6A64A-A560-410F-82C7-DC3CD775C56D}" xr6:coauthVersionLast="47" xr6:coauthVersionMax="47" xr10:uidLastSave="{00000000-0000-0000-0000-000000000000}"/>
  <bookViews>
    <workbookView xWindow="8895" yWindow="2700" windowWidth="24495" windowHeight="17940"/>
  </bookViews>
  <sheets>
    <sheet name="Main" sheetId="1" r:id="rId1"/>
    <sheet name="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26" i="2" l="1"/>
  <c r="AV26" i="2"/>
  <c r="AW26" i="2"/>
  <c r="J6" i="1"/>
  <c r="AW20" i="2"/>
  <c r="AW21" i="2"/>
  <c r="AW18" i="2"/>
  <c r="AW17" i="2"/>
  <c r="AW16" i="2"/>
  <c r="AW15" i="2"/>
  <c r="AW10" i="2"/>
  <c r="AU10" i="2"/>
  <c r="AV10" i="2"/>
  <c r="AU15" i="2"/>
  <c r="AU16" i="2"/>
  <c r="AV15" i="2"/>
  <c r="AV16" i="2"/>
  <c r="AU17" i="2"/>
  <c r="AV17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D6" i="2"/>
  <c r="D5" i="2"/>
  <c r="D4" i="2"/>
  <c r="D3" i="2"/>
  <c r="D19" i="2"/>
  <c r="D13" i="2"/>
  <c r="D12" i="2"/>
  <c r="D11" i="2"/>
  <c r="AJ14" i="2"/>
  <c r="D9" i="2"/>
  <c r="AJ10" i="2"/>
  <c r="D8" i="2"/>
  <c r="D10" i="2"/>
  <c r="C14" i="2"/>
  <c r="C15" i="2"/>
  <c r="C16" i="2"/>
  <c r="C20" i="2"/>
  <c r="C21" i="2"/>
  <c r="C10" i="2"/>
  <c r="E14" i="2"/>
  <c r="E15" i="2"/>
  <c r="E16" i="2"/>
  <c r="E20" i="2"/>
  <c r="E21" i="2"/>
  <c r="E10" i="2"/>
  <c r="J4" i="1"/>
  <c r="J7" i="1"/>
  <c r="AV18" i="2"/>
  <c r="AV20" i="2"/>
  <c r="AV21" i="2"/>
  <c r="AU18" i="2"/>
  <c r="AU20" i="2"/>
  <c r="AU21" i="2"/>
  <c r="D14" i="2"/>
  <c r="D15" i="2"/>
  <c r="D16" i="2"/>
  <c r="D20" i="2"/>
  <c r="D21" i="2"/>
  <c r="AJ15" i="2"/>
  <c r="AJ16" i="2"/>
  <c r="AJ20" i="2"/>
  <c r="AJ21" i="2"/>
</calcChain>
</file>

<file path=xl/sharedStrings.xml><?xml version="1.0" encoding="utf-8"?>
<sst xmlns="http://schemas.openxmlformats.org/spreadsheetml/2006/main" count="113" uniqueCount="101">
  <si>
    <t>Shares</t>
  </si>
  <si>
    <t>EV</t>
  </si>
  <si>
    <t>Price AUD</t>
  </si>
  <si>
    <t>MC AUD</t>
  </si>
  <si>
    <t>Name</t>
  </si>
  <si>
    <t>Carimune</t>
  </si>
  <si>
    <t>Indication</t>
  </si>
  <si>
    <t>Mechanism</t>
  </si>
  <si>
    <t>IVIG</t>
  </si>
  <si>
    <t>Gamunex</t>
  </si>
  <si>
    <t>CIPD</t>
  </si>
  <si>
    <t>Gardasil</t>
  </si>
  <si>
    <t>HPV</t>
  </si>
  <si>
    <t>Vaccine</t>
  </si>
  <si>
    <t>MRK</t>
  </si>
  <si>
    <t>Rights</t>
  </si>
  <si>
    <t>Main</t>
  </si>
  <si>
    <t>Revenue</t>
  </si>
  <si>
    <t>1H09</t>
  </si>
  <si>
    <t>2H09</t>
  </si>
  <si>
    <t>1H10</t>
  </si>
  <si>
    <t>2H10</t>
  </si>
  <si>
    <t>COGS</t>
  </si>
  <si>
    <t>Gross Profit</t>
  </si>
  <si>
    <t>R&amp;D</t>
  </si>
  <si>
    <t>S&amp;M</t>
  </si>
  <si>
    <t>G&amp;A</t>
  </si>
  <si>
    <t>Other Income</t>
  </si>
  <si>
    <t>Operating Expenses</t>
  </si>
  <si>
    <t>Operating Income</t>
  </si>
  <si>
    <t>Taxes</t>
  </si>
  <si>
    <t>Net Income</t>
  </si>
  <si>
    <t>EPS</t>
  </si>
  <si>
    <t>pdCoag</t>
  </si>
  <si>
    <t>rFVIII</t>
  </si>
  <si>
    <t>Immunoglobulins</t>
  </si>
  <si>
    <t>Albumin</t>
  </si>
  <si>
    <t>Beriate P</t>
  </si>
  <si>
    <t>Monoclate-P</t>
  </si>
  <si>
    <t>Humate-P</t>
  </si>
  <si>
    <t>Haemate P</t>
  </si>
  <si>
    <t>Biostate</t>
  </si>
  <si>
    <t>Helixate FS</t>
  </si>
  <si>
    <t>Helixate NexGen</t>
  </si>
  <si>
    <t>Fluvax</t>
  </si>
  <si>
    <t>Australia</t>
  </si>
  <si>
    <t>Cash USD</t>
  </si>
  <si>
    <t>Debt USD</t>
  </si>
  <si>
    <t>Hizentra</t>
  </si>
  <si>
    <t>Haegarda</t>
  </si>
  <si>
    <t>Privigen</t>
  </si>
  <si>
    <t>garadacimab</t>
  </si>
  <si>
    <t>CSL324</t>
  </si>
  <si>
    <t>Hidradenitis Suppurativa</t>
  </si>
  <si>
    <t>Idelvion</t>
  </si>
  <si>
    <t>Haemophilia B</t>
  </si>
  <si>
    <t>Afstyla</t>
  </si>
  <si>
    <t>Haemophilia A</t>
  </si>
  <si>
    <t>C1 Esterase</t>
  </si>
  <si>
    <t>HAE</t>
  </si>
  <si>
    <t>G-CSFR mab</t>
  </si>
  <si>
    <t>CSL730</t>
  </si>
  <si>
    <t>CSL964</t>
  </si>
  <si>
    <t>GvHD</t>
  </si>
  <si>
    <t>alpha1-antitrypsin</t>
  </si>
  <si>
    <t>clazakizumab</t>
  </si>
  <si>
    <t>IL-6</t>
  </si>
  <si>
    <t>antibody-mediated rejection</t>
  </si>
  <si>
    <t>Fc multimer</t>
  </si>
  <si>
    <t>ILD</t>
  </si>
  <si>
    <t>1H11</t>
  </si>
  <si>
    <t>2H11</t>
  </si>
  <si>
    <t>1H12</t>
  </si>
  <si>
    <t>2H12</t>
  </si>
  <si>
    <t>1H13</t>
  </si>
  <si>
    <t>2H13</t>
  </si>
  <si>
    <t>1H14</t>
  </si>
  <si>
    <t>2H14</t>
  </si>
  <si>
    <t>1H15</t>
  </si>
  <si>
    <t>2H15</t>
  </si>
  <si>
    <t>1H16</t>
  </si>
  <si>
    <t>2H16</t>
  </si>
  <si>
    <t>1H17</t>
  </si>
  <si>
    <t>2H17</t>
  </si>
  <si>
    <t>1H18</t>
  </si>
  <si>
    <t>2H18</t>
  </si>
  <si>
    <t>1H19</t>
  </si>
  <si>
    <t>2H19</t>
  </si>
  <si>
    <t>1H20</t>
  </si>
  <si>
    <t>2H20</t>
  </si>
  <si>
    <t>1H21</t>
  </si>
  <si>
    <t>2H21</t>
  </si>
  <si>
    <t>1H22</t>
  </si>
  <si>
    <t>2H22</t>
  </si>
  <si>
    <t>Interest Income</t>
  </si>
  <si>
    <t>Pretax Income</t>
  </si>
  <si>
    <t>CFFO</t>
  </si>
  <si>
    <t>CX</t>
  </si>
  <si>
    <t>1H23</t>
  </si>
  <si>
    <t>2H23</t>
  </si>
  <si>
    <t>Q222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</si>
</sst>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3" fontId="0" fillId="2" borderId="0" xfId="0" applyNumberFormat="1" applyFill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2" borderId="4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2" fillId="0" borderId="0" xfId="1" applyAlignment="1" applyProtection="1"/>
    <xf numFmtId="3" fontId="0" fillId="0" borderId="0" xfId="0" applyNumberFormat="1"/>
    <xf numFmtId="3" fontId="3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/>
    <xf numFmtId="4" fontId="4" fillId="0" borderId="0" xfId="0" applyNumberFormat="1" applyFont="1" applyAlignment="1">
      <alignment horizontal="right"/>
    </xf>
    <xf numFmtId="0" fontId="3" fillId="2" borderId="8" xfId="0" applyFont="1" applyFill="1" applyBorder="1"/>
    <xf numFmtId="17" fontId="0" fillId="0" borderId="0" xfId="0" applyNumberForma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6" xfId="0" applyFill="1" applyBorder="1"/>
    <xf numFmtId="0" fontId="0" fillId="2" borderId="7" xfId="0" applyFill="1" applyBorder="1"/>
    <xf numFmtId="0" fontId="3" fillId="2" borderId="0" xfId="0" applyFont="1" applyFill="1" applyBorder="1"/>
    <xf numFmtId="14" fontId="0" fillId="0" borderId="0" xfId="0" applyNumberFormat="1"/>
    <xf numFmtId="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38100</xdr:colOff>
      <xdr:row>0</xdr:row>
      <xdr:rowOff>0</xdr:rowOff>
    </xdr:from>
    <xdr:to>
      <xdr:col>49</xdr:col>
      <xdr:colOff>38100</xdr:colOff>
      <xdr:row>49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B567F7-9D19-BBA4-8C3D-0A01DDCA3517}"/>
            </a:ext>
          </a:extLst>
        </xdr:cNvPr>
        <xdr:cNvCxnSpPr/>
      </xdr:nvCxnSpPr>
      <xdr:spPr>
        <a:xfrm>
          <a:off x="30232350" y="0"/>
          <a:ext cx="0" cy="7934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57150</xdr:colOff>
      <xdr:row>0</xdr:row>
      <xdr:rowOff>47625</xdr:rowOff>
    </xdr:from>
    <xdr:to>
      <xdr:col>29</xdr:col>
      <xdr:colOff>57150</xdr:colOff>
      <xdr:row>55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E236B1F-AC05-78D8-F21B-348DFE666F05}"/>
            </a:ext>
          </a:extLst>
        </xdr:cNvPr>
        <xdr:cNvCxnSpPr/>
      </xdr:nvCxnSpPr>
      <xdr:spPr>
        <a:xfrm>
          <a:off x="18059400" y="47625"/>
          <a:ext cx="0" cy="897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tabSelected="1" workbookViewId="0">
      <selection activeCell="L13" sqref="L13"/>
    </sheetView>
  </sheetViews>
  <sheetFormatPr defaultRowHeight="12.75"/>
  <cols>
    <col min="1" max="1" width="4.140625" style="4" customWidth="1"/>
    <col min="2" max="2" width="15.42578125" style="4" customWidth="1"/>
    <col min="3" max="3" width="14.5703125" style="4" customWidth="1"/>
    <col min="4" max="4" width="12.140625" style="4" customWidth="1"/>
    <col min="5" max="8" width="9.140625" style="4"/>
    <col min="9" max="9" width="11" style="4" customWidth="1"/>
    <col min="10" max="10" width="8.85546875" style="4" customWidth="1"/>
    <col min="11" max="11" width="8.140625" style="4" customWidth="1"/>
    <col min="12" max="16384" width="9.140625" style="4"/>
  </cols>
  <sheetData>
    <row r="2" spans="2:11">
      <c r="B2" s="1" t="s">
        <v>4</v>
      </c>
      <c r="C2" s="2" t="s">
        <v>6</v>
      </c>
      <c r="D2" s="2" t="s">
        <v>7</v>
      </c>
      <c r="E2" s="13" t="s">
        <v>15</v>
      </c>
      <c r="F2" s="2"/>
      <c r="G2" s="3"/>
      <c r="I2" s="4" t="s">
        <v>2</v>
      </c>
      <c r="J2" s="39">
        <v>298.64</v>
      </c>
    </row>
    <row r="3" spans="2:11">
      <c r="B3" s="5" t="s">
        <v>5</v>
      </c>
      <c r="C3" s="12" t="s">
        <v>10</v>
      </c>
      <c r="D3" s="6" t="s">
        <v>8</v>
      </c>
      <c r="E3" s="6"/>
      <c r="F3" s="6"/>
      <c r="G3" s="7"/>
      <c r="I3" s="4" t="s">
        <v>0</v>
      </c>
      <c r="J3" s="8">
        <v>470.117188</v>
      </c>
      <c r="K3" s="14" t="s">
        <v>100</v>
      </c>
    </row>
    <row r="4" spans="2:11">
      <c r="B4" s="5" t="s">
        <v>9</v>
      </c>
      <c r="C4" s="6" t="s">
        <v>10</v>
      </c>
      <c r="D4" s="6" t="s">
        <v>8</v>
      </c>
      <c r="E4" s="6"/>
      <c r="F4" s="6"/>
      <c r="G4" s="7"/>
      <c r="I4" s="4" t="s">
        <v>3</v>
      </c>
      <c r="J4" s="8">
        <f>J3*J2</f>
        <v>140395.79702432</v>
      </c>
    </row>
    <row r="5" spans="2:11">
      <c r="B5" s="11" t="s">
        <v>11</v>
      </c>
      <c r="C5" s="12" t="s">
        <v>12</v>
      </c>
      <c r="D5" s="12" t="s">
        <v>13</v>
      </c>
      <c r="E5" s="12" t="s">
        <v>14</v>
      </c>
      <c r="F5" s="6"/>
      <c r="G5" s="7"/>
      <c r="I5" s="29" t="s">
        <v>46</v>
      </c>
      <c r="J5" s="8">
        <v>10436.4</v>
      </c>
      <c r="K5" s="14" t="s">
        <v>100</v>
      </c>
    </row>
    <row r="6" spans="2:11">
      <c r="B6" s="11" t="s">
        <v>48</v>
      </c>
      <c r="C6" s="12" t="s">
        <v>10</v>
      </c>
      <c r="D6" s="12" t="s">
        <v>8</v>
      </c>
      <c r="E6" s="12"/>
      <c r="F6" s="6"/>
      <c r="G6" s="7"/>
      <c r="I6" s="29" t="s">
        <v>47</v>
      </c>
      <c r="J6" s="8">
        <f>5163.8+4494</f>
        <v>9657.7999999999993</v>
      </c>
      <c r="K6" s="14" t="s">
        <v>100</v>
      </c>
    </row>
    <row r="7" spans="2:11">
      <c r="B7" s="11" t="s">
        <v>42</v>
      </c>
      <c r="C7" s="6"/>
      <c r="D7" s="12" t="s">
        <v>34</v>
      </c>
      <c r="E7" s="6"/>
      <c r="F7" s="6"/>
      <c r="G7" s="7"/>
      <c r="I7" s="4" t="s">
        <v>1</v>
      </c>
      <c r="J7" s="8">
        <f>J4-J5+J6</f>
        <v>139617.19702431999</v>
      </c>
    </row>
    <row r="8" spans="2:11">
      <c r="B8" s="11" t="s">
        <v>43</v>
      </c>
      <c r="C8" s="6"/>
      <c r="D8" s="12" t="s">
        <v>34</v>
      </c>
      <c r="E8" s="6"/>
      <c r="F8" s="6"/>
      <c r="G8" s="7"/>
      <c r="J8" s="8"/>
    </row>
    <row r="9" spans="2:11">
      <c r="B9" s="11" t="s">
        <v>44</v>
      </c>
      <c r="C9" s="6"/>
      <c r="D9" s="12"/>
      <c r="E9" s="12" t="s">
        <v>45</v>
      </c>
      <c r="F9" s="6"/>
      <c r="G9" s="7"/>
      <c r="J9" s="8"/>
    </row>
    <row r="10" spans="2:11">
      <c r="B10" s="11" t="s">
        <v>49</v>
      </c>
      <c r="C10" s="12" t="s">
        <v>59</v>
      </c>
      <c r="D10" s="12" t="s">
        <v>58</v>
      </c>
      <c r="E10" s="12"/>
      <c r="F10" s="6"/>
      <c r="G10" s="7"/>
      <c r="J10" s="8"/>
    </row>
    <row r="11" spans="2:11">
      <c r="B11" s="11" t="s">
        <v>50</v>
      </c>
      <c r="C11" s="12" t="s">
        <v>10</v>
      </c>
      <c r="D11" s="12" t="s">
        <v>8</v>
      </c>
      <c r="E11" s="12"/>
      <c r="F11" s="6"/>
      <c r="G11" s="7"/>
      <c r="J11" s="8"/>
    </row>
    <row r="12" spans="2:11">
      <c r="B12" s="11" t="s">
        <v>33</v>
      </c>
      <c r="C12" s="6"/>
      <c r="D12" s="6"/>
      <c r="E12" s="6"/>
      <c r="F12" s="6"/>
      <c r="G12" s="7"/>
      <c r="J12" s="8"/>
    </row>
    <row r="13" spans="2:11">
      <c r="B13" s="11" t="s">
        <v>39</v>
      </c>
      <c r="C13" s="6"/>
      <c r="D13" s="12"/>
      <c r="E13" s="6"/>
      <c r="F13" s="6"/>
      <c r="G13" s="7"/>
      <c r="J13" s="8"/>
    </row>
    <row r="14" spans="2:11">
      <c r="B14" s="11" t="s">
        <v>40</v>
      </c>
      <c r="C14" s="6"/>
      <c r="D14" s="12"/>
      <c r="E14" s="6"/>
      <c r="F14" s="6"/>
      <c r="G14" s="7"/>
      <c r="J14" s="8"/>
    </row>
    <row r="15" spans="2:11">
      <c r="B15" s="11" t="s">
        <v>41</v>
      </c>
      <c r="C15" s="6"/>
      <c r="D15" s="6"/>
      <c r="E15" s="6"/>
      <c r="F15" s="6"/>
      <c r="G15" s="7"/>
    </row>
    <row r="16" spans="2:11">
      <c r="B16" s="11" t="s">
        <v>56</v>
      </c>
      <c r="C16" s="12" t="s">
        <v>57</v>
      </c>
      <c r="D16" s="6"/>
      <c r="E16" s="6"/>
      <c r="F16" s="6"/>
      <c r="G16" s="7"/>
    </row>
    <row r="17" spans="2:7">
      <c r="B17" s="11" t="s">
        <v>38</v>
      </c>
      <c r="C17" s="6"/>
      <c r="D17" s="6"/>
      <c r="E17" s="6"/>
      <c r="F17" s="6"/>
      <c r="G17" s="7"/>
    </row>
    <row r="18" spans="2:7">
      <c r="B18" s="11" t="s">
        <v>54</v>
      </c>
      <c r="C18" s="12" t="s">
        <v>55</v>
      </c>
      <c r="D18" s="6"/>
      <c r="E18" s="6"/>
      <c r="F18" s="6"/>
      <c r="G18" s="7"/>
    </row>
    <row r="19" spans="2:7">
      <c r="B19" s="26" t="s">
        <v>37</v>
      </c>
      <c r="C19" s="9"/>
      <c r="D19" s="9"/>
      <c r="E19" s="9"/>
      <c r="F19" s="9"/>
      <c r="G19" s="10"/>
    </row>
    <row r="20" spans="2:7">
      <c r="B20" s="1"/>
      <c r="C20" s="30"/>
      <c r="D20" s="30"/>
      <c r="E20" s="30"/>
      <c r="F20" s="30"/>
      <c r="G20" s="31"/>
    </row>
    <row r="21" spans="2:7">
      <c r="B21" s="11" t="s">
        <v>51</v>
      </c>
      <c r="C21" s="37" t="s">
        <v>69</v>
      </c>
      <c r="D21" s="32"/>
      <c r="E21" s="32"/>
      <c r="F21" s="32"/>
      <c r="G21" s="33"/>
    </row>
    <row r="22" spans="2:7">
      <c r="B22" s="11" t="s">
        <v>52</v>
      </c>
      <c r="C22" s="37" t="s">
        <v>53</v>
      </c>
      <c r="D22" s="37" t="s">
        <v>60</v>
      </c>
      <c r="E22" s="32"/>
      <c r="F22" s="32"/>
      <c r="G22" s="33"/>
    </row>
    <row r="23" spans="2:7">
      <c r="B23" s="11" t="s">
        <v>61</v>
      </c>
      <c r="C23" s="32"/>
      <c r="D23" s="37" t="s">
        <v>68</v>
      </c>
      <c r="E23" s="32"/>
      <c r="F23" s="32"/>
      <c r="G23" s="33"/>
    </row>
    <row r="24" spans="2:7">
      <c r="B24" s="11" t="s">
        <v>62</v>
      </c>
      <c r="C24" s="37" t="s">
        <v>63</v>
      </c>
      <c r="D24" s="37" t="s">
        <v>64</v>
      </c>
      <c r="E24" s="32"/>
      <c r="F24" s="32"/>
      <c r="G24" s="33"/>
    </row>
    <row r="25" spans="2:7">
      <c r="B25" s="11" t="s">
        <v>65</v>
      </c>
      <c r="C25" s="37" t="s">
        <v>67</v>
      </c>
      <c r="D25" s="37" t="s">
        <v>66</v>
      </c>
      <c r="E25" s="32"/>
      <c r="F25" s="32"/>
      <c r="G25" s="33"/>
    </row>
    <row r="26" spans="2:7">
      <c r="B26" s="5"/>
      <c r="C26" s="32"/>
      <c r="D26" s="32"/>
      <c r="E26" s="32"/>
      <c r="F26" s="32"/>
      <c r="G26" s="33"/>
    </row>
    <row r="27" spans="2:7">
      <c r="B27" s="5"/>
      <c r="C27" s="32"/>
      <c r="D27" s="32"/>
      <c r="E27" s="32"/>
      <c r="F27" s="32"/>
      <c r="G27" s="33"/>
    </row>
    <row r="28" spans="2:7">
      <c r="B28" s="5"/>
      <c r="C28" s="32"/>
      <c r="D28" s="32"/>
      <c r="E28" s="32"/>
      <c r="F28" s="32"/>
      <c r="G28" s="33"/>
    </row>
    <row r="29" spans="2:7">
      <c r="B29" s="5"/>
      <c r="C29" s="32"/>
      <c r="D29" s="32"/>
      <c r="E29" s="32"/>
      <c r="F29" s="32"/>
      <c r="G29" s="33"/>
    </row>
    <row r="30" spans="2:7">
      <c r="B30" s="5"/>
      <c r="C30" s="32"/>
      <c r="D30" s="32"/>
      <c r="E30" s="32"/>
      <c r="F30" s="32"/>
      <c r="G30" s="33"/>
    </row>
    <row r="31" spans="2:7">
      <c r="B31" s="34"/>
      <c r="C31" s="35"/>
      <c r="D31" s="35"/>
      <c r="E31" s="35"/>
      <c r="F31" s="35"/>
      <c r="G31" s="36"/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"/>
  <sheetViews>
    <sheetView workbookViewId="0">
      <pane xSplit="2" ySplit="2" topLeftCell="AH3" activePane="bottomRight" state="frozen"/>
      <selection pane="topRight" activeCell="C1" sqref="C1"/>
      <selection pane="bottomLeft" activeCell="A3" sqref="A3"/>
      <selection pane="bottomRight" activeCell="AV27" sqref="AV27"/>
    </sheetView>
  </sheetViews>
  <sheetFormatPr defaultRowHeight="12.75"/>
  <cols>
    <col min="1" max="1" width="5" bestFit="1" customWidth="1"/>
    <col min="2" max="2" width="18.140625" bestFit="1" customWidth="1"/>
    <col min="3" max="29" width="9.140625" style="16"/>
  </cols>
  <sheetData>
    <row r="1" spans="1:53">
      <c r="A1" s="18" t="s">
        <v>16</v>
      </c>
      <c r="C1" s="27">
        <v>39813</v>
      </c>
      <c r="D1" s="27">
        <v>39994</v>
      </c>
      <c r="E1" s="27">
        <v>40178</v>
      </c>
      <c r="F1" s="27">
        <v>40359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U1" s="38">
        <v>44012</v>
      </c>
      <c r="AV1" s="38">
        <v>44377</v>
      </c>
      <c r="AW1" s="38">
        <v>44742</v>
      </c>
    </row>
    <row r="2" spans="1:53">
      <c r="C2" s="17" t="s">
        <v>18</v>
      </c>
      <c r="D2" s="17" t="s">
        <v>19</v>
      </c>
      <c r="E2" s="17" t="s">
        <v>20</v>
      </c>
      <c r="F2" s="17" t="s">
        <v>21</v>
      </c>
      <c r="G2" s="17" t="s">
        <v>70</v>
      </c>
      <c r="H2" s="17" t="s">
        <v>71</v>
      </c>
      <c r="I2" s="17" t="s">
        <v>72</v>
      </c>
      <c r="J2" s="17" t="s">
        <v>73</v>
      </c>
      <c r="K2" s="17" t="s">
        <v>74</v>
      </c>
      <c r="L2" s="17" t="s">
        <v>75</v>
      </c>
      <c r="M2" s="17" t="s">
        <v>76</v>
      </c>
      <c r="N2" s="17" t="s">
        <v>77</v>
      </c>
      <c r="O2" s="17" t="s">
        <v>78</v>
      </c>
      <c r="P2" s="17" t="s">
        <v>79</v>
      </c>
      <c r="Q2" s="17" t="s">
        <v>80</v>
      </c>
      <c r="R2" s="17" t="s">
        <v>81</v>
      </c>
      <c r="S2" s="17" t="s">
        <v>82</v>
      </c>
      <c r="T2" s="17" t="s">
        <v>83</v>
      </c>
      <c r="U2" s="17" t="s">
        <v>84</v>
      </c>
      <c r="V2" s="17" t="s">
        <v>85</v>
      </c>
      <c r="W2" s="17" t="s">
        <v>86</v>
      </c>
      <c r="X2" s="17" t="s">
        <v>87</v>
      </c>
      <c r="Y2" s="17" t="s">
        <v>88</v>
      </c>
      <c r="Z2" s="17" t="s">
        <v>89</v>
      </c>
      <c r="AA2" s="17" t="s">
        <v>90</v>
      </c>
      <c r="AB2" s="17" t="s">
        <v>91</v>
      </c>
      <c r="AC2" s="17" t="s">
        <v>92</v>
      </c>
      <c r="AD2" s="17" t="s">
        <v>93</v>
      </c>
      <c r="AE2" s="17" t="s">
        <v>98</v>
      </c>
      <c r="AF2" s="17" t="s">
        <v>99</v>
      </c>
      <c r="AI2">
        <v>2008</v>
      </c>
      <c r="AJ2">
        <v>2009</v>
      </c>
      <c r="AK2">
        <v>2010</v>
      </c>
      <c r="AL2">
        <v>2011</v>
      </c>
      <c r="AM2">
        <f>AL2+1</f>
        <v>2012</v>
      </c>
      <c r="AN2">
        <f t="shared" ref="AN2:BA2" si="0">AM2+1</f>
        <v>2013</v>
      </c>
      <c r="AO2">
        <f t="shared" si="0"/>
        <v>2014</v>
      </c>
      <c r="AP2">
        <f t="shared" si="0"/>
        <v>2015</v>
      </c>
      <c r="AQ2">
        <f t="shared" si="0"/>
        <v>2016</v>
      </c>
      <c r="AR2">
        <f t="shared" si="0"/>
        <v>2017</v>
      </c>
      <c r="AS2">
        <f t="shared" si="0"/>
        <v>2018</v>
      </c>
      <c r="AT2">
        <f t="shared" si="0"/>
        <v>2019</v>
      </c>
      <c r="AU2">
        <f t="shared" si="0"/>
        <v>2020</v>
      </c>
      <c r="AV2">
        <f t="shared" si="0"/>
        <v>2021</v>
      </c>
      <c r="AW2">
        <f t="shared" si="0"/>
        <v>2022</v>
      </c>
      <c r="AX2">
        <f t="shared" si="0"/>
        <v>2023</v>
      </c>
      <c r="AY2">
        <f t="shared" si="0"/>
        <v>2024</v>
      </c>
      <c r="AZ2">
        <f t="shared" si="0"/>
        <v>2025</v>
      </c>
      <c r="BA2">
        <f t="shared" si="0"/>
        <v>2026</v>
      </c>
    </row>
    <row r="3" spans="1:53">
      <c r="B3" s="15" t="s">
        <v>35</v>
      </c>
      <c r="C3" s="17">
        <v>451</v>
      </c>
      <c r="D3" s="17">
        <f>+AJ3-C3</f>
        <v>461</v>
      </c>
      <c r="E3" s="17">
        <v>494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I3">
        <v>731</v>
      </c>
      <c r="AJ3">
        <v>912</v>
      </c>
    </row>
    <row r="4" spans="1:53">
      <c r="B4" s="15" t="s">
        <v>33</v>
      </c>
      <c r="C4" s="17">
        <v>260</v>
      </c>
      <c r="D4" s="17">
        <f>+AJ4-C4</f>
        <v>257</v>
      </c>
      <c r="E4" s="17">
        <v>283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I4">
        <v>525</v>
      </c>
      <c r="AJ4">
        <v>517</v>
      </c>
    </row>
    <row r="5" spans="1:53">
      <c r="B5" s="15" t="s">
        <v>34</v>
      </c>
      <c r="C5" s="17">
        <v>220</v>
      </c>
      <c r="D5" s="17">
        <f>+AJ5-C5</f>
        <v>214</v>
      </c>
      <c r="E5" s="17">
        <v>247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I5">
        <v>407</v>
      </c>
      <c r="AJ5">
        <v>434</v>
      </c>
    </row>
    <row r="6" spans="1:53">
      <c r="B6" s="15" t="s">
        <v>36</v>
      </c>
      <c r="C6" s="17">
        <v>133</v>
      </c>
      <c r="D6" s="17">
        <f>+AJ6-C6</f>
        <v>134</v>
      </c>
      <c r="E6" s="17">
        <v>147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I6">
        <v>229</v>
      </c>
      <c r="AJ6">
        <v>267</v>
      </c>
    </row>
    <row r="7" spans="1:53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53" s="22" customFormat="1">
      <c r="B8" s="22" t="s">
        <v>17</v>
      </c>
      <c r="C8" s="23">
        <v>2206.6550000000002</v>
      </c>
      <c r="D8" s="23">
        <f>AJ8-C8</f>
        <v>2415.7319999999995</v>
      </c>
      <c r="E8" s="23">
        <v>2317.3919999999998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I8" s="22">
        <v>3556.6619999999998</v>
      </c>
      <c r="AJ8" s="22">
        <v>4622.3869999999997</v>
      </c>
      <c r="AU8" s="22">
        <v>9150.7999999999993</v>
      </c>
      <c r="AV8" s="22">
        <v>10310</v>
      </c>
      <c r="AW8" s="22">
        <v>10561.9</v>
      </c>
    </row>
    <row r="9" spans="1:53" s="19" customFormat="1">
      <c r="B9" s="20" t="s">
        <v>22</v>
      </c>
      <c r="C9" s="21">
        <v>1192.431</v>
      </c>
      <c r="D9" s="28">
        <f>AJ9-C9</f>
        <v>1207.2889999999998</v>
      </c>
      <c r="E9" s="21">
        <v>1097.529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J9" s="19">
        <v>2399.7199999999998</v>
      </c>
      <c r="AU9" s="19">
        <v>3924.4</v>
      </c>
      <c r="AV9" s="19">
        <v>4466.7</v>
      </c>
      <c r="AW9" s="19">
        <v>4829.6000000000004</v>
      </c>
    </row>
    <row r="10" spans="1:53" s="19" customFormat="1">
      <c r="B10" s="20" t="s">
        <v>23</v>
      </c>
      <c r="C10" s="21">
        <f>+C8-C9</f>
        <v>1014.2240000000002</v>
      </c>
      <c r="D10" s="21">
        <f>+D8-D9</f>
        <v>1208.4429999999998</v>
      </c>
      <c r="E10" s="21">
        <f>+E8-E9</f>
        <v>1219.8629999999998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J10" s="19">
        <f>+AJ8-AJ9</f>
        <v>2222.6669999999999</v>
      </c>
      <c r="AU10" s="19">
        <f>AU8-AU9</f>
        <v>5226.3999999999996</v>
      </c>
      <c r="AV10" s="19">
        <f>AV8-AV9</f>
        <v>5843.3</v>
      </c>
      <c r="AW10" s="19">
        <f>AW8-AW9</f>
        <v>5732.2999999999993</v>
      </c>
    </row>
    <row r="11" spans="1:53" s="19" customFormat="1">
      <c r="B11" s="20" t="s">
        <v>24</v>
      </c>
      <c r="C11" s="21">
        <v>153.03399999999999</v>
      </c>
      <c r="D11" s="28">
        <f>AJ11-C11</f>
        <v>158.58100000000002</v>
      </c>
      <c r="E11" s="21">
        <v>146.92400000000001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J11" s="19">
        <v>311.61500000000001</v>
      </c>
      <c r="AU11" s="19">
        <v>921.8</v>
      </c>
      <c r="AV11" s="19">
        <v>1001.4</v>
      </c>
      <c r="AW11" s="19">
        <v>1156.2</v>
      </c>
    </row>
    <row r="12" spans="1:53" s="19" customFormat="1">
      <c r="B12" s="20" t="s">
        <v>25</v>
      </c>
      <c r="C12" s="21">
        <v>227.47800000000001</v>
      </c>
      <c r="D12" s="28">
        <f>AJ12-C12</f>
        <v>261.67199999999997</v>
      </c>
      <c r="E12" s="21">
        <v>226.17099999999999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J12" s="19">
        <v>489.15</v>
      </c>
      <c r="AU12" s="19">
        <v>896.2</v>
      </c>
      <c r="AV12" s="19">
        <v>980.2</v>
      </c>
      <c r="AW12" s="19">
        <v>960.7</v>
      </c>
    </row>
    <row r="13" spans="1:53" s="19" customFormat="1">
      <c r="B13" s="20" t="s">
        <v>26</v>
      </c>
      <c r="C13" s="21">
        <v>121.86199999999999</v>
      </c>
      <c r="D13" s="28">
        <f>AJ13-C13</f>
        <v>285.40200000000004</v>
      </c>
      <c r="E13" s="21">
        <v>123.15900000000001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J13" s="19">
        <v>407.26400000000001</v>
      </c>
      <c r="AU13" s="19">
        <v>691.9</v>
      </c>
      <c r="AV13" s="19">
        <v>731.7</v>
      </c>
      <c r="AW13" s="19">
        <v>688</v>
      </c>
    </row>
    <row r="14" spans="1:53" s="19" customFormat="1">
      <c r="B14" s="20" t="s">
        <v>27</v>
      </c>
      <c r="C14" s="21">
        <f>158.216-30.22</f>
        <v>127.99600000000001</v>
      </c>
      <c r="D14" s="28">
        <f>AJ14-C14</f>
        <v>-20.552999999999997</v>
      </c>
      <c r="E14" s="21">
        <f>97.581-9.846</f>
        <v>87.734999999999999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J14" s="19">
        <f>169.352-61.909</f>
        <v>107.44300000000001</v>
      </c>
    </row>
    <row r="15" spans="1:53" s="19" customFormat="1">
      <c r="B15" s="20" t="s">
        <v>28</v>
      </c>
      <c r="C15" s="21">
        <f>C11+C12+C13-C14</f>
        <v>374.37800000000004</v>
      </c>
      <c r="D15" s="21">
        <f>D11+D12+D13-D14</f>
        <v>726.20799999999997</v>
      </c>
      <c r="E15" s="21">
        <f>E11+E12+E13-E14</f>
        <v>408.51900000000001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J15" s="21">
        <f>AJ11+AJ12+AJ13-AJ14</f>
        <v>1100.586</v>
      </c>
      <c r="AU15" s="19">
        <f>SUM(AU11:AU13)</f>
        <v>2509.9</v>
      </c>
      <c r="AV15" s="19">
        <f>SUM(AV11:AV13)</f>
        <v>2713.3</v>
      </c>
      <c r="AW15" s="19">
        <f>SUM(AW11:AW13)</f>
        <v>2804.9</v>
      </c>
    </row>
    <row r="16" spans="1:53" s="19" customFormat="1">
      <c r="B16" s="20" t="s">
        <v>29</v>
      </c>
      <c r="C16" s="21">
        <f>C10-C15</f>
        <v>639.84600000000012</v>
      </c>
      <c r="D16" s="21">
        <f>D10-D15</f>
        <v>482.23499999999979</v>
      </c>
      <c r="E16" s="21">
        <f>E10-E15</f>
        <v>811.34399999999982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J16" s="21">
        <f>AJ10-AJ15</f>
        <v>1122.0809999999999</v>
      </c>
      <c r="AU16" s="19">
        <f>AU10-AU15</f>
        <v>2716.4999999999995</v>
      </c>
      <c r="AV16" s="19">
        <f>AV10-AV15</f>
        <v>3130</v>
      </c>
      <c r="AW16" s="19">
        <f>AW10-AW15</f>
        <v>2927.3999999999992</v>
      </c>
    </row>
    <row r="17" spans="2:49" s="19" customFormat="1">
      <c r="B17" s="20" t="s">
        <v>94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J17" s="21"/>
      <c r="AU17" s="19">
        <f>-150.8+7</f>
        <v>-143.80000000000001</v>
      </c>
      <c r="AV17" s="19">
        <f>-170.8+3.9</f>
        <v>-166.9</v>
      </c>
      <c r="AW17" s="19">
        <f>-165.2+17.4</f>
        <v>-147.79999999999998</v>
      </c>
    </row>
    <row r="18" spans="2:49" s="19" customFormat="1">
      <c r="B18" s="20" t="s">
        <v>95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J18" s="21"/>
      <c r="AU18" s="19">
        <f>AU16+AU17</f>
        <v>2572.6999999999994</v>
      </c>
      <c r="AV18" s="19">
        <f>AV16+AV17</f>
        <v>2963.1</v>
      </c>
      <c r="AW18" s="19">
        <f>AW16+AW17</f>
        <v>2779.599999999999</v>
      </c>
    </row>
    <row r="19" spans="2:49" s="19" customFormat="1">
      <c r="B19" s="20" t="s">
        <v>30</v>
      </c>
      <c r="C19" s="21">
        <v>137.989</v>
      </c>
      <c r="D19" s="28">
        <f>AJ19-C19</f>
        <v>85.825999999999993</v>
      </c>
      <c r="E19" s="21">
        <v>193.95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J19" s="19">
        <v>223.815</v>
      </c>
      <c r="AU19" s="19">
        <v>470.2</v>
      </c>
      <c r="AV19" s="19">
        <v>588.1</v>
      </c>
      <c r="AW19" s="19">
        <v>524.9</v>
      </c>
    </row>
    <row r="20" spans="2:49" s="19" customFormat="1">
      <c r="B20" s="20" t="s">
        <v>31</v>
      </c>
      <c r="C20" s="21">
        <f>+C16-C19</f>
        <v>501.85700000000008</v>
      </c>
      <c r="D20" s="21">
        <f>+D16-D19</f>
        <v>396.40899999999976</v>
      </c>
      <c r="E20" s="21">
        <f>+E16-E19</f>
        <v>617.39399999999978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J20" s="21">
        <f>+AJ16-AJ19</f>
        <v>898.26599999999985</v>
      </c>
      <c r="AU20" s="19">
        <f>AU18-AU19</f>
        <v>2102.4999999999995</v>
      </c>
      <c r="AV20" s="19">
        <f>AV18-AV19</f>
        <v>2375</v>
      </c>
      <c r="AW20" s="19">
        <f>AW18-AW19</f>
        <v>2254.6999999999989</v>
      </c>
    </row>
    <row r="21" spans="2:49" s="24" customFormat="1">
      <c r="B21" s="24" t="s">
        <v>32</v>
      </c>
      <c r="C21" s="25">
        <f>+C20/C22</f>
        <v>0.85046300408995923</v>
      </c>
      <c r="D21" s="25">
        <f>+D20/D22</f>
        <v>0.66327492681548916</v>
      </c>
      <c r="E21" s="25">
        <f>+E20/E22</f>
        <v>1.0600336125949255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J21" s="25">
        <f>+AJ20/AJ22</f>
        <v>1.5029863484704999</v>
      </c>
      <c r="AU21" s="24">
        <f>AU20/AU22</f>
        <v>4.6147429326995315</v>
      </c>
      <c r="AV21" s="24">
        <f>AV20/AV22</f>
        <v>5.2060065794760595</v>
      </c>
      <c r="AW21" s="24">
        <f>AW20/AW22</f>
        <v>4.7960382167520299</v>
      </c>
    </row>
    <row r="22" spans="2:49" s="19" customFormat="1">
      <c r="B22" s="20" t="s">
        <v>0</v>
      </c>
      <c r="C22" s="21">
        <v>590.098567</v>
      </c>
      <c r="D22" s="21">
        <v>597.65413100000001</v>
      </c>
      <c r="E22" s="21">
        <v>582.42870100000005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J22" s="19">
        <v>597.65413100000001</v>
      </c>
      <c r="AU22" s="19">
        <v>455.60500999999999</v>
      </c>
      <c r="AV22" s="19">
        <v>456.20380299999999</v>
      </c>
      <c r="AW22" s="19">
        <v>470.117188</v>
      </c>
    </row>
    <row r="24" spans="2:49" s="19" customFormat="1">
      <c r="B24" s="20" t="s">
        <v>96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U24" s="19">
        <v>2488.3000000000002</v>
      </c>
      <c r="AV24" s="19">
        <v>3621.9</v>
      </c>
      <c r="AW24" s="19">
        <v>2628.7</v>
      </c>
    </row>
    <row r="25" spans="2:49">
      <c r="B25" s="20" t="s">
        <v>97</v>
      </c>
      <c r="AU25" s="19">
        <v>1206.8</v>
      </c>
      <c r="AV25" s="19">
        <v>1196.3</v>
      </c>
      <c r="AW25" s="19">
        <v>1078.8</v>
      </c>
    </row>
    <row r="26" spans="2:49">
      <c r="AU26" s="19">
        <f>+AU24-AU25</f>
        <v>1281.5000000000002</v>
      </c>
      <c r="AV26" s="19">
        <f>+AV24-AV25</f>
        <v>2425.6000000000004</v>
      </c>
      <c r="AW26" s="19">
        <f>+AW24-AW25</f>
        <v>1549.8999999999999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B0DC62-5BCD-429F-A10A-38246373C0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77DD1E9-4570-4C5D-AEC3-37D82CF05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2CB4BB-6234-4E6B-8AF1-174BA705615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>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Martin Shkreli</cp:lastModifiedBy>
  <dcterms:created xsi:type="dcterms:W3CDTF">2008-03-16T22:32:49Z</dcterms:created>
  <dcterms:modified xsi:type="dcterms:W3CDTF">2022-09-09T14:08:47Z</dcterms:modified>
</cp:coreProperties>
</file>