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F4C785C-F4F6-4AF7-950F-E27784C6C2E4}" xr6:coauthVersionLast="47" xr6:coauthVersionMax="47" xr10:uidLastSave="{00000000-0000-0000-0000-000000000000}"/>
  <bookViews>
    <workbookView xWindow="77550" yWindow="810" windowWidth="25035" windowHeight="19590" activeTab="2" xr2:uid="{00000000-000D-0000-FFFF-FFFF00000000}"/>
  </bookViews>
  <sheets>
    <sheet name="Master" sheetId="27" r:id="rId1"/>
    <sheet name="Main" sheetId="1" r:id="rId2"/>
    <sheet name="Model" sheetId="2" r:id="rId3"/>
    <sheet name="Zyprexa" sheetId="3" r:id="rId4"/>
    <sheet name="Cymbalta" sheetId="4" r:id="rId5"/>
    <sheet name="Strattera" sheetId="5" r:id="rId6"/>
    <sheet name="Forteo" sheetId="6" r:id="rId7"/>
    <sheet name="Evista" sheetId="7" r:id="rId8"/>
    <sheet name="Cialis" sheetId="9" r:id="rId9"/>
    <sheet name="Gemzar" sheetId="23" r:id="rId10"/>
    <sheet name="Alimta" sheetId="10" r:id="rId11"/>
    <sheet name="Exenatide" sheetId="11" r:id="rId12"/>
    <sheet name="Effient" sheetId="14" r:id="rId13"/>
    <sheet name="Enzastaurin" sheetId="15" r:id="rId14"/>
    <sheet name="Arzoxifene" sheetId="16" r:id="rId15"/>
    <sheet name="LY2062430" sheetId="26" r:id="rId16"/>
    <sheet name="LY2140023" sheetId="24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X32" i="2" l="1"/>
  <c r="CZ21" i="2"/>
  <c r="CY21" i="2"/>
  <c r="CX21" i="2"/>
  <c r="CZ26" i="2"/>
  <c r="CY26" i="2"/>
  <c r="CX26" i="2"/>
  <c r="CZ19" i="2"/>
  <c r="CY19" i="2"/>
  <c r="CX19" i="2"/>
  <c r="CX17" i="2"/>
  <c r="CY17" i="2"/>
  <c r="CZ17" i="2"/>
  <c r="DB61" i="2"/>
  <c r="DA61" i="2"/>
  <c r="DC4" i="2"/>
  <c r="CW55" i="2"/>
  <c r="DB55" i="2"/>
  <c r="DA55" i="2"/>
  <c r="DB67" i="2"/>
  <c r="DK56" i="2"/>
  <c r="DJ56" i="2"/>
  <c r="DI56" i="2"/>
  <c r="DH56" i="2"/>
  <c r="DI4" i="2"/>
  <c r="DJ4" i="2" s="1"/>
  <c r="DK4" i="2" s="1"/>
  <c r="DB59" i="2"/>
  <c r="DA59" i="2"/>
  <c r="DB58" i="2"/>
  <c r="DA58" i="2"/>
  <c r="DB56" i="2"/>
  <c r="DA56" i="2"/>
  <c r="DD43" i="2"/>
  <c r="DC43" i="2"/>
  <c r="DB43" i="2"/>
  <c r="DA43" i="2"/>
  <c r="DD32" i="2"/>
  <c r="DC32" i="2"/>
  <c r="DB32" i="2"/>
  <c r="DA32" i="2"/>
  <c r="DD31" i="2"/>
  <c r="DC31" i="2"/>
  <c r="DB31" i="2"/>
  <c r="DA31" i="2"/>
  <c r="DD30" i="2"/>
  <c r="DC30" i="2"/>
  <c r="DB30" i="2"/>
  <c r="DA30" i="2"/>
  <c r="DA29" i="2"/>
  <c r="DB28" i="2"/>
  <c r="DA28" i="2"/>
  <c r="DB27" i="2"/>
  <c r="DA27" i="2"/>
  <c r="DB26" i="2"/>
  <c r="DA26" i="2"/>
  <c r="DD25" i="2"/>
  <c r="DE25" i="2" s="1"/>
  <c r="DF25" i="2" s="1"/>
  <c r="DG25" i="2" s="1"/>
  <c r="DH25" i="2" s="1"/>
  <c r="DI25" i="2" s="1"/>
  <c r="DJ25" i="2" s="1"/>
  <c r="DK25" i="2" s="1"/>
  <c r="DC25" i="2"/>
  <c r="DB25" i="2"/>
  <c r="DA25" i="2"/>
  <c r="DB23" i="2"/>
  <c r="DA23" i="2"/>
  <c r="DB21" i="2"/>
  <c r="DA21" i="2"/>
  <c r="DB20" i="2"/>
  <c r="DA20" i="2"/>
  <c r="DB19" i="2"/>
  <c r="DA19" i="2"/>
  <c r="DB17" i="2"/>
  <c r="DA17" i="2"/>
  <c r="DB16" i="2"/>
  <c r="DA16" i="2"/>
  <c r="DB15" i="2"/>
  <c r="DA15" i="2"/>
  <c r="DB13" i="2"/>
  <c r="DA13" i="2"/>
  <c r="DB12" i="2"/>
  <c r="DA12" i="2"/>
  <c r="DA11" i="2"/>
  <c r="DB10" i="2"/>
  <c r="DA10" i="2"/>
  <c r="DB9" i="2"/>
  <c r="DA9" i="2"/>
  <c r="DB8" i="2"/>
  <c r="DA8" i="2"/>
  <c r="DB7" i="2"/>
  <c r="DA7" i="2"/>
  <c r="DA6" i="2"/>
  <c r="DD5" i="2"/>
  <c r="DC5" i="2"/>
  <c r="DB5" i="2"/>
  <c r="DA5" i="2"/>
  <c r="DA3" i="2"/>
  <c r="BX67" i="2"/>
  <c r="BY67" i="2" s="1"/>
  <c r="BZ67" i="2" s="1"/>
  <c r="CA67" i="2" s="1"/>
  <c r="CB67" i="2" s="1"/>
  <c r="CC67" i="2" s="1"/>
  <c r="CD67" i="2" s="1"/>
  <c r="CA59" i="2"/>
  <c r="BZ59" i="2"/>
  <c r="CD59" i="2" s="1"/>
  <c r="BY59" i="2"/>
  <c r="CC59" i="2" s="1"/>
  <c r="BX59" i="2"/>
  <c r="CB59" i="2" s="1"/>
  <c r="CA58" i="2"/>
  <c r="BZ58" i="2"/>
  <c r="CD58" i="2" s="1"/>
  <c r="CD60" i="2" s="1"/>
  <c r="BY58" i="2"/>
  <c r="CC58" i="2" s="1"/>
  <c r="CC60" i="2" s="1"/>
  <c r="BX58" i="2"/>
  <c r="BX60" i="2" s="1"/>
  <c r="BX3" i="2"/>
  <c r="BY17" i="2"/>
  <c r="BZ17" i="2" s="1"/>
  <c r="CA17" i="2" s="1"/>
  <c r="CB17" i="2" s="1"/>
  <c r="CC17" i="2" s="1"/>
  <c r="CD17" i="2" s="1"/>
  <c r="BX29" i="2"/>
  <c r="BY29" i="2" s="1"/>
  <c r="BZ29" i="2" s="1"/>
  <c r="CA29" i="2" s="1"/>
  <c r="BX28" i="2"/>
  <c r="BY28" i="2" s="1"/>
  <c r="BZ28" i="2" s="1"/>
  <c r="CA28" i="2" s="1"/>
  <c r="BX27" i="2"/>
  <c r="BY27" i="2" s="1"/>
  <c r="BZ27" i="2" s="1"/>
  <c r="CA27" i="2" s="1"/>
  <c r="BX26" i="2"/>
  <c r="BY26" i="2" s="1"/>
  <c r="BX24" i="2"/>
  <c r="BX23" i="2"/>
  <c r="BX22" i="2"/>
  <c r="BX21" i="2"/>
  <c r="BY21" i="2" s="1"/>
  <c r="BZ21" i="2" s="1"/>
  <c r="CA21" i="2" s="1"/>
  <c r="BX20" i="2"/>
  <c r="BY20" i="2" s="1"/>
  <c r="BZ20" i="2" s="1"/>
  <c r="CA20" i="2" s="1"/>
  <c r="CB20" i="2" s="1"/>
  <c r="CC20" i="2" s="1"/>
  <c r="CD20" i="2" s="1"/>
  <c r="BX18" i="2"/>
  <c r="BY18" i="2" s="1"/>
  <c r="BZ18" i="2" s="1"/>
  <c r="CA18" i="2" s="1"/>
  <c r="CB18" i="2" s="1"/>
  <c r="CC18" i="2" s="1"/>
  <c r="CD18" i="2" s="1"/>
  <c r="BX17" i="2"/>
  <c r="BO55" i="2"/>
  <c r="BQ55" i="2"/>
  <c r="BP55" i="2"/>
  <c r="CY55" i="2" l="1"/>
  <c r="CY57" i="2" s="1"/>
  <c r="CZ55" i="2"/>
  <c r="CZ57" i="2" s="1"/>
  <c r="DC20" i="2"/>
  <c r="DD20" i="2"/>
  <c r="DE20" i="2" s="1"/>
  <c r="DF20" i="2" s="1"/>
  <c r="DG20" i="2" s="1"/>
  <c r="DH20" i="2" s="1"/>
  <c r="DI20" i="2" s="1"/>
  <c r="DJ20" i="2" s="1"/>
  <c r="DK20" i="2" s="1"/>
  <c r="CB58" i="2"/>
  <c r="CB60" i="2" s="1"/>
  <c r="DC67" i="2"/>
  <c r="DD67" i="2"/>
  <c r="DE67" i="2" s="1"/>
  <c r="DF67" i="2" s="1"/>
  <c r="DG67" i="2" s="1"/>
  <c r="DH67" i="2" s="1"/>
  <c r="DI67" i="2" s="1"/>
  <c r="DJ67" i="2" s="1"/>
  <c r="DK67" i="2" s="1"/>
  <c r="DC17" i="2"/>
  <c r="DC18" i="2"/>
  <c r="DB60" i="2"/>
  <c r="DA60" i="2"/>
  <c r="DD18" i="2"/>
  <c r="DE18" i="2" s="1"/>
  <c r="DF18" i="2" s="1"/>
  <c r="DG18" i="2" s="1"/>
  <c r="DH18" i="2" s="1"/>
  <c r="DI18" i="2" s="1"/>
  <c r="DJ18" i="2" s="1"/>
  <c r="DK18" i="2" s="1"/>
  <c r="DD59" i="2"/>
  <c r="CA60" i="2"/>
  <c r="CB28" i="2"/>
  <c r="CC28" i="2" s="1"/>
  <c r="CD28" i="2" s="1"/>
  <c r="DD28" i="2"/>
  <c r="CB29" i="2"/>
  <c r="CC29" i="2" s="1"/>
  <c r="CD29" i="2" s="1"/>
  <c r="DD29" i="2"/>
  <c r="DE29" i="2" s="1"/>
  <c r="DF29" i="2" s="1"/>
  <c r="DG29" i="2" s="1"/>
  <c r="DH29" i="2" s="1"/>
  <c r="DI29" i="2" s="1"/>
  <c r="DJ29" i="2" s="1"/>
  <c r="DK29" i="2" s="1"/>
  <c r="CB21" i="2"/>
  <c r="CC21" i="2" s="1"/>
  <c r="CD21" i="2" s="1"/>
  <c r="DD21" i="2"/>
  <c r="DE21" i="2" s="1"/>
  <c r="DF21" i="2" s="1"/>
  <c r="DG21" i="2" s="1"/>
  <c r="DH21" i="2" s="1"/>
  <c r="DI21" i="2" s="1"/>
  <c r="DJ21" i="2" s="1"/>
  <c r="DK21" i="2" s="1"/>
  <c r="BZ26" i="2"/>
  <c r="CA26" i="2" s="1"/>
  <c r="CB27" i="2"/>
  <c r="CC27" i="2" s="1"/>
  <c r="CD27" i="2" s="1"/>
  <c r="DD27" i="2"/>
  <c r="DE27" i="2" s="1"/>
  <c r="DF27" i="2" s="1"/>
  <c r="DG27" i="2" s="1"/>
  <c r="DH27" i="2" s="1"/>
  <c r="DI27" i="2" s="1"/>
  <c r="DJ27" i="2" s="1"/>
  <c r="DK27" i="2" s="1"/>
  <c r="DC21" i="2"/>
  <c r="DC58" i="2"/>
  <c r="BY22" i="2"/>
  <c r="BZ22" i="2" s="1"/>
  <c r="CA22" i="2" s="1"/>
  <c r="BY23" i="2"/>
  <c r="BZ23" i="2" s="1"/>
  <c r="CA23" i="2" s="1"/>
  <c r="DC28" i="2"/>
  <c r="DC59" i="2"/>
  <c r="DC27" i="2"/>
  <c r="BY24" i="2"/>
  <c r="BZ24" i="2" s="1"/>
  <c r="CA24" i="2" s="1"/>
  <c r="DC29" i="2"/>
  <c r="BY60" i="2"/>
  <c r="DD17" i="2"/>
  <c r="DE17" i="2" s="1"/>
  <c r="DF17" i="2" s="1"/>
  <c r="DG17" i="2" s="1"/>
  <c r="DH17" i="2" s="1"/>
  <c r="DI17" i="2" s="1"/>
  <c r="DJ17" i="2" s="1"/>
  <c r="DK17" i="2" s="1"/>
  <c r="BZ60" i="2"/>
  <c r="CA16" i="2"/>
  <c r="BZ16" i="2"/>
  <c r="CD16" i="2" s="1"/>
  <c r="BY16" i="2"/>
  <c r="CC16" i="2" s="1"/>
  <c r="BX16" i="2"/>
  <c r="CA15" i="2"/>
  <c r="BZ15" i="2"/>
  <c r="CD15" i="2" s="1"/>
  <c r="BY15" i="2"/>
  <c r="CC15" i="2" s="1"/>
  <c r="BX15" i="2"/>
  <c r="DC15" i="2" s="1"/>
  <c r="BU55" i="2"/>
  <c r="BT55" i="2"/>
  <c r="BR24" i="2"/>
  <c r="DA24" i="2" s="1"/>
  <c r="BR22" i="2"/>
  <c r="DA22" i="2" s="1"/>
  <c r="BR18" i="2"/>
  <c r="DA18" i="2" s="1"/>
  <c r="BR14" i="2"/>
  <c r="BS130" i="2"/>
  <c r="BS122" i="2"/>
  <c r="BS121" i="2"/>
  <c r="BS124" i="2" s="1"/>
  <c r="BS118" i="2"/>
  <c r="BS104" i="2"/>
  <c r="BS96" i="2"/>
  <c r="BS89" i="2"/>
  <c r="BS83" i="2"/>
  <c r="BT104" i="2"/>
  <c r="BT96" i="2"/>
  <c r="BT107" i="2" s="1"/>
  <c r="BT89" i="2"/>
  <c r="BT83" i="2"/>
  <c r="BU104" i="2"/>
  <c r="BU96" i="2"/>
  <c r="BU89" i="2"/>
  <c r="BU83" i="2"/>
  <c r="BW19" i="2"/>
  <c r="BV29" i="2"/>
  <c r="DB29" i="2" s="1"/>
  <c r="BV104" i="2"/>
  <c r="BV96" i="2"/>
  <c r="BV89" i="2"/>
  <c r="BV83" i="2"/>
  <c r="BV24" i="2"/>
  <c r="DB24" i="2" s="1"/>
  <c r="BV22" i="2"/>
  <c r="DB22" i="2" s="1"/>
  <c r="BV18" i="2"/>
  <c r="DB18" i="2" s="1"/>
  <c r="BV14" i="2"/>
  <c r="DB14" i="2" s="1"/>
  <c r="DB3" i="2"/>
  <c r="CB13" i="2"/>
  <c r="CA13" i="2"/>
  <c r="BZ13" i="2"/>
  <c r="BY13" i="2"/>
  <c r="CD13" i="2" s="1"/>
  <c r="BX13" i="2"/>
  <c r="CA12" i="2"/>
  <c r="BZ12" i="2"/>
  <c r="CD12" i="2" s="1"/>
  <c r="BX12" i="2"/>
  <c r="BY12" i="2"/>
  <c r="CC12" i="2" s="1"/>
  <c r="CA9" i="2"/>
  <c r="BZ9" i="2"/>
  <c r="CD9" i="2" s="1"/>
  <c r="CD73" i="2" s="1"/>
  <c r="BY9" i="2"/>
  <c r="BY73" i="2" s="1"/>
  <c r="BX9" i="2"/>
  <c r="CA73" i="2"/>
  <c r="CA8" i="2"/>
  <c r="BZ8" i="2"/>
  <c r="CD8" i="2" s="1"/>
  <c r="CD72" i="2" s="1"/>
  <c r="BY8" i="2"/>
  <c r="CC8" i="2" s="1"/>
  <c r="CC72" i="2" s="1"/>
  <c r="BX8" i="2"/>
  <c r="BW73" i="2"/>
  <c r="BV73" i="2"/>
  <c r="BU73" i="2"/>
  <c r="BT73" i="2"/>
  <c r="BS73" i="2"/>
  <c r="BR73" i="2"/>
  <c r="BQ73" i="2"/>
  <c r="BP73" i="2"/>
  <c r="BO73" i="2"/>
  <c r="BW72" i="2"/>
  <c r="BV72" i="2"/>
  <c r="BU72" i="2"/>
  <c r="BT72" i="2"/>
  <c r="BS72" i="2"/>
  <c r="BR72" i="2"/>
  <c r="BQ72" i="2"/>
  <c r="BP72" i="2"/>
  <c r="BO72" i="2"/>
  <c r="BX10" i="2"/>
  <c r="CA7" i="2"/>
  <c r="BZ7" i="2"/>
  <c r="CD7" i="2" s="1"/>
  <c r="CD71" i="2" s="1"/>
  <c r="BY7" i="2"/>
  <c r="CC7" i="2" s="1"/>
  <c r="CC71" i="2" s="1"/>
  <c r="BX7" i="2"/>
  <c r="BV71" i="2"/>
  <c r="BU71" i="2"/>
  <c r="BT71" i="2"/>
  <c r="BS71" i="2"/>
  <c r="BR71" i="2"/>
  <c r="BQ71" i="2"/>
  <c r="BP71" i="2"/>
  <c r="BO71" i="2"/>
  <c r="BW71" i="2"/>
  <c r="DC26" i="2" l="1"/>
  <c r="DC24" i="2"/>
  <c r="CB15" i="2"/>
  <c r="DD58" i="2"/>
  <c r="DC16" i="2"/>
  <c r="CB22" i="2"/>
  <c r="CC22" i="2" s="1"/>
  <c r="CD22" i="2" s="1"/>
  <c r="DD22" i="2"/>
  <c r="DE22" i="2" s="1"/>
  <c r="DF22" i="2" s="1"/>
  <c r="DG22" i="2" s="1"/>
  <c r="DH22" i="2" s="1"/>
  <c r="DI22" i="2" s="1"/>
  <c r="DJ22" i="2" s="1"/>
  <c r="DK22" i="2" s="1"/>
  <c r="DC23" i="2"/>
  <c r="BX14" i="2"/>
  <c r="CB23" i="2"/>
  <c r="CC23" i="2" s="1"/>
  <c r="CD23" i="2" s="1"/>
  <c r="DD23" i="2"/>
  <c r="DE23" i="2" s="1"/>
  <c r="DF23" i="2" s="1"/>
  <c r="DG23" i="2" s="1"/>
  <c r="DH23" i="2" s="1"/>
  <c r="DI23" i="2" s="1"/>
  <c r="DJ23" i="2" s="1"/>
  <c r="DK23" i="2" s="1"/>
  <c r="CB16" i="2"/>
  <c r="BV55" i="2"/>
  <c r="BY10" i="2"/>
  <c r="BZ10" i="2" s="1"/>
  <c r="CA10" i="2" s="1"/>
  <c r="BY14" i="2"/>
  <c r="BZ14" i="2" s="1"/>
  <c r="DC22" i="2"/>
  <c r="CB26" i="2"/>
  <c r="CC26" i="2" s="1"/>
  <c r="CD26" i="2" s="1"/>
  <c r="DD26" i="2"/>
  <c r="DE26" i="2" s="1"/>
  <c r="DF26" i="2" s="1"/>
  <c r="DG26" i="2" s="1"/>
  <c r="DH26" i="2" s="1"/>
  <c r="DI26" i="2" s="1"/>
  <c r="DJ26" i="2" s="1"/>
  <c r="DK26" i="2" s="1"/>
  <c r="CB7" i="2"/>
  <c r="CB71" i="2" s="1"/>
  <c r="DC7" i="2"/>
  <c r="CA71" i="2"/>
  <c r="CB24" i="2"/>
  <c r="CC24" i="2" s="1"/>
  <c r="CD24" i="2" s="1"/>
  <c r="DC60" i="2"/>
  <c r="BX72" i="2"/>
  <c r="DC8" i="2"/>
  <c r="BX19" i="2"/>
  <c r="BY19" i="2" s="1"/>
  <c r="BZ19" i="2" s="1"/>
  <c r="CA19" i="2" s="1"/>
  <c r="CB9" i="2"/>
  <c r="CB73" i="2" s="1"/>
  <c r="DC9" i="2"/>
  <c r="BU81" i="2"/>
  <c r="BR55" i="2"/>
  <c r="DA14" i="2"/>
  <c r="DA57" i="2" s="1"/>
  <c r="CA72" i="2"/>
  <c r="CB12" i="2"/>
  <c r="DC12" i="2"/>
  <c r="BT81" i="2"/>
  <c r="DD12" i="2"/>
  <c r="DE12" i="2" s="1"/>
  <c r="DF12" i="2" s="1"/>
  <c r="DG12" i="2" s="1"/>
  <c r="DH12" i="2" s="1"/>
  <c r="DI12" i="2" s="1"/>
  <c r="DJ12" i="2" s="1"/>
  <c r="DK12" i="2" s="1"/>
  <c r="CC13" i="2"/>
  <c r="DD13" i="2" s="1"/>
  <c r="DE13" i="2" s="1"/>
  <c r="DF13" i="2" s="1"/>
  <c r="DG13" i="2" s="1"/>
  <c r="DH13" i="2" s="1"/>
  <c r="DI13" i="2" s="1"/>
  <c r="DJ13" i="2" s="1"/>
  <c r="DK13" i="2" s="1"/>
  <c r="DC13" i="2"/>
  <c r="DD16" i="2"/>
  <c r="DE16" i="2" s="1"/>
  <c r="DF16" i="2" s="1"/>
  <c r="DG16" i="2" s="1"/>
  <c r="DH16" i="2" s="1"/>
  <c r="DI16" i="2" s="1"/>
  <c r="DJ16" i="2" s="1"/>
  <c r="DK16" i="2" s="1"/>
  <c r="DD15" i="2"/>
  <c r="DE15" i="2" s="1"/>
  <c r="DF15" i="2" s="1"/>
  <c r="DG15" i="2" s="1"/>
  <c r="DH15" i="2" s="1"/>
  <c r="DI15" i="2" s="1"/>
  <c r="DJ15" i="2" s="1"/>
  <c r="DK15" i="2" s="1"/>
  <c r="BV81" i="2"/>
  <c r="BZ73" i="2"/>
  <c r="BV94" i="2"/>
  <c r="BS133" i="2"/>
  <c r="BV107" i="2"/>
  <c r="BU94" i="2"/>
  <c r="BZ72" i="2"/>
  <c r="BT94" i="2"/>
  <c r="BX73" i="2"/>
  <c r="CC9" i="2"/>
  <c r="CC73" i="2" s="1"/>
  <c r="BU107" i="2"/>
  <c r="BY71" i="2"/>
  <c r="BY72" i="2"/>
  <c r="BS107" i="2"/>
  <c r="BS81" i="2"/>
  <c r="BS94" i="2"/>
  <c r="CB8" i="2"/>
  <c r="CB72" i="2" s="1"/>
  <c r="BX71" i="2"/>
  <c r="BZ71" i="2"/>
  <c r="DA76" i="2" l="1"/>
  <c r="DC19" i="2"/>
  <c r="DD7" i="2"/>
  <c r="DE7" i="2" s="1"/>
  <c r="DF7" i="2" s="1"/>
  <c r="DG7" i="2" s="1"/>
  <c r="DH7" i="2" s="1"/>
  <c r="DI7" i="2" s="1"/>
  <c r="DJ7" i="2" s="1"/>
  <c r="DK7" i="2" s="1"/>
  <c r="DD60" i="2"/>
  <c r="CB10" i="2"/>
  <c r="CC10" i="2" s="1"/>
  <c r="CD10" i="2" s="1"/>
  <c r="DC14" i="2"/>
  <c r="DD8" i="2"/>
  <c r="DE8" i="2" s="1"/>
  <c r="DF8" i="2" s="1"/>
  <c r="DG8" i="2" s="1"/>
  <c r="DH8" i="2" s="1"/>
  <c r="DI8" i="2" s="1"/>
  <c r="DJ8" i="2" s="1"/>
  <c r="DK8" i="2" s="1"/>
  <c r="DD9" i="2"/>
  <c r="DE9" i="2" s="1"/>
  <c r="DF9" i="2" s="1"/>
  <c r="DG9" i="2" s="1"/>
  <c r="DH9" i="2" s="1"/>
  <c r="DI9" i="2" s="1"/>
  <c r="DJ9" i="2" s="1"/>
  <c r="DK9" i="2" s="1"/>
  <c r="DC10" i="2"/>
  <c r="CB19" i="2"/>
  <c r="CC19" i="2" s="1"/>
  <c r="CD19" i="2" s="1"/>
  <c r="DD19" i="2" s="1"/>
  <c r="DE19" i="2" s="1"/>
  <c r="DF19" i="2" s="1"/>
  <c r="DG19" i="2" s="1"/>
  <c r="DH19" i="2" s="1"/>
  <c r="DI19" i="2" s="1"/>
  <c r="DJ19" i="2" s="1"/>
  <c r="DK19" i="2" s="1"/>
  <c r="CA14" i="2"/>
  <c r="DD24" i="2"/>
  <c r="DE24" i="2" s="1"/>
  <c r="DF24" i="2" s="1"/>
  <c r="DG24" i="2" s="1"/>
  <c r="DH24" i="2" s="1"/>
  <c r="DI24" i="2" s="1"/>
  <c r="DJ24" i="2" s="1"/>
  <c r="DK24" i="2" s="1"/>
  <c r="BZ11" i="2"/>
  <c r="BY11" i="2"/>
  <c r="CC11" i="2" s="1"/>
  <c r="BX11" i="2"/>
  <c r="CB11" i="2" s="1"/>
  <c r="BZ6" i="2"/>
  <c r="CD6" i="2" s="1"/>
  <c r="BY6" i="2"/>
  <c r="CC6" i="2" s="1"/>
  <c r="BX6" i="2"/>
  <c r="CA3" i="2"/>
  <c r="BZ3" i="2"/>
  <c r="BY3" i="2"/>
  <c r="DC3" i="2" s="1"/>
  <c r="BW127" i="2"/>
  <c r="BW130" i="2" s="1"/>
  <c r="BW121" i="2"/>
  <c r="BW124" i="2" s="1"/>
  <c r="BW118" i="2"/>
  <c r="BW104" i="2"/>
  <c r="BW96" i="2"/>
  <c r="BW89" i="2"/>
  <c r="BW83" i="2"/>
  <c r="BV70" i="2"/>
  <c r="BU70" i="2"/>
  <c r="BT70" i="2"/>
  <c r="BS70" i="2"/>
  <c r="BR70" i="2"/>
  <c r="BQ70" i="2"/>
  <c r="BP70" i="2"/>
  <c r="BO70" i="2"/>
  <c r="BW70" i="2"/>
  <c r="BK60" i="2"/>
  <c r="BL60" i="2"/>
  <c r="BM60" i="2"/>
  <c r="BN60" i="2"/>
  <c r="BO60" i="2"/>
  <c r="DD10" i="2" l="1"/>
  <c r="DE10" i="2" s="1"/>
  <c r="DF10" i="2" s="1"/>
  <c r="DG10" i="2" s="1"/>
  <c r="DH10" i="2" s="1"/>
  <c r="DI10" i="2" s="1"/>
  <c r="DJ10" i="2" s="1"/>
  <c r="DK10" i="2" s="1"/>
  <c r="CB6" i="2"/>
  <c r="BX55" i="2"/>
  <c r="CB14" i="2"/>
  <c r="CC14" i="2" s="1"/>
  <c r="CD14" i="2" s="1"/>
  <c r="BW81" i="2"/>
  <c r="BW94" i="2"/>
  <c r="BZ55" i="2"/>
  <c r="BY55" i="2"/>
  <c r="CA70" i="2"/>
  <c r="CD11" i="2"/>
  <c r="CC3" i="2"/>
  <c r="BY70" i="2"/>
  <c r="BX70" i="2"/>
  <c r="CD3" i="2"/>
  <c r="BZ70" i="2"/>
  <c r="BW133" i="2"/>
  <c r="CB3" i="2"/>
  <c r="DD3" i="2" s="1"/>
  <c r="DE3" i="2" s="1"/>
  <c r="BW107" i="2"/>
  <c r="BP60" i="2"/>
  <c r="BT60" i="2"/>
  <c r="BU77" i="2"/>
  <c r="BT77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E54" i="2"/>
  <c r="AE55" i="2" s="1"/>
  <c r="Z54" i="2"/>
  <c r="Z55" i="2" s="1"/>
  <c r="AA54" i="2"/>
  <c r="AA55" i="2" s="1"/>
  <c r="V54" i="2"/>
  <c r="V55" i="2" s="1"/>
  <c r="BQ60" i="2"/>
  <c r="BU60" i="2"/>
  <c r="BR60" i="2"/>
  <c r="BV60" i="2"/>
  <c r="J6" i="1"/>
  <c r="J5" i="1"/>
  <c r="BS60" i="2"/>
  <c r="BW60" i="2"/>
  <c r="BV77" i="2"/>
  <c r="BS6" i="2"/>
  <c r="BW6" i="2"/>
  <c r="DC6" i="2" s="1"/>
  <c r="BS11" i="2"/>
  <c r="DB11" i="2" s="1"/>
  <c r="BW11" i="2"/>
  <c r="DF3" i="2" l="1"/>
  <c r="DD14" i="2"/>
  <c r="DE14" i="2" s="1"/>
  <c r="DF14" i="2" s="1"/>
  <c r="DG14" i="2" s="1"/>
  <c r="DH14" i="2" s="1"/>
  <c r="DI14" i="2" s="1"/>
  <c r="DJ14" i="2" s="1"/>
  <c r="DK14" i="2" s="1"/>
  <c r="CA11" i="2"/>
  <c r="DD11" i="2" s="1"/>
  <c r="DE11" i="2" s="1"/>
  <c r="DF11" i="2" s="1"/>
  <c r="DG11" i="2" s="1"/>
  <c r="DH11" i="2" s="1"/>
  <c r="DI11" i="2" s="1"/>
  <c r="DJ11" i="2" s="1"/>
  <c r="DK11" i="2" s="1"/>
  <c r="DC11" i="2"/>
  <c r="DC55" i="2" s="1"/>
  <c r="BY57" i="2"/>
  <c r="BY56" i="2"/>
  <c r="BY78" i="2"/>
  <c r="BY77" i="2"/>
  <c r="BX57" i="2"/>
  <c r="BX78" i="2"/>
  <c r="BX56" i="2"/>
  <c r="BX77" i="2"/>
  <c r="DB6" i="2"/>
  <c r="DB77" i="2" s="1"/>
  <c r="BS55" i="2"/>
  <c r="BZ78" i="2"/>
  <c r="BZ57" i="2"/>
  <c r="BZ77" i="2"/>
  <c r="CD55" i="2"/>
  <c r="CD70" i="2"/>
  <c r="CB55" i="2"/>
  <c r="CB70" i="2"/>
  <c r="BZ69" i="2"/>
  <c r="BX69" i="2"/>
  <c r="BY69" i="2"/>
  <c r="CC55" i="2"/>
  <c r="CC70" i="2"/>
  <c r="BW55" i="2"/>
  <c r="CA6" i="2"/>
  <c r="BM78" i="2"/>
  <c r="BM77" i="2"/>
  <c r="BM57" i="2"/>
  <c r="BO69" i="2"/>
  <c r="BV78" i="2"/>
  <c r="BP57" i="2"/>
  <c r="BP76" i="2" s="1"/>
  <c r="BP69" i="2"/>
  <c r="BK78" i="2"/>
  <c r="BK57" i="2"/>
  <c r="BK77" i="2"/>
  <c r="BL78" i="2"/>
  <c r="BL77" i="2"/>
  <c r="BL57" i="2"/>
  <c r="BQ57" i="2"/>
  <c r="BQ61" i="2" s="1"/>
  <c r="BQ63" i="2" s="1"/>
  <c r="BQ65" i="2" s="1"/>
  <c r="BQ66" i="2" s="1"/>
  <c r="BQ69" i="2"/>
  <c r="BP78" i="2"/>
  <c r="BO77" i="2"/>
  <c r="BO57" i="2"/>
  <c r="BO78" i="2"/>
  <c r="BT69" i="2"/>
  <c r="BP77" i="2"/>
  <c r="BR69" i="2"/>
  <c r="BU69" i="2"/>
  <c r="BU78" i="2"/>
  <c r="BV69" i="2"/>
  <c r="BR57" i="2"/>
  <c r="BR76" i="2" s="1"/>
  <c r="BQ77" i="2"/>
  <c r="BN57" i="2"/>
  <c r="BN78" i="2"/>
  <c r="BN77" i="2"/>
  <c r="BQ78" i="2"/>
  <c r="BR78" i="2"/>
  <c r="BT78" i="2"/>
  <c r="BR77" i="2"/>
  <c r="BV57" i="2"/>
  <c r="BV76" i="2" s="1"/>
  <c r="BU57" i="2"/>
  <c r="BU76" i="2" s="1"/>
  <c r="BT57" i="2"/>
  <c r="BT76" i="2" s="1"/>
  <c r="CY2" i="2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CQ67" i="2"/>
  <c r="CQ64" i="2"/>
  <c r="CQ59" i="2"/>
  <c r="CQ58" i="2"/>
  <c r="CQ56" i="2"/>
  <c r="CR56" i="2"/>
  <c r="CR64" i="2"/>
  <c r="CP64" i="2"/>
  <c r="CO64" i="2"/>
  <c r="CR59" i="2"/>
  <c r="CR58" i="2"/>
  <c r="AO56" i="2"/>
  <c r="AN56" i="2"/>
  <c r="AM56" i="2"/>
  <c r="AO59" i="2"/>
  <c r="AN59" i="2"/>
  <c r="AM59" i="2"/>
  <c r="AO58" i="2"/>
  <c r="AN58" i="2"/>
  <c r="AM58" i="2"/>
  <c r="AL58" i="2"/>
  <c r="AP58" i="2" s="1"/>
  <c r="AL59" i="2"/>
  <c r="CS59" i="2" s="1"/>
  <c r="AH55" i="2"/>
  <c r="AH78" i="2" s="1"/>
  <c r="AL67" i="2"/>
  <c r="CS67" i="2" s="1"/>
  <c r="AL62" i="2"/>
  <c r="AP62" i="2" s="1"/>
  <c r="AL56" i="2"/>
  <c r="AP56" i="2" s="1"/>
  <c r="CR18" i="2"/>
  <c r="CQ18" i="2"/>
  <c r="AN21" i="2"/>
  <c r="AM21" i="2"/>
  <c r="AL21" i="2"/>
  <c r="AP21" i="2" s="1"/>
  <c r="CS36" i="2"/>
  <c r="CR35" i="2"/>
  <c r="CR36" i="2"/>
  <c r="CR34" i="2"/>
  <c r="CR33" i="2"/>
  <c r="CR20" i="2"/>
  <c r="CR32" i="2"/>
  <c r="CR10" i="2"/>
  <c r="CR11" i="2"/>
  <c r="CR49" i="2"/>
  <c r="CR14" i="2"/>
  <c r="CR6" i="2"/>
  <c r="CR22" i="2"/>
  <c r="CR24" i="2"/>
  <c r="AL34" i="2"/>
  <c r="AM34" i="2" s="1"/>
  <c r="AN34" i="2" s="1"/>
  <c r="AO34" i="2" s="1"/>
  <c r="AP34" i="2" s="1"/>
  <c r="AL35" i="2"/>
  <c r="AM35" i="2" s="1"/>
  <c r="AN35" i="2" s="1"/>
  <c r="AO35" i="2" s="1"/>
  <c r="AP35" i="2" s="1"/>
  <c r="AL18" i="2"/>
  <c r="AM18" i="2" s="1"/>
  <c r="AN18" i="2" s="1"/>
  <c r="AO18" i="2" s="1"/>
  <c r="AP18" i="2" s="1"/>
  <c r="AL33" i="2"/>
  <c r="AM33" i="2" s="1"/>
  <c r="AN33" i="2" s="1"/>
  <c r="AO33" i="2" s="1"/>
  <c r="AP33" i="2" s="1"/>
  <c r="AL20" i="2"/>
  <c r="AM20" i="2" s="1"/>
  <c r="AN20" i="2" s="1"/>
  <c r="AO20" i="2" s="1"/>
  <c r="AP20" i="2" s="1"/>
  <c r="AL32" i="2"/>
  <c r="AM32" i="2" s="1"/>
  <c r="AN32" i="2" s="1"/>
  <c r="AO32" i="2" s="1"/>
  <c r="AP32" i="2" s="1"/>
  <c r="AL10" i="2"/>
  <c r="AM10" i="2" s="1"/>
  <c r="AN10" i="2" s="1"/>
  <c r="AO10" i="2" s="1"/>
  <c r="AP10" i="2" s="1"/>
  <c r="AL11" i="2"/>
  <c r="AM11" i="2" s="1"/>
  <c r="AN11" i="2" s="1"/>
  <c r="AO11" i="2" s="1"/>
  <c r="AP11" i="2" s="1"/>
  <c r="AL49" i="2"/>
  <c r="AM49" i="2" s="1"/>
  <c r="AN49" i="2" s="1"/>
  <c r="AO49" i="2" s="1"/>
  <c r="AP49" i="2" s="1"/>
  <c r="AL14" i="2"/>
  <c r="CS14" i="2" s="1"/>
  <c r="AL6" i="2"/>
  <c r="AM6" i="2" s="1"/>
  <c r="AN6" i="2" s="1"/>
  <c r="AO6" i="2" s="1"/>
  <c r="AP6" i="2" s="1"/>
  <c r="AL22" i="2"/>
  <c r="AM22" i="2" s="1"/>
  <c r="AN22" i="2" s="1"/>
  <c r="AO22" i="2" s="1"/>
  <c r="AP22" i="2" s="1"/>
  <c r="AL24" i="2"/>
  <c r="AM24" i="2" s="1"/>
  <c r="AN24" i="2" s="1"/>
  <c r="AO24" i="2" s="1"/>
  <c r="AP24" i="2" s="1"/>
  <c r="AF118" i="2"/>
  <c r="AG118" i="2" s="1"/>
  <c r="AH118" i="2" s="1"/>
  <c r="AF96" i="2"/>
  <c r="AF107" i="2" s="1"/>
  <c r="AF83" i="2"/>
  <c r="AF60" i="2"/>
  <c r="AF55" i="2"/>
  <c r="AF57" i="2" s="1"/>
  <c r="AG96" i="2"/>
  <c r="AG107" i="2" s="1"/>
  <c r="AG83" i="2"/>
  <c r="AG94" i="2" s="1"/>
  <c r="AH96" i="2"/>
  <c r="AH107" i="2" s="1"/>
  <c r="AH83" i="2"/>
  <c r="AH94" i="2" s="1"/>
  <c r="AH60" i="2"/>
  <c r="AJ55" i="2"/>
  <c r="AJ57" i="2" s="1"/>
  <c r="AJ76" i="2" s="1"/>
  <c r="AI55" i="2"/>
  <c r="AI77" i="2" s="1"/>
  <c r="AI96" i="2"/>
  <c r="AI107" i="2" s="1"/>
  <c r="AI83" i="2"/>
  <c r="AI94" i="2" s="1"/>
  <c r="AJ118" i="2"/>
  <c r="AK118" i="2" s="1"/>
  <c r="AJ96" i="2"/>
  <c r="AJ107" i="2" s="1"/>
  <c r="AJ83" i="2"/>
  <c r="AJ94" i="2" s="1"/>
  <c r="AK96" i="2"/>
  <c r="AK107" i="2" s="1"/>
  <c r="AK83" i="2"/>
  <c r="AI62" i="2"/>
  <c r="AI60" i="2"/>
  <c r="AJ62" i="2"/>
  <c r="AN62" i="2" s="1"/>
  <c r="AJ60" i="2"/>
  <c r="AG62" i="2"/>
  <c r="CR62" i="2" s="1"/>
  <c r="AG60" i="2"/>
  <c r="P55" i="2"/>
  <c r="AD55" i="2"/>
  <c r="AK62" i="2"/>
  <c r="AO62" i="2" s="1"/>
  <c r="AK60" i="2"/>
  <c r="AK21" i="2"/>
  <c r="AK55" i="2" s="1"/>
  <c r="DC69" i="2" l="1"/>
  <c r="DC77" i="2"/>
  <c r="DG3" i="2"/>
  <c r="CD69" i="2"/>
  <c r="CD78" i="2"/>
  <c r="CD57" i="2"/>
  <c r="CD56" i="2" s="1"/>
  <c r="DG56" i="2" s="1"/>
  <c r="CD77" i="2"/>
  <c r="CB69" i="2"/>
  <c r="CB57" i="2"/>
  <c r="CB56" i="2" s="1"/>
  <c r="CB78" i="2"/>
  <c r="CB77" i="2"/>
  <c r="BZ76" i="2"/>
  <c r="BZ61" i="2"/>
  <c r="BZ63" i="2" s="1"/>
  <c r="BZ56" i="2"/>
  <c r="CA55" i="2"/>
  <c r="DD6" i="2"/>
  <c r="BY76" i="2"/>
  <c r="BY61" i="2"/>
  <c r="BY63" i="2" s="1"/>
  <c r="DB69" i="2"/>
  <c r="DB57" i="2"/>
  <c r="DC56" i="2"/>
  <c r="DC57" i="2" s="1"/>
  <c r="CC69" i="2"/>
  <c r="CC78" i="2"/>
  <c r="CC57" i="2"/>
  <c r="CC56" i="2" s="1"/>
  <c r="DF56" i="2" s="1"/>
  <c r="CC77" i="2"/>
  <c r="BX76" i="2"/>
  <c r="BX61" i="2"/>
  <c r="BX63" i="2" s="1"/>
  <c r="BU61" i="2"/>
  <c r="BU63" i="2" s="1"/>
  <c r="BU65" i="2" s="1"/>
  <c r="BU66" i="2" s="1"/>
  <c r="BT61" i="2"/>
  <c r="BT63" i="2" s="1"/>
  <c r="BT65" i="2" s="1"/>
  <c r="BT66" i="2" s="1"/>
  <c r="BP61" i="2"/>
  <c r="BP63" i="2" s="1"/>
  <c r="BP79" i="2" s="1"/>
  <c r="BQ79" i="2"/>
  <c r="BL76" i="2"/>
  <c r="BL61" i="2"/>
  <c r="BL63" i="2" s="1"/>
  <c r="BK76" i="2"/>
  <c r="BK61" i="2"/>
  <c r="BK63" i="2" s="1"/>
  <c r="BM76" i="2"/>
  <c r="BM61" i="2"/>
  <c r="BM63" i="2" s="1"/>
  <c r="BQ76" i="2"/>
  <c r="BV61" i="2"/>
  <c r="BV63" i="2" s="1"/>
  <c r="BV65" i="2" s="1"/>
  <c r="BV66" i="2" s="1"/>
  <c r="BN76" i="2"/>
  <c r="BN61" i="2"/>
  <c r="BN63" i="2" s="1"/>
  <c r="BR61" i="2"/>
  <c r="BR63" i="2" s="1"/>
  <c r="BW78" i="2"/>
  <c r="BW77" i="2"/>
  <c r="BO76" i="2"/>
  <c r="BO61" i="2"/>
  <c r="BO63" i="2" s="1"/>
  <c r="BS57" i="2"/>
  <c r="BS69" i="2"/>
  <c r="BS77" i="2"/>
  <c r="BS78" i="2"/>
  <c r="BW57" i="2"/>
  <c r="BW69" i="2"/>
  <c r="CQ60" i="2"/>
  <c r="AN60" i="2"/>
  <c r="CR60" i="2"/>
  <c r="CS58" i="2"/>
  <c r="CS60" i="2" s="1"/>
  <c r="CS62" i="2"/>
  <c r="CS22" i="2"/>
  <c r="CT22" i="2" s="1"/>
  <c r="CS18" i="2"/>
  <c r="AJ81" i="2"/>
  <c r="AH57" i="2"/>
  <c r="AH61" i="2" s="1"/>
  <c r="AM14" i="2"/>
  <c r="AN14" i="2" s="1"/>
  <c r="AO14" i="2" s="1"/>
  <c r="AP14" i="2" s="1"/>
  <c r="AP55" i="2" s="1"/>
  <c r="CS49" i="2"/>
  <c r="CS33" i="2"/>
  <c r="AM62" i="2"/>
  <c r="AP59" i="2"/>
  <c r="AK81" i="2"/>
  <c r="CS24" i="2"/>
  <c r="CT24" i="2" s="1"/>
  <c r="CS10" i="2"/>
  <c r="CS34" i="2"/>
  <c r="AO21" i="2"/>
  <c r="AL60" i="2"/>
  <c r="AM67" i="2"/>
  <c r="AN67" i="2" s="1"/>
  <c r="AO67" i="2" s="1"/>
  <c r="AP67" i="2" s="1"/>
  <c r="AM60" i="2"/>
  <c r="CS32" i="2"/>
  <c r="CS21" i="2"/>
  <c r="CS11" i="2"/>
  <c r="CT11" i="2" s="1"/>
  <c r="CU11" i="2" s="1"/>
  <c r="AF81" i="2"/>
  <c r="CS20" i="2"/>
  <c r="CS6" i="2"/>
  <c r="CT6" i="2" s="1"/>
  <c r="AL55" i="2"/>
  <c r="AL57" i="2" s="1"/>
  <c r="AL76" i="2" s="1"/>
  <c r="CS56" i="2"/>
  <c r="AO60" i="2"/>
  <c r="CS35" i="2"/>
  <c r="AH77" i="2"/>
  <c r="AH69" i="2"/>
  <c r="AF77" i="2"/>
  <c r="AJ77" i="2"/>
  <c r="AF76" i="2"/>
  <c r="AF61" i="2"/>
  <c r="AF63" i="2" s="1"/>
  <c r="AK77" i="2"/>
  <c r="AK78" i="2"/>
  <c r="AI78" i="2"/>
  <c r="AH81" i="2"/>
  <c r="AF78" i="2"/>
  <c r="AJ78" i="2"/>
  <c r="AK94" i="2"/>
  <c r="AF94" i="2"/>
  <c r="AG81" i="2"/>
  <c r="AI81" i="2"/>
  <c r="AI57" i="2"/>
  <c r="AI76" i="2" s="1"/>
  <c r="AJ61" i="2"/>
  <c r="AJ63" i="2" s="1"/>
  <c r="AJ79" i="2" s="1"/>
  <c r="AE96" i="2"/>
  <c r="AE107" i="2" s="1"/>
  <c r="AE83" i="2"/>
  <c r="AE94" i="2" s="1"/>
  <c r="AE60" i="2"/>
  <c r="DC61" i="2" l="1"/>
  <c r="DC63" i="2" s="1"/>
  <c r="DC76" i="2"/>
  <c r="DD55" i="2"/>
  <c r="DE6" i="2"/>
  <c r="DE56" i="2"/>
  <c r="DB76" i="2"/>
  <c r="DH3" i="2"/>
  <c r="BY64" i="2"/>
  <c r="BY79" i="2" s="1"/>
  <c r="CA77" i="2"/>
  <c r="CA57" i="2"/>
  <c r="CA56" i="2"/>
  <c r="DD56" i="2" s="1"/>
  <c r="CA78" i="2"/>
  <c r="BZ64" i="2"/>
  <c r="BZ79" i="2" s="1"/>
  <c r="DD57" i="2"/>
  <c r="BU79" i="2"/>
  <c r="CD76" i="2"/>
  <c r="CD61" i="2"/>
  <c r="CD63" i="2" s="1"/>
  <c r="CC76" i="2"/>
  <c r="CC61" i="2"/>
  <c r="CC63" i="2" s="1"/>
  <c r="CB76" i="2"/>
  <c r="CB61" i="2"/>
  <c r="CB63" i="2" s="1"/>
  <c r="CA69" i="2"/>
  <c r="BX64" i="2"/>
  <c r="BX79" i="2" s="1"/>
  <c r="BU74" i="2"/>
  <c r="BV79" i="2"/>
  <c r="BP65" i="2"/>
  <c r="BP66" i="2" s="1"/>
  <c r="BT74" i="2" s="1"/>
  <c r="BT79" i="2"/>
  <c r="BL65" i="2"/>
  <c r="BL66" i="2" s="1"/>
  <c r="BL79" i="2"/>
  <c r="BM79" i="2"/>
  <c r="BM65" i="2"/>
  <c r="BM66" i="2" s="1"/>
  <c r="BQ74" i="2" s="1"/>
  <c r="BK65" i="2"/>
  <c r="BK66" i="2" s="1"/>
  <c r="BK79" i="2"/>
  <c r="BS76" i="2"/>
  <c r="BS61" i="2"/>
  <c r="BS63" i="2" s="1"/>
  <c r="BO79" i="2"/>
  <c r="BO65" i="2"/>
  <c r="BO66" i="2" s="1"/>
  <c r="BO74" i="2" s="1"/>
  <c r="BR65" i="2"/>
  <c r="BR66" i="2" s="1"/>
  <c r="BV74" i="2" s="1"/>
  <c r="BR79" i="2"/>
  <c r="BN79" i="2"/>
  <c r="BN65" i="2"/>
  <c r="BN66" i="2" s="1"/>
  <c r="BW61" i="2"/>
  <c r="BW63" i="2" s="1"/>
  <c r="BW76" i="2"/>
  <c r="AM55" i="2"/>
  <c r="AM69" i="2" s="1"/>
  <c r="AO55" i="2"/>
  <c r="AO57" i="2" s="1"/>
  <c r="AO76" i="2" s="1"/>
  <c r="AH76" i="2"/>
  <c r="AP77" i="2"/>
  <c r="AP57" i="2"/>
  <c r="AP76" i="2" s="1"/>
  <c r="AN55" i="2"/>
  <c r="AN57" i="2" s="1"/>
  <c r="AP69" i="2"/>
  <c r="CU6" i="2"/>
  <c r="AL77" i="2"/>
  <c r="AL78" i="2"/>
  <c r="AL69" i="2"/>
  <c r="AL61" i="2"/>
  <c r="AL63" i="2" s="1"/>
  <c r="AP60" i="2"/>
  <c r="AP78" i="2"/>
  <c r="AF65" i="2"/>
  <c r="AF66" i="2" s="1"/>
  <c r="AF79" i="2"/>
  <c r="AI61" i="2"/>
  <c r="AI63" i="2" s="1"/>
  <c r="AI79" i="2" s="1"/>
  <c r="AJ65" i="2"/>
  <c r="AJ66" i="2" s="1"/>
  <c r="AE81" i="2"/>
  <c r="CQ34" i="2"/>
  <c r="CP34" i="2"/>
  <c r="BX65" i="2" l="1"/>
  <c r="DD61" i="2"/>
  <c r="DD63" i="2" s="1"/>
  <c r="DD76" i="2"/>
  <c r="DI3" i="2"/>
  <c r="DF6" i="2"/>
  <c r="DE55" i="2"/>
  <c r="DD69" i="2"/>
  <c r="DD77" i="2"/>
  <c r="DC79" i="2"/>
  <c r="CC64" i="2"/>
  <c r="CC79" i="2" s="1"/>
  <c r="BX66" i="2"/>
  <c r="BX74" i="2" s="1"/>
  <c r="BX81" i="2"/>
  <c r="CD64" i="2"/>
  <c r="CD79" i="2" s="1"/>
  <c r="CD65" i="2"/>
  <c r="CD66" i="2" s="1"/>
  <c r="CA76" i="2"/>
  <c r="CA61" i="2"/>
  <c r="CA63" i="2" s="1"/>
  <c r="CB64" i="2"/>
  <c r="CB79" i="2" s="1"/>
  <c r="BZ65" i="2"/>
  <c r="BZ66" i="2" s="1"/>
  <c r="BZ74" i="2" s="1"/>
  <c r="BY65" i="2"/>
  <c r="BY66" i="2" s="1"/>
  <c r="BY74" i="2" s="1"/>
  <c r="BR74" i="2"/>
  <c r="BP74" i="2"/>
  <c r="BW65" i="2"/>
  <c r="BW79" i="2"/>
  <c r="BS65" i="2"/>
  <c r="BS79" i="2"/>
  <c r="AM78" i="2"/>
  <c r="AM77" i="2"/>
  <c r="AM57" i="2"/>
  <c r="AM61" i="2" s="1"/>
  <c r="AM63" i="2" s="1"/>
  <c r="AP61" i="2"/>
  <c r="AP63" i="2" s="1"/>
  <c r="AP64" i="2" s="1"/>
  <c r="AP79" i="2" s="1"/>
  <c r="AO77" i="2"/>
  <c r="AO78" i="2"/>
  <c r="AO69" i="2"/>
  <c r="AN69" i="2"/>
  <c r="AO61" i="2"/>
  <c r="AO63" i="2" s="1"/>
  <c r="AO64" i="2" s="1"/>
  <c r="AO79" i="2" s="1"/>
  <c r="AN77" i="2"/>
  <c r="AN78" i="2"/>
  <c r="AN76" i="2"/>
  <c r="AN61" i="2"/>
  <c r="AN63" i="2" s="1"/>
  <c r="AL64" i="2"/>
  <c r="AL65" i="2" s="1"/>
  <c r="AI65" i="2"/>
  <c r="AI66" i="2" s="1"/>
  <c r="CH77" i="2"/>
  <c r="DC65" i="2" l="1"/>
  <c r="DC66" i="2" s="1"/>
  <c r="DE57" i="2"/>
  <c r="DE58" i="2"/>
  <c r="DE69" i="2"/>
  <c r="DG6" i="2"/>
  <c r="DF55" i="2"/>
  <c r="DJ3" i="2"/>
  <c r="DD79" i="2"/>
  <c r="AM76" i="2"/>
  <c r="CA64" i="2"/>
  <c r="CA79" i="2" s="1"/>
  <c r="BY81" i="2"/>
  <c r="BZ81" i="2" s="1"/>
  <c r="DC81" i="2" s="1"/>
  <c r="CB65" i="2"/>
  <c r="CB66" i="2" s="1"/>
  <c r="CB74" i="2" s="1"/>
  <c r="CD74" i="2"/>
  <c r="CC65" i="2"/>
  <c r="CC66" i="2" s="1"/>
  <c r="CC74" i="2" s="1"/>
  <c r="BS66" i="2"/>
  <c r="BS74" i="2" s="1"/>
  <c r="BS109" i="2"/>
  <c r="BW66" i="2"/>
  <c r="BW109" i="2"/>
  <c r="AP65" i="2"/>
  <c r="AP66" i="2" s="1"/>
  <c r="AO65" i="2"/>
  <c r="AO66" i="2" s="1"/>
  <c r="AM64" i="2"/>
  <c r="AM79" i="2" s="1"/>
  <c r="AL66" i="2"/>
  <c r="AL81" i="2"/>
  <c r="AN64" i="2"/>
  <c r="AN79" i="2" s="1"/>
  <c r="AL79" i="2"/>
  <c r="CS64" i="2"/>
  <c r="CO67" i="2"/>
  <c r="CO62" i="2"/>
  <c r="CO59" i="2"/>
  <c r="CO58" i="2"/>
  <c r="CP67" i="2"/>
  <c r="AD96" i="2"/>
  <c r="AD107" i="2" s="1"/>
  <c r="AD83" i="2"/>
  <c r="AD94" i="2" s="1"/>
  <c r="CQ24" i="2"/>
  <c r="AD57" i="2"/>
  <c r="AD60" i="2"/>
  <c r="CQ36" i="2"/>
  <c r="CT36" i="2" s="1"/>
  <c r="CU36" i="2" s="1"/>
  <c r="CV36" i="2" s="1"/>
  <c r="CT58" i="2"/>
  <c r="CT60" i="2" s="1"/>
  <c r="CT18" i="2"/>
  <c r="CU18" i="2" s="1"/>
  <c r="CQ33" i="2"/>
  <c r="CT33" i="2" s="1"/>
  <c r="CU33" i="2" s="1"/>
  <c r="CV33" i="2" s="1"/>
  <c r="CQ20" i="2"/>
  <c r="CT20" i="2" s="1"/>
  <c r="CU20" i="2" s="1"/>
  <c r="CQ32" i="2"/>
  <c r="CT32" i="2" s="1"/>
  <c r="CU32" i="2" s="1"/>
  <c r="CV32" i="2" s="1"/>
  <c r="CQ10" i="2"/>
  <c r="CT10" i="2" s="1"/>
  <c r="CU10" i="2" s="1"/>
  <c r="CQ11" i="2"/>
  <c r="CQ49" i="2"/>
  <c r="CT49" i="2" s="1"/>
  <c r="CQ14" i="2"/>
  <c r="CT14" i="2" s="1"/>
  <c r="CQ6" i="2"/>
  <c r="CQ35" i="2"/>
  <c r="CQ22" i="2"/>
  <c r="AC62" i="2"/>
  <c r="AC60" i="2"/>
  <c r="AB62" i="2"/>
  <c r="CT34" i="2"/>
  <c r="CU34" i="2" s="1"/>
  <c r="CV34" i="2" s="1"/>
  <c r="AB60" i="2"/>
  <c r="Z81" i="2"/>
  <c r="CN21" i="2"/>
  <c r="CM21" i="2"/>
  <c r="CL21" i="2"/>
  <c r="CL55" i="2" s="1"/>
  <c r="CK21" i="2"/>
  <c r="CJ21" i="2"/>
  <c r="CJ55" i="2" s="1"/>
  <c r="CI21" i="2"/>
  <c r="Z60" i="2"/>
  <c r="CM60" i="2"/>
  <c r="CL60" i="2"/>
  <c r="CK60" i="2"/>
  <c r="CJ60" i="2"/>
  <c r="CI60" i="2"/>
  <c r="CH60" i="2"/>
  <c r="C14" i="3"/>
  <c r="C15" i="3" s="1"/>
  <c r="C16" i="3" s="1"/>
  <c r="C17" i="3" s="1"/>
  <c r="C18" i="3" s="1"/>
  <c r="C19" i="3" s="1"/>
  <c r="C20" i="3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20" i="14"/>
  <c r="G20" i="14" s="1"/>
  <c r="C14" i="14"/>
  <c r="C15" i="14"/>
  <c r="C16" i="14" s="1"/>
  <c r="C17" i="14" s="1"/>
  <c r="C18" i="14" s="1"/>
  <c r="C19" i="14" s="1"/>
  <c r="C20" i="14" s="1"/>
  <c r="CP36" i="2"/>
  <c r="CO36" i="2"/>
  <c r="CP59" i="2"/>
  <c r="CP58" i="2"/>
  <c r="CP18" i="2"/>
  <c r="CP33" i="2"/>
  <c r="CP20" i="2"/>
  <c r="CP32" i="2"/>
  <c r="CP10" i="2"/>
  <c r="CP11" i="2"/>
  <c r="CP49" i="2"/>
  <c r="CP14" i="2"/>
  <c r="CP6" i="2"/>
  <c r="CP35" i="2"/>
  <c r="CP24" i="2"/>
  <c r="Y62" i="2"/>
  <c r="CP62" i="2" s="1"/>
  <c r="Y60" i="2"/>
  <c r="X60" i="2"/>
  <c r="CP22" i="2"/>
  <c r="CO10" i="2"/>
  <c r="CN10" i="2"/>
  <c r="CO33" i="2"/>
  <c r="CO20" i="2"/>
  <c r="CO47" i="2"/>
  <c r="CO32" i="2"/>
  <c r="CO11" i="2"/>
  <c r="CO49" i="2"/>
  <c r="CO14" i="2"/>
  <c r="CO6" i="2"/>
  <c r="CN47" i="2"/>
  <c r="CN32" i="2"/>
  <c r="CN11" i="2"/>
  <c r="CN49" i="2"/>
  <c r="CN14" i="2"/>
  <c r="CM49" i="2"/>
  <c r="CM6" i="2"/>
  <c r="CM35" i="2"/>
  <c r="CN6" i="2"/>
  <c r="CO35" i="2"/>
  <c r="CO24" i="2"/>
  <c r="CN35" i="2"/>
  <c r="CM22" i="2"/>
  <c r="CN22" i="2"/>
  <c r="CO22" i="2"/>
  <c r="V60" i="2"/>
  <c r="W60" i="2"/>
  <c r="CN24" i="2"/>
  <c r="CN20" i="2"/>
  <c r="CN33" i="2"/>
  <c r="CN37" i="2"/>
  <c r="CN38" i="2"/>
  <c r="CO38" i="2" s="1"/>
  <c r="CN43" i="2"/>
  <c r="CO43" i="2" s="1"/>
  <c r="CP43" i="2" s="1"/>
  <c r="CN36" i="2"/>
  <c r="CN45" i="2"/>
  <c r="CO45" i="2" s="1"/>
  <c r="CP45" i="2" s="1"/>
  <c r="CN58" i="2"/>
  <c r="CN59" i="2"/>
  <c r="CN40" i="2"/>
  <c r="CO40" i="2" s="1"/>
  <c r="CN42" i="2"/>
  <c r="CO42" i="2" s="1"/>
  <c r="CP42" i="2" s="1"/>
  <c r="CN48" i="2"/>
  <c r="CO48" i="2" s="1"/>
  <c r="CP48" i="2" s="1"/>
  <c r="O37" i="2"/>
  <c r="P57" i="2"/>
  <c r="P61" i="2" s="1"/>
  <c r="P63" i="2" s="1"/>
  <c r="P79" i="2" s="1"/>
  <c r="N47" i="2"/>
  <c r="N36" i="2"/>
  <c r="P78" i="2"/>
  <c r="P77" i="2"/>
  <c r="CM24" i="2"/>
  <c r="J4" i="1"/>
  <c r="J7" i="1" s="1"/>
  <c r="C23" i="3"/>
  <c r="C22" i="3"/>
  <c r="C26" i="5"/>
  <c r="P67" i="2"/>
  <c r="CN67" i="2" s="1"/>
  <c r="CH57" i="2"/>
  <c r="CH61" i="2" s="1"/>
  <c r="CH63" i="2" s="1"/>
  <c r="CH65" i="2" s="1"/>
  <c r="CH66" i="2" s="1"/>
  <c r="F48" i="2"/>
  <c r="G33" i="2"/>
  <c r="I6" i="2"/>
  <c r="I47" i="2"/>
  <c r="AA60" i="2"/>
  <c r="DK3" i="2" l="1"/>
  <c r="DH6" i="2"/>
  <c r="DG55" i="2"/>
  <c r="DD65" i="2"/>
  <c r="DE77" i="2"/>
  <c r="DE60" i="2"/>
  <c r="DE61" i="2" s="1"/>
  <c r="DE76" i="2"/>
  <c r="DF57" i="2"/>
  <c r="DF58" i="2"/>
  <c r="DF69" i="2"/>
  <c r="CA65" i="2"/>
  <c r="CA66" i="2" s="1"/>
  <c r="BW74" i="2"/>
  <c r="CA74" i="2"/>
  <c r="AM65" i="2"/>
  <c r="AM66" i="2" s="1"/>
  <c r="AM74" i="2" s="1"/>
  <c r="CN60" i="2"/>
  <c r="CQ62" i="2"/>
  <c r="AN65" i="2"/>
  <c r="AN66" i="2" s="1"/>
  <c r="AN74" i="2" s="1"/>
  <c r="CP55" i="2"/>
  <c r="CP77" i="2" s="1"/>
  <c r="CU14" i="2"/>
  <c r="CV14" i="2" s="1"/>
  <c r="CN55" i="2"/>
  <c r="CN77" i="2" s="1"/>
  <c r="AP74" i="2"/>
  <c r="CK55" i="2"/>
  <c r="CK77" i="2" s="1"/>
  <c r="CI55" i="2"/>
  <c r="CI77" i="2" s="1"/>
  <c r="CM55" i="2"/>
  <c r="CO55" i="2"/>
  <c r="AG55" i="2"/>
  <c r="O55" i="2"/>
  <c r="O78" i="2" s="1"/>
  <c r="CP60" i="2"/>
  <c r="AD76" i="2"/>
  <c r="AD61" i="2"/>
  <c r="AD63" i="2" s="1"/>
  <c r="P76" i="2"/>
  <c r="CJ77" i="2"/>
  <c r="CJ57" i="2"/>
  <c r="CJ61" i="2" s="1"/>
  <c r="CJ63" i="2" s="1"/>
  <c r="CJ65" i="2" s="1"/>
  <c r="CJ66" i="2" s="1"/>
  <c r="P65" i="2"/>
  <c r="P66" i="2" s="1"/>
  <c r="CL77" i="2"/>
  <c r="CL57" i="2"/>
  <c r="AD78" i="2"/>
  <c r="AD77" i="2"/>
  <c r="CU58" i="2"/>
  <c r="CO60" i="2"/>
  <c r="CR67" i="2"/>
  <c r="CT35" i="2"/>
  <c r="CU35" i="2" s="1"/>
  <c r="DF76" i="2" l="1"/>
  <c r="DD81" i="2"/>
  <c r="DD66" i="2"/>
  <c r="DI6" i="2"/>
  <c r="DH55" i="2"/>
  <c r="DF60" i="2"/>
  <c r="DF61" i="2" s="1"/>
  <c r="DF77" i="2"/>
  <c r="DG57" i="2"/>
  <c r="DG58" i="2"/>
  <c r="DG69" i="2"/>
  <c r="CA81" i="2"/>
  <c r="CB81" i="2" s="1"/>
  <c r="CC81" i="2" s="1"/>
  <c r="CD81" i="2" s="1"/>
  <c r="AM81" i="2"/>
  <c r="AN81" i="2" s="1"/>
  <c r="AO81" i="2" s="1"/>
  <c r="AP81" i="2" s="1"/>
  <c r="CI57" i="2"/>
  <c r="CI61" i="2" s="1"/>
  <c r="CI63" i="2" s="1"/>
  <c r="CI65" i="2" s="1"/>
  <c r="CI66" i="2" s="1"/>
  <c r="CI74" i="2" s="1"/>
  <c r="CL69" i="2"/>
  <c r="CK57" i="2"/>
  <c r="CK61" i="2" s="1"/>
  <c r="CK63" i="2" s="1"/>
  <c r="CK65" i="2" s="1"/>
  <c r="CK66" i="2" s="1"/>
  <c r="CK74" i="2" s="1"/>
  <c r="CT67" i="2"/>
  <c r="CU67" i="2" s="1"/>
  <c r="CV67" i="2" s="1"/>
  <c r="CW67" i="2" s="1"/>
  <c r="CT21" i="2"/>
  <c r="CT55" i="2" s="1"/>
  <c r="CT77" i="2" s="1"/>
  <c r="CS55" i="2"/>
  <c r="CS57" i="2" s="1"/>
  <c r="CP69" i="2"/>
  <c r="AG78" i="2"/>
  <c r="AG57" i="2"/>
  <c r="AG76" i="2" s="1"/>
  <c r="AG77" i="2"/>
  <c r="O57" i="2"/>
  <c r="O61" i="2" s="1"/>
  <c r="O63" i="2" s="1"/>
  <c r="AH63" i="2"/>
  <c r="AH79" i="2" s="1"/>
  <c r="O77" i="2"/>
  <c r="AJ69" i="2"/>
  <c r="CM77" i="2"/>
  <c r="CM69" i="2"/>
  <c r="CM57" i="2"/>
  <c r="AD79" i="2"/>
  <c r="AD65" i="2"/>
  <c r="AD66" i="2" s="1"/>
  <c r="CN69" i="2"/>
  <c r="CU24" i="2"/>
  <c r="CU60" i="2"/>
  <c r="CL76" i="2"/>
  <c r="CL61" i="2"/>
  <c r="CL63" i="2" s="1"/>
  <c r="CL65" i="2" s="1"/>
  <c r="CL66" i="2" s="1"/>
  <c r="CO77" i="2"/>
  <c r="CN57" i="2"/>
  <c r="CO69" i="2"/>
  <c r="CU22" i="2"/>
  <c r="DG77" i="2" l="1"/>
  <c r="DG60" i="2"/>
  <c r="DJ6" i="2"/>
  <c r="DI55" i="2"/>
  <c r="DG76" i="2"/>
  <c r="DG61" i="2"/>
  <c r="DH58" i="2"/>
  <c r="DH57" i="2"/>
  <c r="DH69" i="2"/>
  <c r="DE62" i="2"/>
  <c r="DE63" i="2" s="1"/>
  <c r="CL74" i="2"/>
  <c r="CJ74" i="2"/>
  <c r="CS76" i="2"/>
  <c r="CS61" i="2"/>
  <c r="CS63" i="2" s="1"/>
  <c r="CU21" i="2"/>
  <c r="AG61" i="2"/>
  <c r="AG63" i="2" s="1"/>
  <c r="O76" i="2"/>
  <c r="O65" i="2"/>
  <c r="O66" i="2" s="1"/>
  <c r="O79" i="2"/>
  <c r="CV60" i="2"/>
  <c r="CM61" i="2"/>
  <c r="CM63" i="2" s="1"/>
  <c r="CM65" i="2" s="1"/>
  <c r="CM66" i="2" s="1"/>
  <c r="CM74" i="2" s="1"/>
  <c r="CM76" i="2"/>
  <c r="CS77" i="2"/>
  <c r="CN61" i="2"/>
  <c r="CN63" i="2" s="1"/>
  <c r="CN64" i="2" s="1"/>
  <c r="CN65" i="2" s="1"/>
  <c r="CN66" i="2" s="1"/>
  <c r="CN56" i="2"/>
  <c r="AH65" i="2"/>
  <c r="AH66" i="2" s="1"/>
  <c r="CT69" i="2"/>
  <c r="DE79" i="2" l="1"/>
  <c r="DH76" i="2"/>
  <c r="DH60" i="2"/>
  <c r="DH61" i="2" s="1"/>
  <c r="DH77" i="2"/>
  <c r="DI58" i="2"/>
  <c r="DI57" i="2"/>
  <c r="DI69" i="2"/>
  <c r="DK6" i="2"/>
  <c r="DK55" i="2" s="1"/>
  <c r="DJ55" i="2"/>
  <c r="AH74" i="2"/>
  <c r="AL74" i="2"/>
  <c r="CU55" i="2"/>
  <c r="CU77" i="2" s="1"/>
  <c r="AG79" i="2"/>
  <c r="AG65" i="2"/>
  <c r="AG66" i="2" s="1"/>
  <c r="CS65" i="2"/>
  <c r="CN74" i="2"/>
  <c r="DE65" i="2" l="1"/>
  <c r="DJ58" i="2"/>
  <c r="DJ69" i="2"/>
  <c r="DJ57" i="2"/>
  <c r="DK58" i="2"/>
  <c r="DK69" i="2"/>
  <c r="DK57" i="2"/>
  <c r="DI76" i="2"/>
  <c r="DI60" i="2"/>
  <c r="DI61" i="2" s="1"/>
  <c r="DI77" i="2"/>
  <c r="DE66" i="2"/>
  <c r="DE81" i="2"/>
  <c r="CX60" i="2"/>
  <c r="CU57" i="2"/>
  <c r="CU61" i="2" s="1"/>
  <c r="CU63" i="2" s="1"/>
  <c r="CU69" i="2"/>
  <c r="CV55" i="2"/>
  <c r="CV77" i="2" s="1"/>
  <c r="AJ74" i="2"/>
  <c r="CS66" i="2"/>
  <c r="DK76" i="2" l="1"/>
  <c r="DF62" i="2"/>
  <c r="DF63" i="2" s="1"/>
  <c r="DK77" i="2"/>
  <c r="DK60" i="2"/>
  <c r="DK61" i="2" s="1"/>
  <c r="DJ76" i="2"/>
  <c r="DJ60" i="2"/>
  <c r="DJ61" i="2" s="1"/>
  <c r="DJ77" i="2"/>
  <c r="CY60" i="2"/>
  <c r="CY61" i="2" s="1"/>
  <c r="CU56" i="2"/>
  <c r="CV61" i="2"/>
  <c r="CV63" i="2" s="1"/>
  <c r="CX55" i="2"/>
  <c r="CX57" i="2" s="1"/>
  <c r="CX61" i="2" s="1"/>
  <c r="CW77" i="2"/>
  <c r="CV69" i="2"/>
  <c r="DF79" i="2" l="1"/>
  <c r="DF65" i="2"/>
  <c r="CX77" i="2"/>
  <c r="CZ60" i="2"/>
  <c r="CZ61" i="2" s="1"/>
  <c r="CW63" i="2"/>
  <c r="CW69" i="2"/>
  <c r="CU64" i="2"/>
  <c r="CU65" i="2" s="1"/>
  <c r="DF66" i="2" l="1"/>
  <c r="DF81" i="2"/>
  <c r="CX69" i="2"/>
  <c r="CU66" i="2"/>
  <c r="DG62" i="2" l="1"/>
  <c r="DG63" i="2" s="1"/>
  <c r="CX63" i="2"/>
  <c r="CY63" i="2"/>
  <c r="CY69" i="2"/>
  <c r="CY77" i="2"/>
  <c r="CV64" i="2"/>
  <c r="CV65" i="2" s="1"/>
  <c r="DG79" i="2" l="1"/>
  <c r="DG65" i="2"/>
  <c r="CY65" i="2"/>
  <c r="CY66" i="2" s="1"/>
  <c r="CZ63" i="2"/>
  <c r="CZ65" i="2" s="1"/>
  <c r="CZ66" i="2" s="1"/>
  <c r="CZ69" i="2"/>
  <c r="CZ77" i="2"/>
  <c r="CV66" i="2"/>
  <c r="CV74" i="2" s="1"/>
  <c r="DG66" i="2" l="1"/>
  <c r="DG81" i="2"/>
  <c r="CZ74" i="2"/>
  <c r="DB63" i="2"/>
  <c r="DB65" i="2" s="1"/>
  <c r="DB66" i="2" s="1"/>
  <c r="DA63" i="2"/>
  <c r="DA65" i="2" s="1"/>
  <c r="DA66" i="2" s="1"/>
  <c r="DA74" i="2" s="1"/>
  <c r="DA69" i="2"/>
  <c r="DA77" i="2"/>
  <c r="CW65" i="2"/>
  <c r="DH62" i="2" l="1"/>
  <c r="DH63" i="2" s="1"/>
  <c r="DB74" i="2"/>
  <c r="CW66" i="2"/>
  <c r="CW74" i="2" s="1"/>
  <c r="DH79" i="2" l="1"/>
  <c r="DH65" i="2"/>
  <c r="CX65" i="2"/>
  <c r="DH66" i="2" l="1"/>
  <c r="DH81" i="2"/>
  <c r="CX66" i="2"/>
  <c r="DI62" i="2" l="1"/>
  <c r="DI63" i="2" s="1"/>
  <c r="CX74" i="2"/>
  <c r="CY74" i="2"/>
  <c r="DI79" i="2" l="1"/>
  <c r="DI65" i="2"/>
  <c r="L55" i="2"/>
  <c r="L78" i="2" s="1"/>
  <c r="DI66" i="2" l="1"/>
  <c r="DI81" i="2"/>
  <c r="L77" i="2"/>
  <c r="AK69" i="2"/>
  <c r="AK57" i="2"/>
  <c r="L57" i="2"/>
  <c r="DJ62" i="2" l="1"/>
  <c r="DJ63" i="2" s="1"/>
  <c r="AK76" i="2"/>
  <c r="AK61" i="2"/>
  <c r="AK63" i="2" s="1"/>
  <c r="AK79" i="2" s="1"/>
  <c r="L61" i="2"/>
  <c r="L63" i="2" s="1"/>
  <c r="L76" i="2"/>
  <c r="H55" i="2"/>
  <c r="H78" i="2" s="1"/>
  <c r="DJ79" i="2" l="1"/>
  <c r="L65" i="2"/>
  <c r="L66" i="2" s="1"/>
  <c r="P74" i="2" s="1"/>
  <c r="L79" i="2"/>
  <c r="AK65" i="2"/>
  <c r="AK66" i="2" s="1"/>
  <c r="H77" i="2"/>
  <c r="H57" i="2"/>
  <c r="DJ65" i="2" l="1"/>
  <c r="AK74" i="2"/>
  <c r="AO74" i="2"/>
  <c r="H61" i="2"/>
  <c r="H63" i="2" s="1"/>
  <c r="H76" i="2"/>
  <c r="DJ66" i="2" l="1"/>
  <c r="DJ81" i="2"/>
  <c r="H65" i="2"/>
  <c r="H66" i="2" s="1"/>
  <c r="L74" i="2" s="1"/>
  <c r="H79" i="2"/>
  <c r="I55" i="2"/>
  <c r="I77" i="2" s="1"/>
  <c r="DK62" i="2" l="1"/>
  <c r="DK63" i="2" s="1"/>
  <c r="I78" i="2"/>
  <c r="I57" i="2"/>
  <c r="DK79" i="2" l="1"/>
  <c r="I76" i="2"/>
  <c r="I61" i="2"/>
  <c r="I63" i="2" s="1"/>
  <c r="DK65" i="2" l="1"/>
  <c r="I79" i="2"/>
  <c r="I65" i="2"/>
  <c r="I66" i="2" s="1"/>
  <c r="G55" i="2"/>
  <c r="G78" i="2" s="1"/>
  <c r="DL65" i="2" l="1"/>
  <c r="DM65" i="2" s="1"/>
  <c r="DN65" i="2" s="1"/>
  <c r="DO65" i="2" s="1"/>
  <c r="DP65" i="2" s="1"/>
  <c r="DQ65" i="2" s="1"/>
  <c r="DR65" i="2" s="1"/>
  <c r="DS65" i="2" s="1"/>
  <c r="DT65" i="2" s="1"/>
  <c r="DU65" i="2" s="1"/>
  <c r="DV65" i="2" s="1"/>
  <c r="DW65" i="2" s="1"/>
  <c r="DX65" i="2" s="1"/>
  <c r="DY65" i="2" s="1"/>
  <c r="DZ65" i="2" s="1"/>
  <c r="EA65" i="2" s="1"/>
  <c r="EB65" i="2" s="1"/>
  <c r="EC65" i="2" s="1"/>
  <c r="ED65" i="2" s="1"/>
  <c r="EE65" i="2" s="1"/>
  <c r="EF65" i="2" s="1"/>
  <c r="EG65" i="2" s="1"/>
  <c r="EH65" i="2" s="1"/>
  <c r="EI65" i="2" s="1"/>
  <c r="EJ65" i="2" s="1"/>
  <c r="EK65" i="2" s="1"/>
  <c r="EL65" i="2" s="1"/>
  <c r="EM65" i="2" s="1"/>
  <c r="EN65" i="2" s="1"/>
  <c r="EO65" i="2" s="1"/>
  <c r="EP65" i="2" s="1"/>
  <c r="EQ65" i="2" s="1"/>
  <c r="ER65" i="2" s="1"/>
  <c r="ES65" i="2" s="1"/>
  <c r="ET65" i="2" s="1"/>
  <c r="EU65" i="2" s="1"/>
  <c r="EV65" i="2" s="1"/>
  <c r="EW65" i="2" s="1"/>
  <c r="EX65" i="2" s="1"/>
  <c r="EY65" i="2" s="1"/>
  <c r="EZ65" i="2" s="1"/>
  <c r="FA65" i="2" s="1"/>
  <c r="FB65" i="2" s="1"/>
  <c r="FC65" i="2" s="1"/>
  <c r="FD65" i="2" s="1"/>
  <c r="FE65" i="2" s="1"/>
  <c r="FF65" i="2" s="1"/>
  <c r="FG65" i="2" s="1"/>
  <c r="FH65" i="2" s="1"/>
  <c r="FI65" i="2" s="1"/>
  <c r="FJ65" i="2" s="1"/>
  <c r="FK65" i="2" s="1"/>
  <c r="FL65" i="2" s="1"/>
  <c r="FM65" i="2" s="1"/>
  <c r="FN65" i="2" s="1"/>
  <c r="FO65" i="2" s="1"/>
  <c r="FP65" i="2" s="1"/>
  <c r="FQ65" i="2" s="1"/>
  <c r="FR65" i="2" s="1"/>
  <c r="FS65" i="2" s="1"/>
  <c r="FT65" i="2" s="1"/>
  <c r="FU65" i="2" s="1"/>
  <c r="FV65" i="2" s="1"/>
  <c r="FW65" i="2" s="1"/>
  <c r="FX65" i="2" s="1"/>
  <c r="FY65" i="2" s="1"/>
  <c r="FZ65" i="2" s="1"/>
  <c r="GA65" i="2" s="1"/>
  <c r="GB65" i="2" s="1"/>
  <c r="GC65" i="2" s="1"/>
  <c r="GD65" i="2" s="1"/>
  <c r="GE65" i="2" s="1"/>
  <c r="GF65" i="2" s="1"/>
  <c r="GG65" i="2" s="1"/>
  <c r="GH65" i="2" s="1"/>
  <c r="GI65" i="2" s="1"/>
  <c r="GJ65" i="2" s="1"/>
  <c r="GK65" i="2" s="1"/>
  <c r="DM82" i="2" s="1"/>
  <c r="DM83" i="2" s="1"/>
  <c r="DK66" i="2"/>
  <c r="DK81" i="2"/>
  <c r="G57" i="2"/>
  <c r="G77" i="2"/>
  <c r="G61" i="2" l="1"/>
  <c r="G63" i="2" s="1"/>
  <c r="G76" i="2"/>
  <c r="G79" i="2" l="1"/>
  <c r="G65" i="2"/>
  <c r="G66" i="2" s="1"/>
  <c r="K55" i="2"/>
  <c r="K78" i="2" s="1"/>
  <c r="K77" i="2" l="1"/>
  <c r="K57" i="2"/>
  <c r="K76" i="2" l="1"/>
  <c r="K61" i="2"/>
  <c r="K63" i="2" s="1"/>
  <c r="M55" i="2"/>
  <c r="M77" i="2" s="1"/>
  <c r="M57" i="2" l="1"/>
  <c r="M76" i="2" s="1"/>
  <c r="K65" i="2"/>
  <c r="K66" i="2" s="1"/>
  <c r="K79" i="2"/>
  <c r="M78" i="2"/>
  <c r="M61" i="2" l="1"/>
  <c r="M63" i="2" s="1"/>
  <c r="K74" i="2"/>
  <c r="O74" i="2"/>
  <c r="F55" i="2"/>
  <c r="F78" i="2" s="1"/>
  <c r="M79" i="2" l="1"/>
  <c r="M65" i="2"/>
  <c r="M66" i="2" s="1"/>
  <c r="F77" i="2"/>
  <c r="F57" i="2"/>
  <c r="M74" i="2" l="1"/>
  <c r="F61" i="2"/>
  <c r="F63" i="2" s="1"/>
  <c r="F76" i="2"/>
  <c r="F79" i="2" l="1"/>
  <c r="F65" i="2"/>
  <c r="F66" i="2" s="1"/>
  <c r="J55" i="2"/>
  <c r="J77" i="2" s="1"/>
  <c r="J78" i="2" l="1"/>
  <c r="J57" i="2"/>
  <c r="J76" i="2" l="1"/>
  <c r="J61" i="2"/>
  <c r="J63" i="2" s="1"/>
  <c r="J79" i="2" l="1"/>
  <c r="J65" i="2"/>
  <c r="J66" i="2" s="1"/>
  <c r="CT57" i="2"/>
  <c r="CT61" i="2" s="1"/>
  <c r="CT63" i="2" s="1"/>
  <c r="CT64" i="2" l="1"/>
  <c r="CT65" i="2" s="1"/>
  <c r="CT56" i="2"/>
  <c r="CT66" i="2" l="1"/>
  <c r="CU74" i="2" l="1"/>
  <c r="CT74" i="2"/>
  <c r="S21" i="2" l="1"/>
  <c r="S55" i="2" s="1"/>
  <c r="S57" i="2" s="1"/>
  <c r="U21" i="2"/>
  <c r="U55" i="2" s="1"/>
  <c r="T21" i="2"/>
  <c r="T55" i="2" s="1"/>
  <c r="T78" i="2" s="1"/>
  <c r="N21" i="2"/>
  <c r="N55" i="2" s="1"/>
  <c r="R21" i="2"/>
  <c r="R55" i="2" s="1"/>
  <c r="R78" i="2" s="1"/>
  <c r="Q21" i="2"/>
  <c r="Q55" i="2" s="1"/>
  <c r="Q57" i="2" s="1"/>
  <c r="Q78" i="2" l="1"/>
  <c r="Q77" i="2"/>
  <c r="R57" i="2"/>
  <c r="R76" i="2" s="1"/>
  <c r="N77" i="2"/>
  <c r="N78" i="2"/>
  <c r="N57" i="2"/>
  <c r="U57" i="2"/>
  <c r="U61" i="2" s="1"/>
  <c r="U63" i="2" s="1"/>
  <c r="U65" i="2" s="1"/>
  <c r="U66" i="2" s="1"/>
  <c r="U69" i="2"/>
  <c r="U77" i="2"/>
  <c r="U78" i="2"/>
  <c r="S61" i="2"/>
  <c r="S63" i="2" s="1"/>
  <c r="S65" i="2" s="1"/>
  <c r="S66" i="2" s="1"/>
  <c r="S74" i="2" s="1"/>
  <c r="Q61" i="2"/>
  <c r="Q63" i="2" s="1"/>
  <c r="Q76" i="2"/>
  <c r="T69" i="2"/>
  <c r="S77" i="2"/>
  <c r="R77" i="2"/>
  <c r="T77" i="2"/>
  <c r="S78" i="2"/>
  <c r="T57" i="2"/>
  <c r="T61" i="2" s="1"/>
  <c r="T63" i="2" s="1"/>
  <c r="T65" i="2" s="1"/>
  <c r="T66" i="2" s="1"/>
  <c r="T74" i="2" s="1"/>
  <c r="R61" i="2" l="1"/>
  <c r="R63" i="2" s="1"/>
  <c r="R79" i="2" s="1"/>
  <c r="Q65" i="2"/>
  <c r="Q66" i="2" s="1"/>
  <c r="Q74" i="2" s="1"/>
  <c r="Q79" i="2"/>
  <c r="N76" i="2"/>
  <c r="N61" i="2"/>
  <c r="N63" i="2" s="1"/>
  <c r="U74" i="2" l="1"/>
  <c r="R65" i="2"/>
  <c r="R66" i="2" s="1"/>
  <c r="N79" i="2"/>
  <c r="N65" i="2"/>
  <c r="N66" i="2" s="1"/>
  <c r="N74" i="2" s="1"/>
  <c r="R74" i="2" l="1"/>
  <c r="V69" i="2" l="1"/>
  <c r="V78" i="2"/>
  <c r="V77" i="2"/>
  <c r="V57" i="2"/>
  <c r="V61" i="2" s="1"/>
  <c r="V63" i="2" s="1"/>
  <c r="V65" i="2" s="1"/>
  <c r="V66" i="2" s="1"/>
  <c r="V74" i="2" s="1"/>
  <c r="CO57" i="2" l="1"/>
  <c r="CO76" i="2" s="1"/>
  <c r="CO56" i="2" l="1"/>
  <c r="CO61" i="2"/>
  <c r="CO63" i="2" s="1"/>
  <c r="CO65" i="2" s="1"/>
  <c r="CO66" i="2" s="1"/>
  <c r="CO74" i="2" s="1"/>
  <c r="AA78" i="2" l="1"/>
  <c r="AA77" i="2"/>
  <c r="AA57" i="2"/>
  <c r="AA76" i="2" l="1"/>
  <c r="AA61" i="2"/>
  <c r="AA63" i="2" s="1"/>
  <c r="AA65" i="2" l="1"/>
  <c r="AA79" i="2"/>
  <c r="AA81" i="2" l="1"/>
  <c r="AA66" i="2"/>
  <c r="Y54" i="2"/>
  <c r="Y55" i="2" s="1"/>
  <c r="Y78" i="2" s="1"/>
  <c r="Y57" i="2" l="1"/>
  <c r="Y77" i="2"/>
  <c r="Y69" i="2"/>
  <c r="Y61" i="2" l="1"/>
  <c r="Y63" i="2" s="1"/>
  <c r="Y76" i="2"/>
  <c r="Y65" i="2" l="1"/>
  <c r="Y66" i="2" s="1"/>
  <c r="Y74" i="2" s="1"/>
  <c r="Y79" i="2"/>
  <c r="Z57" i="2"/>
  <c r="Z61" i="2" s="1"/>
  <c r="Z63" i="2" s="1"/>
  <c r="Z69" i="2"/>
  <c r="AD69" i="2"/>
  <c r="Z77" i="2"/>
  <c r="Z78" i="2"/>
  <c r="Z65" i="2" l="1"/>
  <c r="Z66" i="2" s="1"/>
  <c r="Z79" i="2"/>
  <c r="Z76" i="2"/>
  <c r="Z74" i="2" l="1"/>
  <c r="AD74" i="2"/>
  <c r="CR21" i="2"/>
  <c r="CR55" i="2" s="1"/>
  <c r="CS69" i="2" l="1"/>
  <c r="CR57" i="2"/>
  <c r="CR77" i="2"/>
  <c r="AE78" i="2"/>
  <c r="AE77" i="2"/>
  <c r="AE69" i="2"/>
  <c r="AI69" i="2"/>
  <c r="AE57" i="2"/>
  <c r="AE76" i="2" l="1"/>
  <c r="AE61" i="2"/>
  <c r="AE63" i="2" s="1"/>
  <c r="CR76" i="2"/>
  <c r="CR61" i="2"/>
  <c r="CR63" i="2" s="1"/>
  <c r="CR65" i="2" s="1"/>
  <c r="CR66" i="2" l="1"/>
  <c r="AE79" i="2"/>
  <c r="AE65" i="2"/>
  <c r="AE66" i="2" s="1"/>
  <c r="CS74" i="2" l="1"/>
  <c r="AE74" i="2"/>
  <c r="AI74" i="2"/>
  <c r="W54" i="2"/>
  <c r="W55" i="2" s="1"/>
  <c r="W78" i="2" s="1"/>
  <c r="W57" i="2" l="1"/>
  <c r="W76" i="2" s="1"/>
  <c r="AA69" i="2"/>
  <c r="W77" i="2"/>
  <c r="W69" i="2"/>
  <c r="W61" i="2" l="1"/>
  <c r="W63" i="2" s="1"/>
  <c r="W79" i="2"/>
  <c r="W65" i="2"/>
  <c r="W66" i="2" s="1"/>
  <c r="W74" i="2" l="1"/>
  <c r="AA74" i="2"/>
  <c r="X54" i="2"/>
  <c r="X55" i="2" s="1"/>
  <c r="X78" i="2" s="1"/>
  <c r="X57" i="2" l="1"/>
  <c r="X76" i="2" s="1"/>
  <c r="X77" i="2"/>
  <c r="X69" i="2"/>
  <c r="CP57" i="2" l="1"/>
  <c r="CP76" i="2" s="1"/>
  <c r="X61" i="2"/>
  <c r="X63" i="2" s="1"/>
  <c r="CP56" i="2"/>
  <c r="CP61" i="2"/>
  <c r="CP63" i="2" s="1"/>
  <c r="CP65" i="2" s="1"/>
  <c r="CP66" i="2" s="1"/>
  <c r="CP74" i="2" s="1"/>
  <c r="AC54" i="2"/>
  <c r="AC55" i="2" s="1"/>
  <c r="AC69" i="2" s="1"/>
  <c r="X65" i="2" l="1"/>
  <c r="X66" i="2" s="1"/>
  <c r="X74" i="2" s="1"/>
  <c r="X79" i="2"/>
  <c r="AG69" i="2"/>
  <c r="AC57" i="2"/>
  <c r="AC77" i="2"/>
  <c r="AC78" i="2"/>
  <c r="AC61" i="2" l="1"/>
  <c r="AC63" i="2" s="1"/>
  <c r="AC76" i="2"/>
  <c r="AC65" i="2" l="1"/>
  <c r="AC66" i="2" s="1"/>
  <c r="AC79" i="2"/>
  <c r="AG74" i="2" l="1"/>
  <c r="AC74" i="2"/>
  <c r="CQ21" i="2"/>
  <c r="CQ55" i="2"/>
  <c r="CQ57" i="2" s="1"/>
  <c r="AB54" i="2"/>
  <c r="AB55" i="2" s="1"/>
  <c r="AB57" i="2" s="1"/>
  <c r="AB76" i="2" l="1"/>
  <c r="AB61" i="2"/>
  <c r="AB63" i="2" s="1"/>
  <c r="AB65" i="2" s="1"/>
  <c r="AB66" i="2" s="1"/>
  <c r="AB78" i="2"/>
  <c r="CQ61" i="2"/>
  <c r="CQ63" i="2" s="1"/>
  <c r="CQ65" i="2" s="1"/>
  <c r="CQ66" i="2" s="1"/>
  <c r="CQ76" i="2"/>
  <c r="AF74" i="2"/>
  <c r="AB74" i="2"/>
  <c r="CQ69" i="2"/>
  <c r="CQ77" i="2"/>
  <c r="CR69" i="2"/>
  <c r="AB79" i="2"/>
  <c r="AB69" i="2"/>
  <c r="AF69" i="2"/>
  <c r="AB77" i="2"/>
  <c r="CQ74" i="2" l="1"/>
  <c r="CR7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Martin Shkreli</author>
  </authors>
  <commentList>
    <comment ref="G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G9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30-month stay expires 2010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</author>
    <author>Martin</author>
    <author>Martin Shkreli</author>
    <author>MSMB - Andre</author>
    <author>tc={C53B26C9-8602-47A2-80EC-A28651A52E20}</author>
    <author>tc={63959650-84D7-46CF-829F-FD9E350BCC20}</author>
    <author>tc={A9214E8B-BB63-4C5A-81B6-161440AC7FDE}</author>
    <author>tc={E60352B4-4A0D-4646-997E-29633AD2D222}</author>
    <author>tc={D23219C3-585B-4401-96E4-A54AA852CF63}</author>
    <author>tc={A2E464E0-CBDF-4ECE-9C4E-FC1B4BA053F8}</author>
    <author>tc={F1B0E7D4-F86C-4460-9BB2-30549C72BA4D}</author>
    <author>tc={27F9AA8E-4F00-4838-B3AE-5C359EA80361}</author>
    <author>tc={AFC9B85C-9AC1-4E0B-A0FD-4EC0747D6C85}</author>
    <author>tc={3630D8DA-CEAE-49F9-B57E-A7443096F4CE}</author>
    <author>tc={D7A857CD-B43A-4E52-BA69-3F839DE07274}</author>
    <author>Lane Nussbaum</author>
    <author>tc={00F4491F-C819-44C1-AC45-2ABA1B7BE593}</author>
    <author>tc={8874A794-CB8F-4280-B6A0-27B01371D863}</author>
    <author>Bloomberg</author>
  </authors>
  <commentList>
    <comment ref="Q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updated based on Q3 data</t>
        </r>
      </text>
    </comment>
    <comment ref="AE6" authorId="1" shapeId="0" xr:uid="{00000000-0006-0000-01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525m consensus</t>
        </r>
      </text>
    </comment>
    <comment ref="AE10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506m consensus</t>
        </r>
      </text>
    </comment>
    <comment ref="CW10" authorId="0" shapeId="0" xr:uid="{00000000-0006-0000-0100-00001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E11" authorId="1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266m consensus</t>
        </r>
      </text>
    </comment>
    <comment ref="O14" authorId="2" shapeId="0" xr:uid="{00000000-0006-0000-01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265.8m WW</t>
        </r>
      </text>
    </comment>
    <comment ref="AE14" authorId="1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432m consensus</t>
        </r>
      </text>
    </comment>
    <comment ref="AE20" authorId="1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203m consensus</t>
        </r>
      </text>
    </comment>
    <comment ref="N22" authorId="2" shapeId="0" xr:uid="{00000000-0006-0000-01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trx -7% yoy, -2% q/q</t>
        </r>
      </text>
    </comment>
    <comment ref="AA22" authorId="3" shapeId="0" xr:uid="{00000000-0006-0000-01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Citigroup 1230</t>
        </r>
      </text>
    </comment>
    <comment ref="AE22" authorId="1" shapeId="0" xr:uid="{00000000-0006-0000-01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1250 consensus</t>
        </r>
      </text>
    </comment>
    <comment ref="AH22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CN22" authorId="2" shapeId="0" xr:uid="{00000000-0006-0000-01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flattish guidance</t>
        </r>
      </text>
    </comment>
    <comment ref="CR22" authorId="1" shapeId="0" xr:uid="{00000000-0006-0000-01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October 2011 expiry</t>
        </r>
      </text>
    </comment>
    <comment ref="CS22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AE24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905 consensus</t>
        </r>
      </text>
    </comment>
    <comment ref="CQ24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3459 actual</t>
        </r>
      </text>
    </comment>
    <comment ref="CT24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Compound patent expires 2013. LLY has formulation patent until 2014</t>
        </r>
      </text>
    </comment>
    <comment ref="BR25" authorId="4" shapeId="0" xr:uid="{C53B26C9-8602-47A2-80EC-A28651A52E20}">
      <text>
        <t>[Threaded comment]
Your version of Excel allows you to read this threaded comment; however, any edits to it will get removed if the file is opened in a newer version of Excel. Learn more: https://go.microsoft.com/fwlink/?linkid=870924
Comment:
    359m as per 2021 10-K</t>
      </text>
    </comment>
    <comment ref="BV25" authorId="5" shapeId="0" xr:uid="{63959650-84D7-46CF-829F-FD9E350BCC20}">
      <text>
        <t>[Threaded comment]
Your version of Excel allows you to read this threaded comment; however, any edits to it will get removed if the file is opened in a newer version of Excel. Learn more: https://go.microsoft.com/fwlink/?linkid=870924
Comment:
    372.5m</t>
      </text>
    </comment>
    <comment ref="BT29" authorId="6" shapeId="0" xr:uid="{A9214E8B-BB63-4C5A-81B6-161440AC7FDE}">
      <text>
        <t>[Threaded comment]
Your version of Excel allows you to read this threaded comment; however, any edits to it will get removed if the file is opened in a newer version of Excel. Learn more: https://go.microsoft.com/fwlink/?linkid=870924
Comment:
    last quarter of Qbrexza</t>
      </text>
    </comment>
    <comment ref="AE32" authorId="1" shapeId="0" xr:uid="{00000000-0006-0000-01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136m consensus</t>
        </r>
      </text>
    </comment>
    <comment ref="CW32" authorId="0" shapeId="0" xr:uid="{00000000-0006-0000-0100-00001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IP expires</t>
        </r>
      </text>
    </comment>
    <comment ref="CO33" authorId="1" shapeId="0" xr:uid="{00000000-0006-0000-01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1039 actual</t>
        </r>
      </text>
    </comment>
    <comment ref="AE35" authorId="1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167m consensus</t>
        </r>
      </text>
    </comment>
    <comment ref="CQ35" authorId="0" shapeId="0" xr:uid="{00000000-0006-0000-0100-000019000000}">
      <text>
        <r>
          <rPr>
            <sz val="8"/>
            <color indexed="81"/>
            <rFont val="Tahoma"/>
            <family val="2"/>
          </rPr>
          <t>compound patent 2010. method of use covering treatment of neoplasms with Gemzar - 2012. Also have extra 6 months from FDA as a result of clinical studies performed inpediatric populations. LLY believes can extend until 2013</t>
        </r>
      </text>
    </comment>
    <comment ref="AE49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245m consensus</t>
        </r>
      </text>
    </comment>
    <comment ref="CS49" authorId="0" shapeId="0" xr:uid="{00000000-0006-0000-0100-00001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A number of patents LLY believes can extend until 2014</t>
        </r>
      </text>
    </comment>
    <comment ref="AE55" authorId="1" shapeId="0" xr:uid="{00000000-0006-0000-0100-00001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5700 consensus</t>
        </r>
      </text>
    </comment>
    <comment ref="BO55" authorId="7" shapeId="0" xr:uid="{E60352B4-4A0D-4646-997E-29633AD2D222}">
      <text>
        <t>[Threaded comment]
Your version of Excel allows you to read this threaded comment; however, any edits to it will get removed if the file is opened in a newer version of Excel. Learn more: https://go.microsoft.com/fwlink/?linkid=870924
Comment:
    5859.8m reported revenue</t>
      </text>
    </comment>
    <comment ref="BP55" authorId="8" shapeId="0" xr:uid="{D23219C3-585B-4401-96E4-A54AA852CF63}">
      <text>
        <t>[Threaded comment]
Your version of Excel allows you to read this threaded comment; however, any edits to it will get removed if the file is opened in a newer version of Excel. Learn more: https://go.microsoft.com/fwlink/?linkid=870924
Comment:
    5499.4m reported revenue</t>
      </text>
    </comment>
    <comment ref="BQ55" authorId="9" shapeId="0" xr:uid="{A2E464E0-CBDF-4ECE-9C4E-FC1B4BA053F8}">
      <text>
        <t>[Threaded comment]
Your version of Excel allows you to read this threaded comment; however, any edits to it will get removed if the file is opened in a newer version of Excel. Learn more: https://go.microsoft.com/fwlink/?linkid=870924
Comment:
    5740.6 reported revenue</t>
      </text>
    </comment>
    <comment ref="BR55" authorId="10" shapeId="0" xr:uid="{F1B0E7D4-F86C-4460-9BB2-30549C72BA4D}">
      <text>
        <t>[Threaded comment]
Your version of Excel allows you to read this threaded comment; however, any edits to it will get removed if the file is opened in a newer version of Excel. Learn more: https://go.microsoft.com/fwlink/?linkid=870924
Comment:
    7440.0 actual reported</t>
      </text>
    </comment>
    <comment ref="BS55" authorId="11" shapeId="0" xr:uid="{27F9AA8E-4F00-4838-B3AE-5C359EA80361}">
      <text>
        <t>[Threaded comment]
Your version of Excel allows you to read this threaded comment; however, any edits to it will get removed if the file is opened in a newer version of Excel. Learn more: https://go.microsoft.com/fwlink/?linkid=870924
Comment:
    6805.6 reported</t>
      </text>
    </comment>
    <comment ref="BT55" authorId="12" shapeId="0" xr:uid="{AFC9B85C-9AC1-4E0B-A0FD-4EC0747D6C85}">
      <text>
        <t>[Threaded comment]
Your version of Excel allows you to read this threaded comment; however, any edits to it will get removed if the file is opened in a newer version of Excel. Learn more: https://go.microsoft.com/fwlink/?linkid=870924
Comment:
    6740 reported revenue</t>
      </text>
    </comment>
    <comment ref="BU55" authorId="13" shapeId="0" xr:uid="{3630D8DA-CEAE-49F9-B57E-A7443096F4CE}">
      <text>
        <t>[Threaded comment]
Your version of Excel allows you to read this threaded comment; however, any edits to it will get removed if the file is opened in a newer version of Excel. Learn more: https://go.microsoft.com/fwlink/?linkid=870924
Comment:
    6772.8 reported revenue</t>
      </text>
    </comment>
    <comment ref="BV55" authorId="14" shapeId="0" xr:uid="{D7A857CD-B43A-4E52-BA69-3F839DE07274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reported 7999.9</t>
      </text>
    </comment>
    <comment ref="CM55" authorId="2" shapeId="0" xr:uid="{00000000-0006-0000-0100-00001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low end of 7-9% guidance</t>
        </r>
      </text>
    </comment>
    <comment ref="CN55" authorId="2" shapeId="0" xr:uid="{00000000-0006-0000-01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LDD guidance
(up from HSD/LDD)</t>
        </r>
      </text>
    </comment>
    <comment ref="CO55" authorId="15" shapeId="0" xr:uid="{00000000-0006-0000-0100-00001D000000}">
      <text>
        <r>
          <rPr>
            <sz val="8"/>
            <color indexed="81"/>
            <rFont val="Tahoma"/>
            <family val="2"/>
          </rPr>
          <t>20372 actual
M-HSD growth</t>
        </r>
      </text>
    </comment>
    <comment ref="CP55" authorId="1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21836 actual</t>
        </r>
      </text>
    </comment>
    <comment ref="CQ55" authorId="1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Japan 1.6bn - will double in the "next few years"</t>
        </r>
      </text>
    </comment>
    <comment ref="P61" authorId="0" shapeId="0" xr:uid="{00000000-0006-0000-0100-000020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not including 1 time $328.1M additional OPEX</t>
        </r>
      </text>
    </comment>
    <comment ref="Q61" authorId="0" shapeId="0" xr:uid="{00000000-0006-0000-0100-00002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excluding 1 time additional fee 81.3M for court settlement relating to Zyprexa.  3Q press release</t>
        </r>
      </text>
    </comment>
    <comment ref="N62" authorId="2" shapeId="0" xr:uid="{00000000-0006-0000-01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lly icos 50m</t>
        </r>
      </text>
    </comment>
    <comment ref="CN62" authorId="0" shapeId="0" xr:uid="{00000000-0006-0000-0100-000023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~100m guidance. Q3 data</t>
        </r>
      </text>
    </comment>
    <comment ref="CN64" authorId="0" shapeId="0" xr:uid="{00000000-0006-0000-0100-000024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O64" authorId="0" shapeId="0" xr:uid="{00000000-0006-0000-0100-000025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P64" authorId="0" shapeId="0" xr:uid="{00000000-0006-0000-0100-000026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CQ64" authorId="0" shapeId="0" xr:uid="{00000000-0006-0000-0100-000027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22% guidance. - Q3 data</t>
        </r>
      </text>
    </comment>
    <comment ref="BS65" authorId="16" shapeId="0" xr:uid="{00F4491F-C819-44C1-AC45-2ABA1B7BE59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1465.5</t>
      </text>
    </comment>
    <comment ref="BW65" authorId="17" shapeId="0" xr:uid="{8874A794-CB8F-4280-B6A0-27B01371D863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adjusted 2372.8</t>
      </text>
    </comment>
    <comment ref="M66" authorId="18" shapeId="0" xr:uid="{00000000-0006-0000-0100-00002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0.77-0.79 guidance</t>
        </r>
      </text>
    </comment>
    <comment ref="P66" authorId="2" shapeId="0" xr:uid="{00000000-0006-0000-0100-000029000000}">
      <text>
        <r>
          <rPr>
            <sz val="8"/>
            <color indexed="81"/>
            <rFont val="Tahoma"/>
            <family val="2"/>
          </rPr>
          <t>0.80-082 guidace</t>
        </r>
      </text>
    </comment>
    <comment ref="R66" authorId="18" shapeId="0" xr:uid="{00000000-0006-0000-0100-00002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0.87-0.91 guidance</t>
        </r>
      </text>
    </comment>
    <comment ref="AE66" authorId="1" shapeId="0" xr:uid="{00000000-0006-0000-0100-00002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1.16 consensus</t>
        </r>
      </text>
    </comment>
    <comment ref="CM66" authorId="2" shapeId="0" xr:uid="{00000000-0006-0000-0100-00002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3.10-3.20 guidance</t>
        </r>
      </text>
    </comment>
    <comment ref="CN66" authorId="2" shapeId="0" xr:uid="{00000000-0006-0000-0100-00002D000000}">
      <text>
        <r>
          <rPr>
            <b/>
            <sz val="8"/>
            <color indexed="81"/>
            <rFont val="Tahoma"/>
            <family val="2"/>
          </rPr>
          <t xml:space="preserve">Andre:
</t>
        </r>
        <r>
          <rPr>
            <sz val="8"/>
            <color indexed="81"/>
            <rFont val="Tahoma"/>
            <family val="2"/>
          </rPr>
          <t>3.50-3.55 guidance, was 3.30-3.40. - 3Q data</t>
        </r>
        <r>
          <rPr>
            <b/>
            <sz val="8"/>
            <color indexed="81"/>
            <rFont val="Tahoma"/>
            <family val="2"/>
          </rPr>
          <t xml:space="preserve">
Martin Shkreli:</t>
        </r>
        <r>
          <rPr>
            <sz val="8"/>
            <color indexed="81"/>
            <rFont val="Tahoma"/>
            <family val="2"/>
          </rPr>
          <t xml:space="preserve">
3.30-3.40 guidance, up from 3.25-3.35 (including 0.10 from ICOS)</t>
        </r>
      </text>
    </comment>
    <comment ref="CO66" authorId="15" shapeId="0" xr:uid="{00000000-0006-0000-0100-00002E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3.85-4.00 guided</t>
        </r>
      </text>
    </comment>
    <comment ref="CQ66" authorId="3" shapeId="0" xr:uid="{00000000-0006-0000-01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Q110: 4.40-4.55
Q409: 4.65-4.85
</t>
        </r>
      </text>
    </comment>
    <comment ref="CR66" authorId="1" shapeId="0" xr:uid="{00000000-0006-0000-0100-00003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1/27/11: 
4.15 - 4.30 guidance</t>
        </r>
      </text>
    </comment>
    <comment ref="CN76" authorId="0" shapeId="0" xr:uid="{00000000-0006-0000-0100-000031000000}">
      <text>
        <r>
          <rPr>
            <b/>
            <sz val="8"/>
            <color indexed="81"/>
            <rFont val="Tahoma"/>
            <family val="2"/>
          </rPr>
          <t>Andre:</t>
        </r>
        <r>
          <rPr>
            <sz val="8"/>
            <color indexed="81"/>
            <rFont val="Tahoma"/>
            <family val="2"/>
          </rPr>
          <t xml:space="preserve">
78% guidance. 3Q data</t>
        </r>
      </text>
    </comment>
  </commentList>
</comments>
</file>

<file path=xl/sharedStrings.xml><?xml version="1.0" encoding="utf-8"?>
<sst xmlns="http://schemas.openxmlformats.org/spreadsheetml/2006/main" count="705" uniqueCount="511">
  <si>
    <t>Name</t>
  </si>
  <si>
    <t>Indication</t>
  </si>
  <si>
    <t>Economics</t>
  </si>
  <si>
    <t>Competition</t>
  </si>
  <si>
    <t>IP</t>
  </si>
  <si>
    <t>Phase</t>
  </si>
  <si>
    <t>Main</t>
  </si>
  <si>
    <t>Zyprexa</t>
  </si>
  <si>
    <t>Work to maintain patient access at the state level--in 45 of 50 states without formulary restriction. FL, CA at risk.</t>
  </si>
  <si>
    <t>Growth has stagnated, working on tweaking the message (highlight MOA, more upfront about late onset of action)</t>
  </si>
  <si>
    <t>Pediatric growth has stagnated, larger opportunity is adult market where LLY is investing DTC $.</t>
  </si>
  <si>
    <t>EU launch in early 05 but EU is 10% of global mkt</t>
  </si>
  <si>
    <t>p3 studies in gastric and colorectal cancer to begin in 2005</t>
  </si>
  <si>
    <t>Schizophrenia, Bipolar Disorder</t>
  </si>
  <si>
    <t>Cymbalta</t>
  </si>
  <si>
    <t>Strattera</t>
  </si>
  <si>
    <t>Forteo</t>
  </si>
  <si>
    <t>Evista</t>
  </si>
  <si>
    <t>Cialis</t>
  </si>
  <si>
    <t>Alimta</t>
  </si>
  <si>
    <t>recently announced lt-data continued positive data at 82 weeks</t>
  </si>
  <si>
    <t>positive data on restoration of First-Phase insulin response (unclear whether this can get added to the label)</t>
  </si>
  <si>
    <t>current pen device to deliver either 5mg or 10mg twice a day for 30 months --figure out how painful/large this pen device is.</t>
  </si>
  <si>
    <t>Zyprexa Depot</t>
  </si>
  <si>
    <t>result from p2 cross-over study at ACC in March 2005</t>
  </si>
  <si>
    <t>Survivin ASO</t>
  </si>
  <si>
    <t>Expect submission by end of decade</t>
  </si>
  <si>
    <t>enrollment faster than expected</t>
  </si>
  <si>
    <t>competes with Evista breast cancer trial</t>
  </si>
  <si>
    <t>Double-digit growth in ex-US Zyprexa sales as penetration of atypicals increases.</t>
  </si>
  <si>
    <t>40-60% of schizo patients only 20-40% of bipolar in EU</t>
  </si>
  <si>
    <t>8mm adults affected by ADD, 80-90% undiagnosed</t>
  </si>
  <si>
    <t>Just 25-30% of scripts written for adults.</t>
  </si>
  <si>
    <t>Alimta to replace Taxotere in 2nd line NSCLC</t>
  </si>
  <si>
    <t>More convenient administration and better tolerability (less neutropenia), medicare pricing helps too</t>
  </si>
  <si>
    <t>Manufacturing straightford, product is just an amino acid sequence and not a biologic. Efficacy achieved with microgram dosing</t>
  </si>
  <si>
    <t>Type 2 Diabetes</t>
  </si>
  <si>
    <t>Depression</t>
  </si>
  <si>
    <t>ADHD</t>
  </si>
  <si>
    <t>SUI</t>
  </si>
  <si>
    <t>ED</t>
  </si>
  <si>
    <t>Symbyax</t>
  </si>
  <si>
    <t>no monitoring required</t>
  </si>
  <si>
    <t>2 cases out of 2m, but probably underreported</t>
  </si>
  <si>
    <t>Relabeled for liver toxicity--bolded warning (2nd highest warning level)</t>
  </si>
  <si>
    <t>UBS</t>
  </si>
  <si>
    <t>n=459, primary endpoint is DFS</t>
  </si>
  <si>
    <t>III</t>
  </si>
  <si>
    <t>Generic Name</t>
  </si>
  <si>
    <t>enzastaurin</t>
  </si>
  <si>
    <t>Brand Name</t>
  </si>
  <si>
    <t>Mechanism</t>
  </si>
  <si>
    <t>serine-threonine kinase inhibitor; PKC-beta, PI3K/AKT</t>
  </si>
  <si>
    <t>GBM phase 3 - STEERING - randomized open-label enza vs lomustine. N=397, OS and PFS primary endpoints</t>
  </si>
  <si>
    <t>Humalog</t>
  </si>
  <si>
    <t>Gemzar</t>
  </si>
  <si>
    <t>EPS</t>
  </si>
  <si>
    <t>Humulin</t>
  </si>
  <si>
    <t>COGS</t>
  </si>
  <si>
    <t>SG&amp;A</t>
  </si>
  <si>
    <t>R&amp;D</t>
  </si>
  <si>
    <t>Prozac</t>
  </si>
  <si>
    <t>Other CNS</t>
  </si>
  <si>
    <t>Ceclor</t>
  </si>
  <si>
    <t>Lorabid</t>
  </si>
  <si>
    <t>Keflex/Keftab</t>
  </si>
  <si>
    <t>Vancocin</t>
  </si>
  <si>
    <t>Other Infective</t>
  </si>
  <si>
    <t>Actos</t>
  </si>
  <si>
    <t>Humatrope</t>
  </si>
  <si>
    <t>Byetta</t>
  </si>
  <si>
    <t>Dobutrex</t>
  </si>
  <si>
    <t>ReoPro</t>
  </si>
  <si>
    <t>Cynt</t>
  </si>
  <si>
    <t>Xigris</t>
  </si>
  <si>
    <t>Prasugrel</t>
  </si>
  <si>
    <t>Other Cardio</t>
  </si>
  <si>
    <t>Other Oncology</t>
  </si>
  <si>
    <t>Other</t>
  </si>
  <si>
    <t>Animal</t>
  </si>
  <si>
    <t>Other Endo</t>
  </si>
  <si>
    <t>Pretax</t>
  </si>
  <si>
    <t>Taxes</t>
  </si>
  <si>
    <t>Net</t>
  </si>
  <si>
    <t>Shares</t>
  </si>
  <si>
    <t>olanzapine</t>
  </si>
  <si>
    <t>paliperidone ER, bifeprunox, Seroquel</t>
  </si>
  <si>
    <t>Schizophrenia, Bipolar Disorder. Best used in unstable schizophrenia, high-risk/mixed-bipolar patients, acute schizophrenia and bipolar</t>
  </si>
  <si>
    <t>Successfully litigated</t>
  </si>
  <si>
    <t>SPD465</t>
  </si>
  <si>
    <t>Platelet inhibitor</t>
  </si>
  <si>
    <t>Timeline</t>
  </si>
  <si>
    <t>Clinical Trials</t>
  </si>
  <si>
    <t>ACS</t>
  </si>
  <si>
    <t>JUMBO Phase II</t>
  </si>
  <si>
    <t>n=900 presented at ESC 2004 showed non-inferiority to Plavix</t>
  </si>
  <si>
    <t>Q306</t>
  </si>
  <si>
    <t>Q206</t>
  </si>
  <si>
    <t>Q406</t>
  </si>
  <si>
    <t>Q405</t>
  </si>
  <si>
    <t>Q106</t>
  </si>
  <si>
    <t>Plavix</t>
  </si>
  <si>
    <t xml:space="preserve">  Subset analysis of patients on 40mg loading dose with 7.5mg maintenance, 60/10mg or 60/15mg.</t>
  </si>
  <si>
    <t>at 10mg/day maintenance two patients exhibited complete inhibition of collagen-induced platelet aggregation</t>
  </si>
  <si>
    <t xml:space="preserve">  Investigator expects bleeds and mortality to be higher for Prasugrel in TRITON.</t>
  </si>
  <si>
    <t>II</t>
  </si>
  <si>
    <t>Atypical</t>
  </si>
  <si>
    <t>SNRI</t>
  </si>
  <si>
    <t>PDE5</t>
  </si>
  <si>
    <t>PE is composite 30-day MACE. Study ends after 875 events and 6 months past last patient enrolled. Event rate has been lower than expected.</t>
  </si>
  <si>
    <t>SERM</t>
  </si>
  <si>
    <t>Osteoporosis</t>
  </si>
  <si>
    <t>arzoxifene</t>
  </si>
  <si>
    <t>GENERATIONS</t>
  </si>
  <si>
    <t>n=9300</t>
  </si>
  <si>
    <t>Prevention of osteoporosis and breast cancer</t>
  </si>
  <si>
    <t>Cancer</t>
  </si>
  <si>
    <t>Insulin</t>
  </si>
  <si>
    <t>GLP-1</t>
  </si>
  <si>
    <t>I</t>
  </si>
  <si>
    <t>Alzheimer's</t>
  </si>
  <si>
    <t>NHL</t>
  </si>
  <si>
    <t>DMC recommends STEERING be halted. Development for GBM stopped.</t>
  </si>
  <si>
    <t>Gross Margin</t>
  </si>
  <si>
    <t>Q305</t>
  </si>
  <si>
    <t>Q205</t>
  </si>
  <si>
    <t>Q105</t>
  </si>
  <si>
    <t>Q404</t>
  </si>
  <si>
    <t>Q107</t>
  </si>
  <si>
    <t>US/UK 50-50 with royalty to Daiichi Sankyo in other territories</t>
  </si>
  <si>
    <t>Docs think 10-15% improvement for Prasugrel with better PK.</t>
  </si>
  <si>
    <t>Commentary</t>
  </si>
  <si>
    <t>"Cost is a big issue".</t>
  </si>
  <si>
    <t>PPAR</t>
  </si>
  <si>
    <t>LY518674</t>
  </si>
  <si>
    <t>Gemcitabine</t>
  </si>
  <si>
    <t>Clinical Studies</t>
  </si>
  <si>
    <t>Administration</t>
  </si>
  <si>
    <t>5-FU</t>
  </si>
  <si>
    <t>Stage IV</t>
  </si>
  <si>
    <t>Median Overall Survival</t>
  </si>
  <si>
    <t>Clinical Benefit Response</t>
  </si>
  <si>
    <t>6-month probability</t>
  </si>
  <si>
    <t>9-month probability</t>
  </si>
  <si>
    <t>1-year probability</t>
  </si>
  <si>
    <t>95% CI of the median</t>
  </si>
  <si>
    <t>Median TTP</t>
  </si>
  <si>
    <t>95% CI</t>
  </si>
  <si>
    <t>p-value</t>
  </si>
  <si>
    <t>5.7 months</t>
  </si>
  <si>
    <t>4.7 to 6.9</t>
  </si>
  <si>
    <t>4.2 months</t>
  </si>
  <si>
    <t>3.1 to 5.1</t>
  </si>
  <si>
    <t>2.1 months</t>
  </si>
  <si>
    <t>.9 months</t>
  </si>
  <si>
    <t>1.9 to 3.4</t>
  </si>
  <si>
    <t>.9 to 1.1</t>
  </si>
  <si>
    <t>Patients</t>
  </si>
  <si>
    <t>Pancreatic Cancer, Gemcitabine vs. 5-FU, n=126</t>
  </si>
  <si>
    <t>Insomnia</t>
  </si>
  <si>
    <t>5-HT2A ant.</t>
  </si>
  <si>
    <t>LY2422347</t>
  </si>
  <si>
    <t xml:space="preserve">  SNY R&amp;D Head notes favorable prasugrel design: lower Plavix loading dose, randomization 3 hours ahead of PCI vs 6 hours (optimal).</t>
  </si>
  <si>
    <t>1.7% bleeding vs 1.2% with Plavix but no risks of major bleeds.</t>
  </si>
  <si>
    <t>Q207</t>
  </si>
  <si>
    <t>Rx</t>
  </si>
  <si>
    <t>TRx</t>
  </si>
  <si>
    <t>NRx</t>
  </si>
  <si>
    <t>Thienopyridine class of ADP receptor inhibitors (on P2Y12 receptor), like ticlopidine and clopidogrel.</t>
  </si>
  <si>
    <t>Develop drug as superior to Plavix regardless of Plavix IP</t>
  </si>
  <si>
    <t xml:space="preserve">  Plavix is metabolized slowly, so giving it at 3 hours puts it at a disadvantage. Prasugrel works within 30 minutes.</t>
  </si>
  <si>
    <t xml:space="preserve">  300mg loading dose for Plavix is suboptimal as many physicians use 600mg. Label indicates 300mg.</t>
  </si>
  <si>
    <t xml:space="preserve">  Mechanism may suggest that prasugrel avoids the 30% non-responder rate seen with Plavix.</t>
  </si>
  <si>
    <t>Price</t>
  </si>
  <si>
    <t>MC</t>
  </si>
  <si>
    <t>Cash</t>
  </si>
  <si>
    <t>Debt</t>
  </si>
  <si>
    <t>EV</t>
  </si>
  <si>
    <t xml:space="preserve">    9.4% MACE for Plavix, 7.2% MACE for prasugrel, p=0.30. MACE % at 30 days.</t>
  </si>
  <si>
    <t>LY2062430</t>
  </si>
  <si>
    <t>A-B antibody</t>
  </si>
  <si>
    <t xml:space="preserve">  Prasugrel is a prodrug like Plavix, but only requires one step versus two for Plavix.</t>
  </si>
  <si>
    <t>Enrollment criteria different from JUMBO. TRITON includes only UA/NSTEMI with TIMI&gt;3. JUMBO TIMI mean was 2-2.5.</t>
  </si>
  <si>
    <t>700-800 sites, started enrolling Nov 1st 2005, finished enrolling Jan 2007. Study completes July 2007. 12 month followup.</t>
  </si>
  <si>
    <t>LY2140023</t>
  </si>
  <si>
    <t>TIMI-38 (TRITON) study, n=13614, head-to-head vs. Plavix in ACS undergoing PCI - Results November 4 expectation</t>
  </si>
  <si>
    <t>Q307</t>
  </si>
  <si>
    <t>Q407</t>
  </si>
  <si>
    <t>Net Cash</t>
  </si>
  <si>
    <t>LY2599506</t>
  </si>
  <si>
    <t>GKA</t>
  </si>
  <si>
    <t>OSIP</t>
  </si>
  <si>
    <t>Antisense</t>
  </si>
  <si>
    <t>ISIS</t>
  </si>
  <si>
    <t>NRI</t>
  </si>
  <si>
    <t>Pain</t>
  </si>
  <si>
    <t>TRPV1</t>
  </si>
  <si>
    <t>Effient, fka CS-747</t>
  </si>
  <si>
    <t>Q108</t>
  </si>
  <si>
    <t>Q208</t>
  </si>
  <si>
    <t>Q308</t>
  </si>
  <si>
    <t>Q408</t>
  </si>
  <si>
    <t>Q304</t>
  </si>
  <si>
    <t>Q204</t>
  </si>
  <si>
    <t>Q104</t>
  </si>
  <si>
    <t>GRC 6211</t>
  </si>
  <si>
    <t>Glenmark</t>
  </si>
  <si>
    <t>Tax Rate</t>
  </si>
  <si>
    <t>Non-Approvable</t>
  </si>
  <si>
    <t>Filed</t>
  </si>
  <si>
    <t>Schizophrenia</t>
  </si>
  <si>
    <t>Acts on mGlu2/3 protein in the brain</t>
  </si>
  <si>
    <t>PANSS versus placebo: -20.8 for LY2140023 and -26.7 for Zyprexa.</t>
  </si>
  <si>
    <t>Phase II vs Zyprexa vs placebo n=196</t>
  </si>
  <si>
    <t>Response rate 32.0% for LY2140023 and 41.2% for placebo.</t>
  </si>
  <si>
    <t>Sept 2007 - Jan 2009</t>
  </si>
  <si>
    <t>4 weeks</t>
  </si>
  <si>
    <t>160mg, 2x80mg per day</t>
  </si>
  <si>
    <t>Phase III Maintenance vs BSC in 1L NSCLC - ASCO #8011 2008</t>
  </si>
  <si>
    <t>n=663 50% adeno, 27% squamous. All had induction chemo, 49% had CR/PR.</t>
  </si>
  <si>
    <t xml:space="preserve">  4.3m PFS vs 2.6m PFS. 13mo OS vs 10.2m OS.</t>
  </si>
  <si>
    <t>Lower dose (5mg) studies to begin?</t>
  </si>
  <si>
    <t>Potential at-risk launch by TEVA in 2008? 11/2010 PDUFA date.</t>
  </si>
  <si>
    <t>exenatide</t>
  </si>
  <si>
    <t>Profit-share with Amylin. Ex-US royalties to Amylin.</t>
  </si>
  <si>
    <t>Phase III LAR formulation n=300</t>
  </si>
  <si>
    <t>LLY maintains this trial is enough to garner approval--LLY comments to Cowen 2008</t>
  </si>
  <si>
    <t>Insulin (+ does not require glucose monitoring and provides weight loss)</t>
  </si>
  <si>
    <t>Manufacturing</t>
  </si>
  <si>
    <t>Potential seizures, LLY is conducting monkey tox studies to determine if Phase III is warranted.</t>
  </si>
  <si>
    <t>pemetrexed</t>
  </si>
  <si>
    <t>Data to be presented at AHA 2007/ACC 2008.</t>
  </si>
  <si>
    <t>Results: Lowered stent thrombosis by 52%. Lowered primary endpoint 19% vs Plavix.</t>
  </si>
  <si>
    <t>Effexor</t>
  </si>
  <si>
    <t>Phase II Osteoarthritis 13-week study - EULAR 2008</t>
  </si>
  <si>
    <t>59% experienced 30% pain reduction vs 45% for placebo.</t>
  </si>
  <si>
    <t>Formerly with ELN?</t>
  </si>
  <si>
    <t>Phase II biomarker data - July 2008 data</t>
  </si>
  <si>
    <t>Phase III</t>
  </si>
  <si>
    <t>Humanized antibody to beta amyloid.</t>
  </si>
  <si>
    <t>LY2127399</t>
  </si>
  <si>
    <t>Rheumatoid Arthritis</t>
  </si>
  <si>
    <t xml:space="preserve">  Recurrent event sub-analysis and ESC 2008 data are forthcoming. 52% reduction in stent-thrombosis.</t>
  </si>
  <si>
    <t>Dis</t>
  </si>
  <si>
    <t>Mat</t>
  </si>
  <si>
    <t>NPV</t>
  </si>
  <si>
    <t>Q109</t>
  </si>
  <si>
    <t>Q209</t>
  </si>
  <si>
    <t>Q309</t>
  </si>
  <si>
    <t>Q409</t>
  </si>
  <si>
    <t>Study completes in Mid 2007? Data likely to be released in late 2007. (delayed from late 2006). MAA approved 4/09.</t>
  </si>
  <si>
    <t>Royalties</t>
  </si>
  <si>
    <t>Operating Expenses</t>
  </si>
  <si>
    <t>Operating Income</t>
  </si>
  <si>
    <t>Phase III "CRA8000" Maintenance NSCLC study - ASCO 2009</t>
  </si>
  <si>
    <t>Pemetrexed 13.4 months vs 10.6 for placebo. Squamous had negative outcome.</t>
  </si>
  <si>
    <t>http://meeting.ascopubs.org/cgi/content/short/27/18S/CRA8000</t>
  </si>
  <si>
    <t>4/25/2008 Paragraph IV was filed. Teva was sued 6/10/2008. Trial date 11/8/2010, 30-month stay expires 10/24/2010. 5,344,932 composition of matter.</t>
  </si>
  <si>
    <t>Erbitux</t>
  </si>
  <si>
    <t>LY2062430 (solanezumab)</t>
  </si>
  <si>
    <t>Q110</t>
  </si>
  <si>
    <t>Q210</t>
  </si>
  <si>
    <t>Q310</t>
  </si>
  <si>
    <t>Q410</t>
  </si>
  <si>
    <t>Effient</t>
  </si>
  <si>
    <t>$5.36/day.</t>
  </si>
  <si>
    <t>Market</t>
  </si>
  <si>
    <t>Share</t>
  </si>
  <si>
    <t>Statin</t>
  </si>
  <si>
    <t>Kowa</t>
  </si>
  <si>
    <t>JAK1/2</t>
  </si>
  <si>
    <t>INCY</t>
  </si>
  <si>
    <t>ROIC</t>
  </si>
  <si>
    <t>Q111</t>
  </si>
  <si>
    <t>Q211</t>
  </si>
  <si>
    <t>Q311</t>
  </si>
  <si>
    <t>Q411</t>
  </si>
  <si>
    <t>DPP4</t>
  </si>
  <si>
    <t>BI</t>
  </si>
  <si>
    <t>BI10773</t>
  </si>
  <si>
    <t>liprotamase</t>
  </si>
  <si>
    <t>Axiron</t>
  </si>
  <si>
    <t>Shionogi in Japan, BI was co-promoting ex-US but stopped in 2010.</t>
  </si>
  <si>
    <t>SGLT2</t>
  </si>
  <si>
    <t>Pancreatic Enzyme Replacement</t>
  </si>
  <si>
    <t>ERT</t>
  </si>
  <si>
    <t>100%?</t>
  </si>
  <si>
    <t>CRL</t>
  </si>
  <si>
    <t>A/R</t>
  </si>
  <si>
    <t>Other Receivables</t>
  </si>
  <si>
    <t>Inventories</t>
  </si>
  <si>
    <t>Prepaid Taxes</t>
  </si>
  <si>
    <t>Prepaid Expenses</t>
  </si>
  <si>
    <t>Goodwill</t>
  </si>
  <si>
    <t>Sundry</t>
  </si>
  <si>
    <t>PP&amp;E</t>
  </si>
  <si>
    <t>Assets</t>
  </si>
  <si>
    <t>A/P</t>
  </si>
  <si>
    <t>Employees Comp</t>
  </si>
  <si>
    <t>Sales Rebates</t>
  </si>
  <si>
    <t>Dividends</t>
  </si>
  <si>
    <t>OCL</t>
  </si>
  <si>
    <t>Retirement</t>
  </si>
  <si>
    <t>ONCL</t>
  </si>
  <si>
    <t>S/E</t>
  </si>
  <si>
    <t>L+S/E</t>
  </si>
  <si>
    <t>CFFO</t>
  </si>
  <si>
    <t>Phase III "PRELUDE" trial in maintenance/prevention of relapse diffuse large-b-cell lymphoma (DLBCL)</t>
  </si>
  <si>
    <t>Gastric Cancer</t>
  </si>
  <si>
    <t>Antibody</t>
  </si>
  <si>
    <t>LY2090314</t>
  </si>
  <si>
    <t>GSK3B</t>
  </si>
  <si>
    <t>AML</t>
  </si>
  <si>
    <t>LY2157299</t>
  </si>
  <si>
    <t>TGF-BR kinase</t>
  </si>
  <si>
    <t>HCC</t>
  </si>
  <si>
    <t>Tradjenta (linagliptin)</t>
  </si>
  <si>
    <t>Q112</t>
  </si>
  <si>
    <t>Q212</t>
  </si>
  <si>
    <t>Q312</t>
  </si>
  <si>
    <t>Q412</t>
  </si>
  <si>
    <t>Q113</t>
  </si>
  <si>
    <t>Q213</t>
  </si>
  <si>
    <t>Q313</t>
  </si>
  <si>
    <t>Q413</t>
  </si>
  <si>
    <t>pomaglumetad methionil</t>
  </si>
  <si>
    <t>edivoxetine</t>
  </si>
  <si>
    <t>evacetrapib</t>
  </si>
  <si>
    <t>CETP</t>
  </si>
  <si>
    <t>Dyslipidemia</t>
  </si>
  <si>
    <t>13.9% hit the primary endpoint of death, CV, MI, etc in prasugrel versus 16.0% in Plavix, HR=0.91, p=0.21.</t>
  </si>
  <si>
    <t>Bleeding similar.</t>
  </si>
  <si>
    <t>Phase III TRILOGY n=7243 unstable angina or MI without ST elevation who did not undergo revascularization</t>
  </si>
  <si>
    <t>Q214</t>
  </si>
  <si>
    <t>Q122</t>
  </si>
  <si>
    <t>Q114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</si>
  <si>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</si>
  <si>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</si>
  <si>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</si>
  <si>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</si>
  <si>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</si>
  <si>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</si>
  <si>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</si>
  <si>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</si>
  <si>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</si>
  <si>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</si>
  <si>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</si>
  <si>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</si>
  <si>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</si>
  <si>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</si>
  <si>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</si>
  <si>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</si>
  <si>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</si>
  <si>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</si>
  <si>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</si>
  <si>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</si>
  <si>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</si>
  <si>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</si>
  <si>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</si>
  <si>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</si>
  <si>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</si>
  <si>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</si>
  <si>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</si>
  <si>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</si>
  <si>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</si>
  <si>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</si>
  <si>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</si>
  <si>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</si>
  <si>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</si>
  <si>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Trulicity</t>
  </si>
  <si>
    <t>Basaglar</t>
  </si>
  <si>
    <t>Other Diabetes</t>
  </si>
  <si>
    <t>Jardiance</t>
  </si>
  <si>
    <t>Verzenio</t>
  </si>
  <si>
    <t>Cyramza</t>
  </si>
  <si>
    <t>Tyvyt</t>
  </si>
  <si>
    <t>Taltz</t>
  </si>
  <si>
    <t>Olumiant</t>
  </si>
  <si>
    <t>Other Immunology</t>
  </si>
  <si>
    <t>Emgality</t>
  </si>
  <si>
    <t>COVID-19 mabs</t>
  </si>
  <si>
    <t>Retevmo</t>
  </si>
  <si>
    <t>Trulicity y/y</t>
  </si>
  <si>
    <t>Revenue</t>
  </si>
  <si>
    <t>Revenue y/y</t>
  </si>
  <si>
    <t>Q123</t>
  </si>
  <si>
    <t>Q223</t>
  </si>
  <si>
    <t>Q323</t>
  </si>
  <si>
    <t>Q423</t>
  </si>
  <si>
    <t>DT</t>
  </si>
  <si>
    <t>ONCA</t>
  </si>
  <si>
    <t>Model NI</t>
  </si>
  <si>
    <t>Reported NI</t>
  </si>
  <si>
    <t>D&amp;A</t>
  </si>
  <si>
    <t>SBC</t>
  </si>
  <si>
    <t>Investments</t>
  </si>
  <si>
    <t>IPR&amp;D</t>
  </si>
  <si>
    <t>WC</t>
  </si>
  <si>
    <t>CapEx</t>
  </si>
  <si>
    <t>Acquisitions/IPRD</t>
  </si>
  <si>
    <t>CFFI</t>
  </si>
  <si>
    <t>CFFF</t>
  </si>
  <si>
    <t>Buyback</t>
  </si>
  <si>
    <t>Borrowings</t>
  </si>
  <si>
    <t>FX</t>
  </si>
  <si>
    <t>CIC</t>
  </si>
  <si>
    <t>Brand</t>
  </si>
  <si>
    <t>Generic</t>
  </si>
  <si>
    <t>duloxetine</t>
  </si>
  <si>
    <t>MOA</t>
  </si>
  <si>
    <t>Depression, Back Pain</t>
  </si>
  <si>
    <t>Livalo</t>
  </si>
  <si>
    <t>pitavastatin</t>
  </si>
  <si>
    <t>Hypercholesterolemia</t>
  </si>
  <si>
    <t>atomoxetine</t>
  </si>
  <si>
    <t>Schizophrenia, Bipolar</t>
  </si>
  <si>
    <t>D2 antagonist</t>
  </si>
  <si>
    <t>Insulin Analog</t>
  </si>
  <si>
    <t>Bipolar</t>
  </si>
  <si>
    <t>(2004-2007): 70, 54, 56, 50m</t>
  </si>
  <si>
    <t>Yentreve</t>
  </si>
  <si>
    <t>(2004-2007): 4, 18, 25, 50m</t>
  </si>
  <si>
    <t>Permax</t>
  </si>
  <si>
    <t>(2002-2007): 152, 165, 154, 117, 91, 87m</t>
  </si>
  <si>
    <t>Jardiance (empagliflozin)</t>
  </si>
  <si>
    <t>Taltz (ixekizumab)</t>
  </si>
  <si>
    <t>Ruboxistaurin</t>
  </si>
  <si>
    <t>Inhaled Insulin</t>
  </si>
  <si>
    <t>Naveglitazar</t>
  </si>
  <si>
    <t>teplizumab</t>
  </si>
  <si>
    <t>Factor Xa</t>
  </si>
  <si>
    <t>ASAP</t>
  </si>
  <si>
    <t>LY2624803</t>
  </si>
  <si>
    <t>tasisulam</t>
  </si>
  <si>
    <t>pomaglumetad</t>
  </si>
  <si>
    <t>Gamma Secretase</t>
  </si>
  <si>
    <t>LY450139</t>
  </si>
  <si>
    <t>Cyramza (ramucirumab)</t>
  </si>
  <si>
    <t>VEGFR2 mab</t>
  </si>
  <si>
    <t>prasugrel</t>
  </si>
  <si>
    <t>4568 JP</t>
  </si>
  <si>
    <t>gemcitibine</t>
  </si>
  <si>
    <t>Innovent</t>
  </si>
  <si>
    <t>Olumiant (baricitinib)</t>
  </si>
  <si>
    <t>Olumiant, fka INCB28050</t>
  </si>
  <si>
    <t>baricitinib</t>
  </si>
  <si>
    <t>IL-17 mab</t>
  </si>
  <si>
    <t>Taltz, fka LY2439821</t>
  </si>
  <si>
    <t>ixekizumab</t>
  </si>
  <si>
    <t>Psoriasis</t>
  </si>
  <si>
    <t>Approved</t>
  </si>
  <si>
    <t>PD-1</t>
  </si>
  <si>
    <t>bebtelovimab</t>
  </si>
  <si>
    <t>bamlanivimab/etesevimab</t>
  </si>
  <si>
    <t>COVID-19</t>
  </si>
  <si>
    <t>Oncology</t>
  </si>
  <si>
    <t>Breast Cancer</t>
  </si>
  <si>
    <t>Migraine</t>
  </si>
  <si>
    <t>Baqsimi</t>
  </si>
  <si>
    <t>Reyvow</t>
  </si>
  <si>
    <t>PKC kinase</t>
  </si>
  <si>
    <t>tirzepatide</t>
  </si>
  <si>
    <t>GLP-1/Glucagon</t>
  </si>
  <si>
    <t>CEO: David Ricks</t>
  </si>
  <si>
    <t>CFO: Anat Ashkenazi</t>
  </si>
  <si>
    <t>R&amp;D: Daniel Skovronsky</t>
  </si>
  <si>
    <t>CDK</t>
  </si>
  <si>
    <t>CGRP</t>
  </si>
  <si>
    <t>dulaglutide</t>
  </si>
  <si>
    <t>Trulicity, fka LY2189265</t>
  </si>
  <si>
    <t>tabalumab</t>
  </si>
  <si>
    <t xml:space="preserve">SLE, RA, Multiple Myeloma, RRMS, </t>
  </si>
  <si>
    <t>BAFF mab</t>
  </si>
  <si>
    <t>lebrikizumab</t>
  </si>
  <si>
    <t>Atopic Dermatitis</t>
  </si>
  <si>
    <t>Humalog (insulin lispro)</t>
  </si>
  <si>
    <t>Basaglar (insulin glargine)</t>
  </si>
  <si>
    <t>glucagon</t>
  </si>
  <si>
    <t>Baqsimi (glucagon)</t>
  </si>
  <si>
    <t>Hypoglycemia</t>
  </si>
  <si>
    <t>gemcitabine</t>
  </si>
  <si>
    <t>Admin</t>
  </si>
  <si>
    <t>oral</t>
  </si>
  <si>
    <t>insulin peglispro</t>
  </si>
  <si>
    <t>Abandoned</t>
  </si>
  <si>
    <t>Basaglar, fka LY2963016</t>
  </si>
  <si>
    <t>insulin glargine</t>
  </si>
  <si>
    <t>mirikizumab</t>
  </si>
  <si>
    <t>Crohn's, UC</t>
  </si>
  <si>
    <t>donanemab</t>
  </si>
  <si>
    <t>solanezumab</t>
  </si>
  <si>
    <t>a-beta mab</t>
  </si>
  <si>
    <t>Retevmo (selpercatinib)</t>
  </si>
  <si>
    <t>Tyvyt (sintilimab)</t>
  </si>
  <si>
    <t>LOXO-305 (pirtobrutinib)</t>
  </si>
  <si>
    <t>MCL, CLL</t>
  </si>
  <si>
    <t>BTK inhibitor</t>
  </si>
  <si>
    <t>Imlunestrant</t>
  </si>
  <si>
    <t>mBC</t>
  </si>
  <si>
    <t>Verzenio (abemaciclib)</t>
  </si>
  <si>
    <t>Taltz y/y</t>
  </si>
  <si>
    <t>Verzenio y/y</t>
  </si>
  <si>
    <t>Jardiance y/y</t>
  </si>
  <si>
    <t>Trajenta</t>
  </si>
  <si>
    <t>Headcount</t>
  </si>
  <si>
    <t>x</t>
  </si>
  <si>
    <t>Glucagon</t>
  </si>
  <si>
    <t>Qbrexza</t>
  </si>
  <si>
    <t>Disposition</t>
  </si>
  <si>
    <t>Divested</t>
  </si>
  <si>
    <t>lasmiditan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</si>
</sst>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1" fillId="0" borderId="0" xfId="1" applyAlignment="1" applyProtection="1"/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5" fillId="2" borderId="0" xfId="0" applyFont="1" applyFill="1"/>
    <xf numFmtId="3" fontId="0" fillId="2" borderId="0" xfId="0" applyNumberFormat="1" applyFill="1" applyAlignment="1">
      <alignment horizontal="center"/>
    </xf>
    <xf numFmtId="3" fontId="0" fillId="2" borderId="0" xfId="0" applyNumberFormat="1" applyFill="1"/>
    <xf numFmtId="0" fontId="3" fillId="2" borderId="0" xfId="0" applyFont="1" applyFill="1"/>
    <xf numFmtId="0" fontId="5" fillId="0" borderId="0" xfId="0" applyFont="1"/>
    <xf numFmtId="0" fontId="4" fillId="2" borderId="0" xfId="0" applyFont="1" applyFill="1"/>
    <xf numFmtId="0" fontId="0" fillId="2" borderId="9" xfId="0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/>
    <xf numFmtId="0" fontId="0" fillId="2" borderId="9" xfId="0" applyFill="1" applyBorder="1"/>
    <xf numFmtId="0" fontId="0" fillId="2" borderId="11" xfId="0" applyFill="1" applyBorder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0" fillId="2" borderId="0" xfId="0" applyFill="1" applyAlignment="1">
      <alignment horizontal="right"/>
    </xf>
    <xf numFmtId="0" fontId="8" fillId="2" borderId="0" xfId="0" applyFont="1" applyFill="1"/>
    <xf numFmtId="0" fontId="9" fillId="2" borderId="0" xfId="0" applyFont="1" applyFill="1"/>
    <xf numFmtId="3" fontId="0" fillId="2" borderId="0" xfId="0" applyNumberFormat="1" applyFill="1" applyAlignment="1">
      <alignment horizontal="right"/>
    </xf>
    <xf numFmtId="0" fontId="4" fillId="2" borderId="4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right"/>
    </xf>
    <xf numFmtId="14" fontId="4" fillId="2" borderId="0" xfId="0" applyNumberFormat="1" applyFont="1" applyFill="1"/>
    <xf numFmtId="14" fontId="0" fillId="2" borderId="0" xfId="0" applyNumberFormat="1" applyFill="1" applyAlignment="1">
      <alignment horizontal="right"/>
    </xf>
    <xf numFmtId="0" fontId="4" fillId="2" borderId="5" xfId="0" applyFont="1" applyFill="1" applyBorder="1" applyAlignment="1">
      <alignment horizontal="center"/>
    </xf>
    <xf numFmtId="0" fontId="1" fillId="2" borderId="6" xfId="1" applyFill="1" applyBorder="1" applyAlignment="1" applyProtection="1"/>
    <xf numFmtId="0" fontId="1" fillId="0" borderId="0" xfId="1" applyFill="1" applyAlignment="1" applyProtection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4" fontId="3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2" borderId="4" xfId="1" applyFont="1" applyFill="1" applyBorder="1" applyAlignment="1" applyProtection="1"/>
    <xf numFmtId="0" fontId="4" fillId="2" borderId="6" xfId="0" applyFont="1" applyFill="1" applyBorder="1"/>
    <xf numFmtId="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2" borderId="7" xfId="0" applyFont="1" applyFill="1" applyBorder="1" applyAlignment="1">
      <alignment horizontal="center"/>
    </xf>
    <xf numFmtId="9" fontId="4" fillId="2" borderId="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9" fontId="0" fillId="0" borderId="0" xfId="0" applyNumberFormat="1"/>
    <xf numFmtId="0" fontId="4" fillId="2" borderId="2" xfId="0" applyFont="1" applyFill="1" applyBorder="1" applyAlignment="1">
      <alignment horizontal="center"/>
    </xf>
    <xf numFmtId="164" fontId="0" fillId="0" borderId="0" xfId="0" applyNumberFormat="1"/>
    <xf numFmtId="3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57150</xdr:colOff>
      <xdr:row>0</xdr:row>
      <xdr:rowOff>0</xdr:rowOff>
    </xdr:from>
    <xdr:to>
      <xdr:col>75</xdr:col>
      <xdr:colOff>57150</xdr:colOff>
      <xdr:row>142</xdr:row>
      <xdr:rowOff>0</xdr:rowOff>
    </xdr:to>
    <xdr:sp macro="" textlink="">
      <xdr:nvSpPr>
        <xdr:cNvPr id="1464" name="Line 10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>
          <a:spLocks noChangeShapeType="1"/>
        </xdr:cNvSpPr>
      </xdr:nvSpPr>
      <xdr:spPr bwMode="auto">
        <a:xfrm flipH="1">
          <a:off x="35718750" y="0"/>
          <a:ext cx="0" cy="15220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106</xdr:col>
      <xdr:colOff>19050</xdr:colOff>
      <xdr:row>0</xdr:row>
      <xdr:rowOff>0</xdr:rowOff>
    </xdr:from>
    <xdr:to>
      <xdr:col>106</xdr:col>
      <xdr:colOff>19050</xdr:colOff>
      <xdr:row>101</xdr:row>
      <xdr:rowOff>161924</xdr:rowOff>
    </xdr:to>
    <xdr:sp macro="" textlink="">
      <xdr:nvSpPr>
        <xdr:cNvPr id="1465" name="Line 23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>
          <a:spLocks noChangeShapeType="1"/>
        </xdr:cNvSpPr>
      </xdr:nvSpPr>
      <xdr:spPr bwMode="auto">
        <a:xfrm>
          <a:off x="49777650" y="0"/>
          <a:ext cx="0" cy="1667827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16</xdr:row>
      <xdr:rowOff>142875</xdr:rowOff>
    </xdr:from>
    <xdr:to>
      <xdr:col>10</xdr:col>
      <xdr:colOff>504825</xdr:colOff>
      <xdr:row>30</xdr:row>
      <xdr:rowOff>133350</xdr:rowOff>
    </xdr:to>
    <xdr:pic>
      <xdr:nvPicPr>
        <xdr:cNvPr id="2224" name="Picture 1">
          <a:extLst>
            <a:ext uri="{FF2B5EF4-FFF2-40B4-BE49-F238E27FC236}">
              <a16:creationId xmlns:a16="http://schemas.microsoft.com/office/drawing/2014/main" id="{00000000-0008-0000-08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8300" y="2733675"/>
          <a:ext cx="2543175" cy="2276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99233-BA81-4949-9BE8-57EDDD85014C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R25" dT="2022-08-02T13:03:18.23" personId="{13399233-BA81-4949-9BE8-57EDDD85014C}" id="{C53B26C9-8602-47A2-80EC-A28651A52E20}">
    <text>359m as per 2021 10-K</text>
  </threadedComment>
  <threadedComment ref="BV25" dT="2022-08-01T18:27:07.85" personId="{13399233-BA81-4949-9BE8-57EDDD85014C}" id="{63959650-84D7-46CF-829F-FD9E350BCC20}">
    <text>372.5m</text>
  </threadedComment>
  <threadedComment ref="BT29" dT="2022-08-02T13:15:28.62" personId="{13399233-BA81-4949-9BE8-57EDDD85014C}" id="{A9214E8B-BB63-4C5A-81B6-161440AC7FDE}">
    <text>last quarter of Qbrexza</text>
  </threadedComment>
  <threadedComment ref="BO55" dT="2022-08-01T19:29:14.28" personId="{13399233-BA81-4949-9BE8-57EDDD85014C}" id="{E60352B4-4A0D-4646-997E-29633AD2D222}">
    <text>5859.8m reported revenue</text>
  </threadedComment>
  <threadedComment ref="BP55" dT="2022-08-01T19:13:29.91" personId="{13399233-BA81-4949-9BE8-57EDDD85014C}" id="{D23219C3-585B-4401-96E4-A54AA852CF63}">
    <text>5499.4m reported revenue</text>
  </threadedComment>
  <threadedComment ref="BQ55" dT="2022-08-01T19:08:14.14" personId="{13399233-BA81-4949-9BE8-57EDDD85014C}" id="{A2E464E0-CBDF-4ECE-9C4E-FC1B4BA053F8}">
    <text>5740.6 reported revenue</text>
  </threadedComment>
  <threadedComment ref="BR55" dT="2022-08-01T18:51:30.86" personId="{13399233-BA81-4949-9BE8-57EDDD85014C}" id="{F1B0E7D4-F86C-4460-9BB2-30549C72BA4D}">
    <text>7440.0 actual reported</text>
  </threadedComment>
  <threadedComment ref="BS55" dT="2022-08-01T19:28:46.54" personId="{13399233-BA81-4949-9BE8-57EDDD85014C}" id="{27F9AA8E-4F00-4838-B3AE-5C359EA80361}">
    <text>6805.6 reported</text>
  </threadedComment>
  <threadedComment ref="BT55" dT="2022-08-01T19:13:16.67" personId="{13399233-BA81-4949-9BE8-57EDDD85014C}" id="{AFC9B85C-9AC1-4E0B-A0FD-4EC0747D6C85}">
    <text>6740 reported revenue</text>
  </threadedComment>
  <threadedComment ref="BU55" dT="2022-08-01T19:08:01.93" personId="{13399233-BA81-4949-9BE8-57EDDD85014C}" id="{3630D8DA-CEAE-49F9-B57E-A7443096F4CE}">
    <text>6772.8 reported revenue</text>
  </threadedComment>
  <threadedComment ref="BV55" dT="2022-08-01T18:31:56.86" personId="{13399233-BA81-4949-9BE8-57EDDD85014C}" id="{D7A857CD-B43A-4E52-BA69-3F839DE07274}">
    <text>Actual reported 7999.9</text>
  </threadedComment>
  <threadedComment ref="BS65" dT="2022-08-01T18:07:16.89" personId="{13399233-BA81-4949-9BE8-57EDDD85014C}" id="{00F4491F-C819-44C1-AC45-2ABA1B7BE593}">
    <text>actual adjusted 1465.5</text>
  </threadedComment>
  <threadedComment ref="BW65" dT="2022-08-01T18:06:59.44" personId="{13399233-BA81-4949-9BE8-57EDDD85014C}" id="{8874A794-CB8F-4280-B6A0-27B01371D863}">
    <text>actual adjusted 2372.8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meeting.ascopubs.org/cgi/content/short/27/18S/CRA8000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F99A-375F-4619-812E-489ECAEA832B}">
  <dimension ref="A1:J5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2" sqref="E22"/>
    </sheetView>
  </sheetViews>
  <sheetFormatPr defaultRowHeight="12.75" x14ac:dyDescent="0.2"/>
  <cols>
    <col min="1" max="1" width="5" bestFit="1" customWidth="1"/>
    <col min="2" max="2" width="13.5703125" customWidth="1"/>
  </cols>
  <sheetData>
    <row r="1" spans="1:8" x14ac:dyDescent="0.2">
      <c r="A1" s="13" t="s">
        <v>6</v>
      </c>
    </row>
    <row r="2" spans="1:8" x14ac:dyDescent="0.2">
      <c r="B2" s="38" t="s">
        <v>406</v>
      </c>
      <c r="C2" s="38" t="s">
        <v>407</v>
      </c>
      <c r="D2" s="38" t="s">
        <v>1</v>
      </c>
      <c r="E2" s="38" t="s">
        <v>409</v>
      </c>
      <c r="F2" s="38" t="s">
        <v>2</v>
      </c>
      <c r="G2" s="38" t="s">
        <v>383</v>
      </c>
      <c r="H2" s="38" t="s">
        <v>508</v>
      </c>
    </row>
    <row r="3" spans="1:8" x14ac:dyDescent="0.2">
      <c r="B3" s="38" t="s">
        <v>19</v>
      </c>
      <c r="C3" s="38" t="s">
        <v>230</v>
      </c>
      <c r="D3" s="38"/>
      <c r="E3" s="38"/>
      <c r="F3" s="38"/>
      <c r="G3" s="38"/>
    </row>
    <row r="4" spans="1:8" x14ac:dyDescent="0.2">
      <c r="B4" s="38" t="s">
        <v>281</v>
      </c>
      <c r="C4" s="38"/>
      <c r="D4" s="38"/>
      <c r="E4" s="38"/>
    </row>
    <row r="5" spans="1:8" x14ac:dyDescent="0.2">
      <c r="B5" s="38" t="s">
        <v>458</v>
      </c>
      <c r="C5" s="38" t="s">
        <v>477</v>
      </c>
      <c r="D5" s="38"/>
      <c r="E5" s="38"/>
    </row>
    <row r="6" spans="1:8" x14ac:dyDescent="0.2">
      <c r="B6" s="38" t="s">
        <v>485</v>
      </c>
      <c r="C6" s="38" t="s">
        <v>486</v>
      </c>
      <c r="D6" s="38"/>
      <c r="E6" s="38"/>
      <c r="F6" t="s">
        <v>278</v>
      </c>
    </row>
    <row r="7" spans="1:8" x14ac:dyDescent="0.2">
      <c r="B7" s="38" t="s">
        <v>14</v>
      </c>
      <c r="C7" s="38" t="s">
        <v>408</v>
      </c>
      <c r="D7" s="38" t="s">
        <v>410</v>
      </c>
      <c r="E7" s="38" t="s">
        <v>107</v>
      </c>
    </row>
    <row r="8" spans="1:8" x14ac:dyDescent="0.2">
      <c r="B8" s="38" t="s">
        <v>374</v>
      </c>
      <c r="C8" s="38"/>
      <c r="D8" s="38"/>
      <c r="E8" s="38"/>
    </row>
    <row r="9" spans="1:8" x14ac:dyDescent="0.2">
      <c r="B9" s="38" t="s">
        <v>264</v>
      </c>
      <c r="C9" s="38" t="s">
        <v>439</v>
      </c>
      <c r="D9" s="38" t="s">
        <v>93</v>
      </c>
      <c r="E9" s="38" t="s">
        <v>90</v>
      </c>
      <c r="F9" s="38" t="s">
        <v>440</v>
      </c>
    </row>
    <row r="10" spans="1:8" x14ac:dyDescent="0.2">
      <c r="B10" s="38" t="s">
        <v>379</v>
      </c>
      <c r="C10" s="38"/>
      <c r="D10" s="38"/>
      <c r="E10" s="38"/>
      <c r="F10" s="38"/>
    </row>
    <row r="11" spans="1:8" x14ac:dyDescent="0.2">
      <c r="B11" s="38" t="s">
        <v>17</v>
      </c>
      <c r="C11" s="38"/>
      <c r="D11" s="38" t="s">
        <v>111</v>
      </c>
      <c r="E11" s="38" t="s">
        <v>110</v>
      </c>
    </row>
    <row r="12" spans="1:8" x14ac:dyDescent="0.2">
      <c r="B12" s="38" t="s">
        <v>55</v>
      </c>
      <c r="C12" s="38" t="s">
        <v>441</v>
      </c>
      <c r="D12" s="38"/>
      <c r="E12" s="38"/>
    </row>
    <row r="13" spans="1:8" x14ac:dyDescent="0.2">
      <c r="B13" s="38" t="s">
        <v>506</v>
      </c>
      <c r="C13" s="38"/>
      <c r="D13" s="38"/>
      <c r="E13" s="38"/>
    </row>
    <row r="14" spans="1:8" x14ac:dyDescent="0.2">
      <c r="B14" s="38" t="s">
        <v>54</v>
      </c>
      <c r="C14" s="38"/>
      <c r="D14" s="38"/>
      <c r="E14" s="38"/>
    </row>
    <row r="15" spans="1:8" x14ac:dyDescent="0.2">
      <c r="B15" s="38" t="s">
        <v>57</v>
      </c>
      <c r="C15" s="38"/>
      <c r="D15" s="38"/>
      <c r="E15" s="38"/>
    </row>
    <row r="16" spans="1:8" x14ac:dyDescent="0.2">
      <c r="B16" s="38" t="s">
        <v>372</v>
      </c>
      <c r="C16" s="38"/>
      <c r="D16" s="38"/>
      <c r="E16" s="38"/>
    </row>
    <row r="17" spans="2:10" x14ac:dyDescent="0.2">
      <c r="B17" s="38" t="s">
        <v>411</v>
      </c>
      <c r="C17" s="38" t="s">
        <v>412</v>
      </c>
      <c r="D17" s="38" t="s">
        <v>413</v>
      </c>
      <c r="E17" s="38" t="s">
        <v>268</v>
      </c>
      <c r="F17" s="38" t="s">
        <v>269</v>
      </c>
    </row>
    <row r="18" spans="2:10" x14ac:dyDescent="0.2">
      <c r="B18" s="38" t="s">
        <v>444</v>
      </c>
      <c r="C18" s="38" t="s">
        <v>445</v>
      </c>
      <c r="D18" s="38" t="s">
        <v>241</v>
      </c>
      <c r="E18" s="38" t="s">
        <v>270</v>
      </c>
      <c r="F18" s="38" t="s">
        <v>271</v>
      </c>
    </row>
    <row r="19" spans="2:10" x14ac:dyDescent="0.2">
      <c r="B19" s="38" t="s">
        <v>422</v>
      </c>
      <c r="C19" s="38"/>
      <c r="D19" s="38"/>
      <c r="E19" s="38"/>
      <c r="F19" s="38"/>
      <c r="G19" s="21" t="s">
        <v>423</v>
      </c>
    </row>
    <row r="20" spans="2:10" x14ac:dyDescent="0.2">
      <c r="B20" s="38" t="s">
        <v>507</v>
      </c>
      <c r="C20" s="38"/>
      <c r="D20" s="38"/>
      <c r="E20" s="38"/>
      <c r="F20" s="38"/>
      <c r="G20" s="21"/>
      <c r="H20" s="38" t="s">
        <v>509</v>
      </c>
    </row>
    <row r="21" spans="2:10" x14ac:dyDescent="0.2">
      <c r="B21" s="38" t="s">
        <v>381</v>
      </c>
      <c r="C21" s="38"/>
      <c r="D21" s="38"/>
      <c r="E21" s="38"/>
      <c r="F21" s="38"/>
      <c r="G21" s="21"/>
    </row>
    <row r="22" spans="2:10" x14ac:dyDescent="0.2">
      <c r="B22" s="38" t="s">
        <v>459</v>
      </c>
      <c r="C22" s="38" t="s">
        <v>510</v>
      </c>
      <c r="D22" s="38" t="s">
        <v>457</v>
      </c>
      <c r="E22" s="38"/>
      <c r="F22" s="38"/>
      <c r="G22" s="21"/>
    </row>
    <row r="23" spans="2:10" x14ac:dyDescent="0.2">
      <c r="B23" s="38" t="s">
        <v>15</v>
      </c>
      <c r="C23" s="38" t="s">
        <v>414</v>
      </c>
      <c r="D23" s="38" t="s">
        <v>38</v>
      </c>
      <c r="J23" s="16"/>
    </row>
    <row r="24" spans="2:10" x14ac:dyDescent="0.2">
      <c r="B24" s="38" t="s">
        <v>41</v>
      </c>
      <c r="C24" s="38"/>
      <c r="D24" s="38" t="s">
        <v>418</v>
      </c>
    </row>
    <row r="25" spans="2:10" x14ac:dyDescent="0.2">
      <c r="B25" s="38" t="s">
        <v>447</v>
      </c>
      <c r="C25" s="38" t="s">
        <v>448</v>
      </c>
      <c r="D25" s="38" t="s">
        <v>241</v>
      </c>
      <c r="E25" s="38" t="s">
        <v>446</v>
      </c>
      <c r="F25" s="77">
        <v>1</v>
      </c>
    </row>
    <row r="26" spans="2:10" x14ac:dyDescent="0.2">
      <c r="B26" s="38" t="s">
        <v>503</v>
      </c>
      <c r="C26" s="38"/>
      <c r="D26" s="38"/>
      <c r="E26" s="38"/>
      <c r="F26" s="77"/>
    </row>
    <row r="27" spans="2:10" x14ac:dyDescent="0.2">
      <c r="B27" s="38" t="s">
        <v>469</v>
      </c>
      <c r="C27" s="38" t="s">
        <v>468</v>
      </c>
      <c r="D27" s="38" t="s">
        <v>36</v>
      </c>
      <c r="E27" s="38" t="s">
        <v>118</v>
      </c>
      <c r="F27" s="77"/>
    </row>
    <row r="28" spans="2:10" x14ac:dyDescent="0.2">
      <c r="B28" s="38" t="s">
        <v>373</v>
      </c>
      <c r="C28" s="38"/>
      <c r="D28" s="38"/>
      <c r="E28" s="38"/>
      <c r="F28" s="77"/>
    </row>
    <row r="29" spans="2:10" x14ac:dyDescent="0.2">
      <c r="B29" s="38" t="s">
        <v>420</v>
      </c>
      <c r="C29" s="38"/>
      <c r="D29" s="38"/>
      <c r="G29" s="21" t="s">
        <v>421</v>
      </c>
    </row>
    <row r="30" spans="2:10" x14ac:dyDescent="0.2">
      <c r="B30" s="38" t="s">
        <v>7</v>
      </c>
      <c r="C30" s="38" t="s">
        <v>85</v>
      </c>
      <c r="D30" s="38" t="s">
        <v>415</v>
      </c>
      <c r="E30" s="38" t="s">
        <v>416</v>
      </c>
      <c r="G30" s="21" t="s">
        <v>419</v>
      </c>
    </row>
    <row r="32" spans="2:10" x14ac:dyDescent="0.2">
      <c r="J32" s="21"/>
    </row>
    <row r="39" spans="2:8" x14ac:dyDescent="0.2">
      <c r="B39" s="38" t="s">
        <v>406</v>
      </c>
      <c r="C39" s="38" t="s">
        <v>407</v>
      </c>
      <c r="D39" s="38" t="s">
        <v>1</v>
      </c>
      <c r="E39" s="38" t="s">
        <v>409</v>
      </c>
      <c r="F39" s="38" t="s">
        <v>2</v>
      </c>
      <c r="G39" s="38" t="s">
        <v>5</v>
      </c>
      <c r="H39" s="38" t="s">
        <v>481</v>
      </c>
    </row>
    <row r="40" spans="2:8" x14ac:dyDescent="0.2">
      <c r="B40" s="38"/>
      <c r="C40" s="38" t="s">
        <v>489</v>
      </c>
      <c r="D40" s="38" t="s">
        <v>120</v>
      </c>
      <c r="E40" s="38" t="s">
        <v>491</v>
      </c>
      <c r="F40" s="38"/>
      <c r="G40" s="38"/>
      <c r="H40" s="38"/>
    </row>
    <row r="41" spans="2:8" x14ac:dyDescent="0.2">
      <c r="C41" s="38" t="s">
        <v>408</v>
      </c>
      <c r="D41" s="38" t="s">
        <v>39</v>
      </c>
    </row>
    <row r="42" spans="2:8" x14ac:dyDescent="0.2">
      <c r="C42" s="38" t="s">
        <v>49</v>
      </c>
      <c r="D42" s="38" t="s">
        <v>121</v>
      </c>
      <c r="E42" s="38" t="s">
        <v>460</v>
      </c>
    </row>
    <row r="43" spans="2:8" x14ac:dyDescent="0.2">
      <c r="B43" t="s">
        <v>25</v>
      </c>
      <c r="D43" s="53" t="s">
        <v>116</v>
      </c>
      <c r="E43" s="53" t="s">
        <v>192</v>
      </c>
      <c r="F43" s="70" t="s">
        <v>193</v>
      </c>
      <c r="G43" s="53" t="s">
        <v>105</v>
      </c>
    </row>
    <row r="44" spans="2:8" x14ac:dyDescent="0.2">
      <c r="C44" s="38" t="s">
        <v>326</v>
      </c>
      <c r="D44" s="38" t="s">
        <v>37</v>
      </c>
      <c r="E44" s="38" t="s">
        <v>194</v>
      </c>
    </row>
    <row r="45" spans="2:8" x14ac:dyDescent="0.2">
      <c r="B45" s="38"/>
      <c r="C45" s="38" t="s">
        <v>327</v>
      </c>
      <c r="D45" s="71" t="s">
        <v>329</v>
      </c>
      <c r="E45" s="71" t="s">
        <v>328</v>
      </c>
      <c r="F45" s="70">
        <v>1</v>
      </c>
      <c r="G45" s="71" t="s">
        <v>47</v>
      </c>
    </row>
    <row r="46" spans="2:8" x14ac:dyDescent="0.2">
      <c r="B46" s="38" t="s">
        <v>427</v>
      </c>
    </row>
    <row r="47" spans="2:8" x14ac:dyDescent="0.2">
      <c r="B47" s="38" t="s">
        <v>436</v>
      </c>
      <c r="D47" t="s">
        <v>120</v>
      </c>
      <c r="E47" s="38" t="s">
        <v>435</v>
      </c>
    </row>
    <row r="48" spans="2:8" x14ac:dyDescent="0.2">
      <c r="B48" s="38" t="s">
        <v>428</v>
      </c>
    </row>
    <row r="49" spans="2:8" x14ac:dyDescent="0.2">
      <c r="B49" s="38" t="s">
        <v>429</v>
      </c>
    </row>
    <row r="50" spans="2:8" x14ac:dyDescent="0.2">
      <c r="C50" s="38" t="s">
        <v>480</v>
      </c>
      <c r="H50" t="s">
        <v>482</v>
      </c>
    </row>
    <row r="51" spans="2:8" x14ac:dyDescent="0.2">
      <c r="B51" s="38" t="s">
        <v>430</v>
      </c>
    </row>
    <row r="52" spans="2:8" x14ac:dyDescent="0.2">
      <c r="B52" s="38" t="s">
        <v>431</v>
      </c>
    </row>
    <row r="53" spans="2:8" x14ac:dyDescent="0.2">
      <c r="B53" s="38"/>
      <c r="C53" t="s">
        <v>483</v>
      </c>
      <c r="G53" t="s">
        <v>484</v>
      </c>
    </row>
    <row r="54" spans="2:8" x14ac:dyDescent="0.2">
      <c r="B54" s="38" t="s">
        <v>432</v>
      </c>
    </row>
    <row r="55" spans="2:8" x14ac:dyDescent="0.2">
      <c r="B55" s="38"/>
      <c r="C55" s="38" t="s">
        <v>434</v>
      </c>
    </row>
    <row r="56" spans="2:8" x14ac:dyDescent="0.2">
      <c r="B56" s="38"/>
      <c r="C56" t="s">
        <v>426</v>
      </c>
    </row>
    <row r="57" spans="2:8" x14ac:dyDescent="0.2">
      <c r="B57" s="38"/>
      <c r="C57" t="s">
        <v>490</v>
      </c>
      <c r="D57" t="s">
        <v>120</v>
      </c>
      <c r="E57" t="s">
        <v>491</v>
      </c>
    </row>
    <row r="58" spans="2:8" x14ac:dyDescent="0.2">
      <c r="B58" s="38" t="s">
        <v>240</v>
      </c>
      <c r="C58" t="s">
        <v>470</v>
      </c>
      <c r="D58" t="s">
        <v>471</v>
      </c>
      <c r="E58" t="s">
        <v>472</v>
      </c>
    </row>
    <row r="59" spans="2:8" x14ac:dyDescent="0.2">
      <c r="C59" s="38" t="s">
        <v>433</v>
      </c>
    </row>
  </sheetData>
  <hyperlinks>
    <hyperlink ref="A1" location="Main!A1" display="Main" xr:uid="{51C43F83-2157-4729-AD8D-12CA9807EE3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30"/>
  <sheetViews>
    <sheetView workbookViewId="0"/>
  </sheetViews>
  <sheetFormatPr defaultRowHeight="12.75" x14ac:dyDescent="0.2"/>
  <cols>
    <col min="1" max="1" width="5" style="1" bestFit="1" customWidth="1"/>
    <col min="2" max="2" width="14" style="1" bestFit="1" customWidth="1"/>
    <col min="3" max="3" width="23.28515625" style="1" customWidth="1"/>
    <col min="4" max="5" width="12.140625" style="1" customWidth="1"/>
    <col min="6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55</v>
      </c>
    </row>
    <row r="3" spans="1:3" x14ac:dyDescent="0.2">
      <c r="B3" s="1" t="s">
        <v>48</v>
      </c>
      <c r="C3" s="1" t="s">
        <v>135</v>
      </c>
    </row>
    <row r="4" spans="1:3" x14ac:dyDescent="0.2">
      <c r="B4" s="1" t="s">
        <v>1</v>
      </c>
    </row>
    <row r="5" spans="1:3" x14ac:dyDescent="0.2">
      <c r="B5" s="1" t="s">
        <v>51</v>
      </c>
    </row>
    <row r="6" spans="1:3" x14ac:dyDescent="0.2">
      <c r="B6" s="1" t="s">
        <v>137</v>
      </c>
    </row>
    <row r="7" spans="1:3" x14ac:dyDescent="0.2">
      <c r="B7" s="1" t="s">
        <v>4</v>
      </c>
      <c r="C7" s="1" t="s">
        <v>222</v>
      </c>
    </row>
    <row r="8" spans="1:3" x14ac:dyDescent="0.2">
      <c r="B8" s="1" t="s">
        <v>2</v>
      </c>
    </row>
    <row r="9" spans="1:3" x14ac:dyDescent="0.2">
      <c r="B9" s="1" t="s">
        <v>136</v>
      </c>
    </row>
    <row r="10" spans="1:3" x14ac:dyDescent="0.2">
      <c r="C10" s="16" t="s">
        <v>218</v>
      </c>
    </row>
    <row r="11" spans="1:3" x14ac:dyDescent="0.2">
      <c r="C11" s="1" t="s">
        <v>219</v>
      </c>
    </row>
    <row r="12" spans="1:3" x14ac:dyDescent="0.2">
      <c r="C12" s="1" t="s">
        <v>220</v>
      </c>
    </row>
    <row r="16" spans="1:3" x14ac:dyDescent="0.2">
      <c r="C16" s="16" t="s">
        <v>158</v>
      </c>
    </row>
    <row r="17" spans="3:6" ht="13.5" thickBot="1" x14ac:dyDescent="0.25"/>
    <row r="18" spans="3:6" x14ac:dyDescent="0.2">
      <c r="C18" s="26"/>
      <c r="D18" s="24" t="s">
        <v>55</v>
      </c>
      <c r="E18" s="24" t="s">
        <v>138</v>
      </c>
      <c r="F18" s="24" t="s">
        <v>148</v>
      </c>
    </row>
    <row r="19" spans="3:6" x14ac:dyDescent="0.2">
      <c r="C19" s="27" t="s">
        <v>157</v>
      </c>
      <c r="D19" s="22">
        <v>63</v>
      </c>
      <c r="E19" s="22">
        <v>63</v>
      </c>
      <c r="F19" s="22"/>
    </row>
    <row r="20" spans="3:6" x14ac:dyDescent="0.2">
      <c r="C20" s="1" t="s">
        <v>139</v>
      </c>
      <c r="D20" s="23">
        <v>0.71399999999999997</v>
      </c>
      <c r="E20" s="23">
        <v>0.76200000000000001</v>
      </c>
      <c r="F20" s="6"/>
    </row>
    <row r="21" spans="3:6" x14ac:dyDescent="0.2">
      <c r="C21" s="1" t="s">
        <v>141</v>
      </c>
      <c r="D21" s="23">
        <v>0.222</v>
      </c>
      <c r="E21" s="23">
        <v>4.8000000000000001E-2</v>
      </c>
      <c r="F21" s="6">
        <v>4.0000000000000001E-3</v>
      </c>
    </row>
    <row r="22" spans="3:6" x14ac:dyDescent="0.2">
      <c r="D22" s="6"/>
      <c r="E22" s="6"/>
      <c r="F22" s="6"/>
    </row>
    <row r="23" spans="3:6" x14ac:dyDescent="0.2">
      <c r="C23" s="19" t="s">
        <v>140</v>
      </c>
      <c r="D23" s="6" t="s">
        <v>149</v>
      </c>
      <c r="E23" s="6" t="s">
        <v>151</v>
      </c>
      <c r="F23" s="6">
        <v>8.9999999999999998E-4</v>
      </c>
    </row>
    <row r="24" spans="3:6" x14ac:dyDescent="0.2">
      <c r="C24" s="1" t="s">
        <v>142</v>
      </c>
      <c r="D24" s="11">
        <v>0.46</v>
      </c>
      <c r="E24" s="11">
        <v>0.28999999999999998</v>
      </c>
      <c r="F24" s="6"/>
    </row>
    <row r="25" spans="3:6" x14ac:dyDescent="0.2">
      <c r="C25" s="1" t="s">
        <v>143</v>
      </c>
      <c r="D25" s="11">
        <v>0.24</v>
      </c>
      <c r="E25" s="11">
        <v>0.05</v>
      </c>
      <c r="F25" s="6"/>
    </row>
    <row r="26" spans="3:6" x14ac:dyDescent="0.2">
      <c r="C26" s="1" t="s">
        <v>144</v>
      </c>
      <c r="D26" s="11">
        <v>0.18</v>
      </c>
      <c r="E26" s="11">
        <v>0.02</v>
      </c>
      <c r="F26" s="6"/>
    </row>
    <row r="27" spans="3:6" x14ac:dyDescent="0.2">
      <c r="C27" s="1" t="s">
        <v>145</v>
      </c>
      <c r="D27" s="6" t="s">
        <v>150</v>
      </c>
      <c r="E27" s="6" t="s">
        <v>152</v>
      </c>
      <c r="F27" s="6"/>
    </row>
    <row r="28" spans="3:6" x14ac:dyDescent="0.2">
      <c r="D28" s="6"/>
      <c r="E28" s="6"/>
      <c r="F28" s="6"/>
    </row>
    <row r="29" spans="3:6" x14ac:dyDescent="0.2">
      <c r="C29" s="19" t="s">
        <v>146</v>
      </c>
      <c r="D29" s="6" t="s">
        <v>153</v>
      </c>
      <c r="E29" s="6" t="s">
        <v>154</v>
      </c>
      <c r="F29" s="6">
        <v>1.2999999999999999E-3</v>
      </c>
    </row>
    <row r="30" spans="3:6" ht="13.5" thickBot="1" x14ac:dyDescent="0.25">
      <c r="C30" s="28" t="s">
        <v>147</v>
      </c>
      <c r="D30" s="25" t="s">
        <v>155</v>
      </c>
      <c r="E30" s="25" t="s">
        <v>156</v>
      </c>
      <c r="F30" s="25"/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C14"/>
  <sheetViews>
    <sheetView workbookViewId="0"/>
  </sheetViews>
  <sheetFormatPr defaultRowHeight="12.75" x14ac:dyDescent="0.2"/>
  <cols>
    <col min="1" max="1" width="5" bestFit="1" customWidth="1"/>
    <col min="2" max="2" width="13.7109375" customWidth="1"/>
  </cols>
  <sheetData>
    <row r="1" spans="1:3" x14ac:dyDescent="0.2">
      <c r="A1" s="13" t="s">
        <v>6</v>
      </c>
      <c r="B1" s="13"/>
    </row>
    <row r="2" spans="1:3" x14ac:dyDescent="0.2">
      <c r="A2" s="13"/>
      <c r="B2" t="s">
        <v>50</v>
      </c>
      <c r="C2" t="s">
        <v>19</v>
      </c>
    </row>
    <row r="3" spans="1:3" x14ac:dyDescent="0.2">
      <c r="A3" s="13"/>
      <c r="B3" t="s">
        <v>48</v>
      </c>
      <c r="C3" t="s">
        <v>230</v>
      </c>
    </row>
    <row r="4" spans="1:3" x14ac:dyDescent="0.2">
      <c r="A4" s="13"/>
      <c r="B4" t="s">
        <v>4</v>
      </c>
      <c r="C4" s="38" t="s">
        <v>257</v>
      </c>
    </row>
    <row r="5" spans="1:3" x14ac:dyDescent="0.2">
      <c r="B5" t="s">
        <v>92</v>
      </c>
    </row>
    <row r="6" spans="1:3" x14ac:dyDescent="0.2">
      <c r="C6" t="s">
        <v>12</v>
      </c>
    </row>
    <row r="7" spans="1:3" x14ac:dyDescent="0.2">
      <c r="C7" t="s">
        <v>33</v>
      </c>
    </row>
    <row r="8" spans="1:3" x14ac:dyDescent="0.2">
      <c r="C8" t="s">
        <v>34</v>
      </c>
    </row>
    <row r="12" spans="1:3" x14ac:dyDescent="0.2">
      <c r="C12" s="20" t="s">
        <v>254</v>
      </c>
    </row>
    <row r="13" spans="1:3" x14ac:dyDescent="0.2">
      <c r="C13" s="38" t="s">
        <v>255</v>
      </c>
    </row>
    <row r="14" spans="1:3" x14ac:dyDescent="0.2">
      <c r="C14" s="13" t="s">
        <v>256</v>
      </c>
    </row>
  </sheetData>
  <phoneticPr fontId="2" type="noConversion"/>
  <hyperlinks>
    <hyperlink ref="A1" location="Main!A1" display="Main" xr:uid="{00000000-0004-0000-0900-000000000000}"/>
    <hyperlink ref="C14" r:id="rId1" xr:uid="{00000000-0004-0000-0900-000001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C16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70</v>
      </c>
    </row>
    <row r="3" spans="1:3" x14ac:dyDescent="0.2">
      <c r="B3" s="1" t="s">
        <v>48</v>
      </c>
      <c r="C3" s="1" t="s">
        <v>223</v>
      </c>
    </row>
    <row r="4" spans="1:3" x14ac:dyDescent="0.2">
      <c r="B4" s="1" t="s">
        <v>2</v>
      </c>
      <c r="C4" s="1" t="s">
        <v>224</v>
      </c>
    </row>
    <row r="5" spans="1:3" x14ac:dyDescent="0.2">
      <c r="B5" s="1" t="s">
        <v>3</v>
      </c>
      <c r="C5" s="1" t="s">
        <v>227</v>
      </c>
    </row>
    <row r="6" spans="1:3" x14ac:dyDescent="0.2">
      <c r="B6" s="1" t="s">
        <v>228</v>
      </c>
      <c r="C6" s="1" t="s">
        <v>35</v>
      </c>
    </row>
    <row r="7" spans="1:3" x14ac:dyDescent="0.2">
      <c r="B7" s="1" t="s">
        <v>137</v>
      </c>
      <c r="C7" s="1" t="s">
        <v>22</v>
      </c>
    </row>
    <row r="8" spans="1:3" x14ac:dyDescent="0.2">
      <c r="B8" s="1" t="s">
        <v>92</v>
      </c>
    </row>
    <row r="9" spans="1:3" x14ac:dyDescent="0.2">
      <c r="C9" s="1" t="s">
        <v>20</v>
      </c>
    </row>
    <row r="10" spans="1:3" x14ac:dyDescent="0.2">
      <c r="C10" s="1" t="s">
        <v>21</v>
      </c>
    </row>
    <row r="14" spans="1:3" x14ac:dyDescent="0.2">
      <c r="C14" s="16" t="s">
        <v>225</v>
      </c>
    </row>
    <row r="15" spans="1:3" x14ac:dyDescent="0.2">
      <c r="C15" s="1" t="s">
        <v>226</v>
      </c>
    </row>
    <row r="16" spans="1:3" x14ac:dyDescent="0.2">
      <c r="C16" s="21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G48"/>
  <sheetViews>
    <sheetView zoomScaleNormal="100" workbookViewId="0">
      <selection activeCell="C47" sqref="C47"/>
    </sheetView>
  </sheetViews>
  <sheetFormatPr defaultRowHeight="12.75" x14ac:dyDescent="0.2"/>
  <cols>
    <col min="1" max="1" width="5" style="1" bestFit="1" customWidth="1"/>
    <col min="2" max="2" width="12.85546875" style="1" bestFit="1" customWidth="1"/>
    <col min="3" max="3" width="10.5703125" style="1" bestFit="1" customWidth="1"/>
    <col min="4" max="16384" width="9.140625" style="1"/>
  </cols>
  <sheetData>
    <row r="1" spans="1:7" x14ac:dyDescent="0.2">
      <c r="A1" s="15" t="s">
        <v>6</v>
      </c>
    </row>
    <row r="2" spans="1:7" x14ac:dyDescent="0.2">
      <c r="B2" s="1" t="s">
        <v>50</v>
      </c>
      <c r="C2" s="1" t="s">
        <v>197</v>
      </c>
    </row>
    <row r="3" spans="1:7" x14ac:dyDescent="0.2">
      <c r="B3" s="1" t="s">
        <v>48</v>
      </c>
      <c r="C3" s="1" t="s">
        <v>75</v>
      </c>
    </row>
    <row r="4" spans="1:7" x14ac:dyDescent="0.2">
      <c r="B4" s="1" t="s">
        <v>91</v>
      </c>
      <c r="C4" s="21" t="s">
        <v>250</v>
      </c>
    </row>
    <row r="5" spans="1:7" x14ac:dyDescent="0.2">
      <c r="B5" s="1" t="s">
        <v>51</v>
      </c>
      <c r="C5" s="1" t="s">
        <v>169</v>
      </c>
    </row>
    <row r="6" spans="1:7" x14ac:dyDescent="0.2">
      <c r="C6" s="1" t="s">
        <v>168</v>
      </c>
    </row>
    <row r="7" spans="1:7" x14ac:dyDescent="0.2">
      <c r="C7" s="1" t="s">
        <v>170</v>
      </c>
    </row>
    <row r="8" spans="1:7" x14ac:dyDescent="0.2">
      <c r="C8" s="1" t="s">
        <v>172</v>
      </c>
    </row>
    <row r="9" spans="1:7" x14ac:dyDescent="0.2">
      <c r="C9" s="1" t="s">
        <v>181</v>
      </c>
    </row>
    <row r="10" spans="1:7" x14ac:dyDescent="0.2">
      <c r="B10" s="1" t="s">
        <v>2</v>
      </c>
      <c r="C10" s="1" t="s">
        <v>129</v>
      </c>
    </row>
    <row r="11" spans="1:7" x14ac:dyDescent="0.2">
      <c r="B11" s="1" t="s">
        <v>131</v>
      </c>
      <c r="C11" s="1" t="s">
        <v>132</v>
      </c>
    </row>
    <row r="12" spans="1:7" x14ac:dyDescent="0.2">
      <c r="B12" s="21" t="s">
        <v>165</v>
      </c>
      <c r="C12" s="21"/>
      <c r="D12" s="39" t="s">
        <v>264</v>
      </c>
      <c r="E12" s="39" t="s">
        <v>101</v>
      </c>
      <c r="F12" s="39" t="s">
        <v>266</v>
      </c>
      <c r="G12" s="39" t="s">
        <v>267</v>
      </c>
    </row>
    <row r="13" spans="1:7" x14ac:dyDescent="0.2">
      <c r="B13" s="21"/>
      <c r="C13" s="42">
        <v>40165</v>
      </c>
      <c r="D13" s="32">
        <v>2962</v>
      </c>
      <c r="E13" s="32">
        <v>686130</v>
      </c>
      <c r="F13" s="32">
        <f t="shared" ref="F13:F19" si="0">E13+D13</f>
        <v>689092</v>
      </c>
      <c r="G13" s="41">
        <f>D13/F13</f>
        <v>4.2984100816726937E-3</v>
      </c>
    </row>
    <row r="14" spans="1:7" x14ac:dyDescent="0.2">
      <c r="B14" s="21"/>
      <c r="C14" s="42">
        <f t="shared" ref="C14:C20" si="1">C13-7</f>
        <v>40158</v>
      </c>
      <c r="D14" s="32">
        <v>2684</v>
      </c>
      <c r="E14" s="32">
        <v>691185</v>
      </c>
      <c r="F14" s="32">
        <f t="shared" si="0"/>
        <v>693869</v>
      </c>
      <c r="G14" s="41">
        <f t="shared" ref="G14:G20" si="2">D14/F14</f>
        <v>3.8681653165078709E-3</v>
      </c>
    </row>
    <row r="15" spans="1:7" x14ac:dyDescent="0.2">
      <c r="B15" s="21"/>
      <c r="C15" s="42">
        <f t="shared" si="1"/>
        <v>40151</v>
      </c>
      <c r="D15" s="32">
        <v>2430</v>
      </c>
      <c r="E15" s="32">
        <v>775061</v>
      </c>
      <c r="F15" s="32">
        <f t="shared" si="0"/>
        <v>777491</v>
      </c>
      <c r="G15" s="41">
        <f t="shared" si="2"/>
        <v>3.1254381079652369E-3</v>
      </c>
    </row>
    <row r="16" spans="1:7" x14ac:dyDescent="0.2">
      <c r="B16" s="21"/>
      <c r="C16" s="42">
        <f t="shared" si="1"/>
        <v>40144</v>
      </c>
      <c r="D16" s="32">
        <v>2089</v>
      </c>
      <c r="E16" s="32">
        <v>601931</v>
      </c>
      <c r="F16" s="32">
        <f t="shared" si="0"/>
        <v>604020</v>
      </c>
      <c r="G16" s="41">
        <f t="shared" si="2"/>
        <v>3.4584947518294098E-3</v>
      </c>
    </row>
    <row r="17" spans="2:7" x14ac:dyDescent="0.2">
      <c r="B17" s="21"/>
      <c r="C17" s="42">
        <f t="shared" si="1"/>
        <v>40137</v>
      </c>
      <c r="D17" s="32">
        <v>2166</v>
      </c>
      <c r="E17" s="32">
        <v>672605</v>
      </c>
      <c r="F17" s="32">
        <f t="shared" si="0"/>
        <v>674771</v>
      </c>
      <c r="G17" s="41">
        <f t="shared" si="2"/>
        <v>3.2099779036147079E-3</v>
      </c>
    </row>
    <row r="18" spans="2:7" x14ac:dyDescent="0.2">
      <c r="B18" s="21"/>
      <c r="C18" s="42">
        <f t="shared" si="1"/>
        <v>40130</v>
      </c>
      <c r="D18" s="32">
        <v>1800</v>
      </c>
      <c r="E18" s="32">
        <v>680955</v>
      </c>
      <c r="F18" s="32">
        <f t="shared" si="0"/>
        <v>682755</v>
      </c>
      <c r="G18" s="41">
        <f t="shared" si="2"/>
        <v>2.6363776171540302E-3</v>
      </c>
    </row>
    <row r="19" spans="2:7" x14ac:dyDescent="0.2">
      <c r="B19" s="21"/>
      <c r="C19" s="42">
        <f t="shared" si="1"/>
        <v>40123</v>
      </c>
      <c r="D19" s="32">
        <v>1808</v>
      </c>
      <c r="E19" s="32">
        <v>726294</v>
      </c>
      <c r="F19" s="32">
        <f t="shared" si="0"/>
        <v>728102</v>
      </c>
      <c r="G19" s="41">
        <f t="shared" si="2"/>
        <v>2.4831685670414312E-3</v>
      </c>
    </row>
    <row r="20" spans="2:7" x14ac:dyDescent="0.2">
      <c r="B20" s="21"/>
      <c r="C20" s="42">
        <f t="shared" si="1"/>
        <v>40116</v>
      </c>
      <c r="D20" s="32">
        <v>1550</v>
      </c>
      <c r="E20" s="32">
        <v>687653</v>
      </c>
      <c r="F20" s="32">
        <f>E20+D20</f>
        <v>689203</v>
      </c>
      <c r="G20" s="41">
        <f t="shared" si="2"/>
        <v>2.2489745401572539E-3</v>
      </c>
    </row>
    <row r="21" spans="2:7" x14ac:dyDescent="0.2">
      <c r="B21" s="21"/>
      <c r="C21" s="21"/>
    </row>
    <row r="22" spans="2:7" x14ac:dyDescent="0.2">
      <c r="B22" s="21" t="s">
        <v>173</v>
      </c>
      <c r="C22" s="21" t="s">
        <v>265</v>
      </c>
    </row>
    <row r="23" spans="2:7" x14ac:dyDescent="0.2">
      <c r="B23" s="1" t="s">
        <v>92</v>
      </c>
    </row>
    <row r="24" spans="2:7" x14ac:dyDescent="0.2">
      <c r="C24" s="1" t="s">
        <v>24</v>
      </c>
    </row>
    <row r="25" spans="2:7" x14ac:dyDescent="0.2">
      <c r="C25" s="1" t="s">
        <v>221</v>
      </c>
    </row>
    <row r="27" spans="2:7" x14ac:dyDescent="0.2">
      <c r="C27" s="16" t="s">
        <v>185</v>
      </c>
    </row>
    <row r="28" spans="2:7" x14ac:dyDescent="0.2">
      <c r="C28" s="1" t="s">
        <v>183</v>
      </c>
    </row>
    <row r="29" spans="2:7" x14ac:dyDescent="0.2">
      <c r="C29" s="1" t="s">
        <v>109</v>
      </c>
    </row>
    <row r="30" spans="2:7" x14ac:dyDescent="0.2">
      <c r="C30" s="19" t="s">
        <v>232</v>
      </c>
    </row>
    <row r="31" spans="2:7" x14ac:dyDescent="0.2">
      <c r="C31" s="1" t="s">
        <v>130</v>
      </c>
    </row>
    <row r="32" spans="2:7" x14ac:dyDescent="0.2">
      <c r="C32" s="1" t="s">
        <v>231</v>
      </c>
    </row>
    <row r="33" spans="3:3" x14ac:dyDescent="0.2">
      <c r="C33" s="1" t="s">
        <v>162</v>
      </c>
    </row>
    <row r="34" spans="3:3" x14ac:dyDescent="0.2">
      <c r="C34" s="1" t="s">
        <v>171</v>
      </c>
    </row>
    <row r="35" spans="3:3" x14ac:dyDescent="0.2">
      <c r="C35" s="1" t="s">
        <v>182</v>
      </c>
    </row>
    <row r="36" spans="3:3" x14ac:dyDescent="0.2">
      <c r="C36" s="1" t="s">
        <v>242</v>
      </c>
    </row>
    <row r="38" spans="3:3" x14ac:dyDescent="0.2">
      <c r="C38" s="16" t="s">
        <v>94</v>
      </c>
    </row>
    <row r="39" spans="3:3" x14ac:dyDescent="0.2">
      <c r="C39" s="1" t="s">
        <v>95</v>
      </c>
    </row>
    <row r="40" spans="3:3" x14ac:dyDescent="0.2">
      <c r="C40" s="1" t="s">
        <v>102</v>
      </c>
    </row>
    <row r="41" spans="3:3" x14ac:dyDescent="0.2">
      <c r="C41" s="19" t="s">
        <v>103</v>
      </c>
    </row>
    <row r="42" spans="3:3" x14ac:dyDescent="0.2">
      <c r="C42" s="1" t="s">
        <v>104</v>
      </c>
    </row>
    <row r="43" spans="3:3" x14ac:dyDescent="0.2">
      <c r="C43" s="1" t="s">
        <v>163</v>
      </c>
    </row>
    <row r="44" spans="3:3" x14ac:dyDescent="0.2">
      <c r="C44" s="1" t="s">
        <v>178</v>
      </c>
    </row>
    <row r="46" spans="3:3" x14ac:dyDescent="0.2">
      <c r="C46" s="16" t="s">
        <v>332</v>
      </c>
    </row>
    <row r="47" spans="3:3" x14ac:dyDescent="0.2">
      <c r="C47" s="21" t="s">
        <v>330</v>
      </c>
    </row>
    <row r="48" spans="3:3" x14ac:dyDescent="0.2">
      <c r="C48" s="21" t="s">
        <v>331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C11"/>
  <sheetViews>
    <sheetView workbookViewId="0"/>
  </sheetViews>
  <sheetFormatPr defaultRowHeight="12.75" x14ac:dyDescent="0.2"/>
  <cols>
    <col min="1" max="1" width="5" style="1" bestFit="1" customWidth="1"/>
    <col min="2" max="2" width="13.28515625" style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A2" s="15"/>
      <c r="B2" s="1" t="s">
        <v>50</v>
      </c>
    </row>
    <row r="3" spans="1:3" x14ac:dyDescent="0.2">
      <c r="A3" s="15"/>
      <c r="B3" s="1" t="s">
        <v>48</v>
      </c>
      <c r="C3" s="1" t="s">
        <v>49</v>
      </c>
    </row>
    <row r="4" spans="1:3" x14ac:dyDescent="0.2">
      <c r="A4" s="15"/>
      <c r="B4" s="1" t="s">
        <v>1</v>
      </c>
      <c r="C4" s="1" t="s">
        <v>121</v>
      </c>
    </row>
    <row r="5" spans="1:3" x14ac:dyDescent="0.2">
      <c r="A5" s="15"/>
      <c r="B5" s="1" t="s">
        <v>51</v>
      </c>
      <c r="C5" s="1" t="s">
        <v>52</v>
      </c>
    </row>
    <row r="6" spans="1:3" x14ac:dyDescent="0.2">
      <c r="A6" s="15"/>
      <c r="B6" s="1" t="s">
        <v>92</v>
      </c>
    </row>
    <row r="7" spans="1:3" x14ac:dyDescent="0.2">
      <c r="C7" s="16" t="s">
        <v>307</v>
      </c>
    </row>
    <row r="8" spans="1:3" x14ac:dyDescent="0.2">
      <c r="C8" s="1" t="s">
        <v>46</v>
      </c>
    </row>
    <row r="10" spans="1:3" x14ac:dyDescent="0.2">
      <c r="C10" s="16" t="s">
        <v>53</v>
      </c>
    </row>
    <row r="11" spans="1:3" x14ac:dyDescent="0.2">
      <c r="C11" s="21" t="s">
        <v>122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C10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</row>
    <row r="3" spans="1:3" x14ac:dyDescent="0.2">
      <c r="B3" t="s">
        <v>48</v>
      </c>
      <c r="C3" t="s">
        <v>112</v>
      </c>
    </row>
    <row r="4" spans="1:3" x14ac:dyDescent="0.2">
      <c r="B4" t="s">
        <v>1</v>
      </c>
      <c r="C4" t="s">
        <v>115</v>
      </c>
    </row>
    <row r="5" spans="1:3" x14ac:dyDescent="0.2">
      <c r="B5" t="s">
        <v>91</v>
      </c>
      <c r="C5" t="s">
        <v>26</v>
      </c>
    </row>
    <row r="6" spans="1:3" x14ac:dyDescent="0.2">
      <c r="B6" t="s">
        <v>3</v>
      </c>
      <c r="C6" t="s">
        <v>28</v>
      </c>
    </row>
    <row r="7" spans="1:3" x14ac:dyDescent="0.2">
      <c r="B7" t="s">
        <v>92</v>
      </c>
      <c r="C7" t="s">
        <v>27</v>
      </c>
    </row>
    <row r="9" spans="1:3" x14ac:dyDescent="0.2">
      <c r="C9" s="20" t="s">
        <v>113</v>
      </c>
    </row>
    <row r="10" spans="1:3" x14ac:dyDescent="0.2">
      <c r="C10" t="s">
        <v>114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3"/>
  <dimension ref="A1:C9"/>
  <sheetViews>
    <sheetView workbookViewId="0"/>
  </sheetViews>
  <sheetFormatPr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5" t="s">
        <v>6</v>
      </c>
    </row>
    <row r="2" spans="1:3" x14ac:dyDescent="0.2">
      <c r="B2" s="1" t="s">
        <v>50</v>
      </c>
      <c r="C2" s="1" t="s">
        <v>179</v>
      </c>
    </row>
    <row r="3" spans="1:3" x14ac:dyDescent="0.2">
      <c r="B3" s="1" t="s">
        <v>2</v>
      </c>
      <c r="C3" s="1" t="s">
        <v>236</v>
      </c>
    </row>
    <row r="4" spans="1:3" x14ac:dyDescent="0.2">
      <c r="B4" s="1" t="s">
        <v>1</v>
      </c>
      <c r="C4" s="1" t="s">
        <v>239</v>
      </c>
    </row>
    <row r="5" spans="1:3" x14ac:dyDescent="0.2">
      <c r="B5" s="1" t="s">
        <v>92</v>
      </c>
    </row>
    <row r="6" spans="1:3" x14ac:dyDescent="0.2">
      <c r="C6" s="16" t="s">
        <v>238</v>
      </c>
    </row>
    <row r="9" spans="1:3" x14ac:dyDescent="0.2">
      <c r="C9" s="16" t="s">
        <v>237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5"/>
  <dimension ref="A1:D15"/>
  <sheetViews>
    <sheetView workbookViewId="0"/>
  </sheetViews>
  <sheetFormatPr defaultRowHeight="12.75" x14ac:dyDescent="0.2"/>
  <cols>
    <col min="1" max="1" width="5" style="1" bestFit="1" customWidth="1"/>
    <col min="2" max="2" width="14.140625" style="1" customWidth="1"/>
    <col min="3" max="16384" width="9.140625" style="1"/>
  </cols>
  <sheetData>
    <row r="1" spans="1:4" x14ac:dyDescent="0.2">
      <c r="A1" s="15" t="s">
        <v>6</v>
      </c>
    </row>
    <row r="2" spans="1:4" x14ac:dyDescent="0.2">
      <c r="B2" s="1" t="s">
        <v>50</v>
      </c>
      <c r="C2" s="1" t="s">
        <v>184</v>
      </c>
    </row>
    <row r="3" spans="1:4" x14ac:dyDescent="0.2">
      <c r="B3" s="21" t="s">
        <v>48</v>
      </c>
      <c r="C3" s="21" t="s">
        <v>325</v>
      </c>
    </row>
    <row r="4" spans="1:4" x14ac:dyDescent="0.2">
      <c r="B4" s="1" t="s">
        <v>1</v>
      </c>
      <c r="C4" s="1" t="s">
        <v>210</v>
      </c>
    </row>
    <row r="5" spans="1:4" x14ac:dyDescent="0.2">
      <c r="B5" s="1" t="s">
        <v>51</v>
      </c>
      <c r="C5" s="1" t="s">
        <v>211</v>
      </c>
    </row>
    <row r="6" spans="1:4" x14ac:dyDescent="0.2">
      <c r="B6" s="1" t="s">
        <v>92</v>
      </c>
    </row>
    <row r="7" spans="1:4" x14ac:dyDescent="0.2">
      <c r="C7" s="16" t="s">
        <v>213</v>
      </c>
    </row>
    <row r="8" spans="1:4" x14ac:dyDescent="0.2">
      <c r="C8" s="1" t="s">
        <v>212</v>
      </c>
    </row>
    <row r="9" spans="1:4" x14ac:dyDescent="0.2">
      <c r="C9" s="1" t="s">
        <v>214</v>
      </c>
    </row>
    <row r="11" spans="1:4" x14ac:dyDescent="0.2">
      <c r="C11" s="1" t="s">
        <v>215</v>
      </c>
    </row>
    <row r="12" spans="1:4" x14ac:dyDescent="0.2">
      <c r="C12" s="1" t="s">
        <v>216</v>
      </c>
    </row>
    <row r="13" spans="1:4" x14ac:dyDescent="0.2">
      <c r="D13" s="1" t="s">
        <v>217</v>
      </c>
    </row>
    <row r="15" spans="1:4" x14ac:dyDescent="0.2">
      <c r="C15" s="1" t="s">
        <v>229</v>
      </c>
    </row>
  </sheetData>
  <phoneticPr fontId="2" type="noConversion"/>
  <hyperlinks>
    <hyperlink ref="A1" location="Main!A1" display="Main!A1" xr:uid="{00000000-0004-0000-0F00-000000000000}"/>
  </hyperlinks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2"/>
  <sheetViews>
    <sheetView workbookViewId="0"/>
  </sheetViews>
  <sheetFormatPr defaultRowHeight="12.75" x14ac:dyDescent="0.2"/>
  <cols>
    <col min="1" max="1" width="2.42578125" style="1" customWidth="1"/>
    <col min="2" max="2" width="25.42578125" style="1" customWidth="1"/>
    <col min="3" max="3" width="27.5703125" style="1" bestFit="1" customWidth="1"/>
    <col min="4" max="4" width="16.28515625" style="1" bestFit="1" customWidth="1"/>
    <col min="5" max="5" width="11.42578125" style="1" customWidth="1"/>
    <col min="6" max="6" width="12.140625" style="1" customWidth="1"/>
    <col min="7" max="7" width="13.85546875" style="1" customWidth="1"/>
    <col min="8" max="8" width="4.7109375" style="1" customWidth="1"/>
    <col min="9" max="9" width="7.42578125" style="1" customWidth="1"/>
    <col min="10" max="10" width="8.140625" style="1" customWidth="1"/>
    <col min="11" max="11" width="6.5703125" style="1" customWidth="1"/>
    <col min="12" max="16384" width="9.140625" style="1"/>
  </cols>
  <sheetData>
    <row r="1" spans="1:11" x14ac:dyDescent="0.2">
      <c r="A1" s="21" t="s">
        <v>505</v>
      </c>
    </row>
    <row r="2" spans="1:11" x14ac:dyDescent="0.2">
      <c r="B2" s="2" t="s">
        <v>0</v>
      </c>
      <c r="C2" s="3" t="s">
        <v>1</v>
      </c>
      <c r="D2" s="3" t="s">
        <v>51</v>
      </c>
      <c r="E2" s="3" t="s">
        <v>2</v>
      </c>
      <c r="F2" s="78" t="s">
        <v>450</v>
      </c>
      <c r="G2" s="4" t="s">
        <v>4</v>
      </c>
      <c r="I2" s="1" t="s">
        <v>173</v>
      </c>
      <c r="J2" s="31">
        <v>330.47</v>
      </c>
    </row>
    <row r="3" spans="1:11" x14ac:dyDescent="0.2">
      <c r="B3" s="68" t="s">
        <v>369</v>
      </c>
      <c r="C3" s="37" t="s">
        <v>36</v>
      </c>
      <c r="D3" s="37" t="s">
        <v>118</v>
      </c>
      <c r="E3" s="11">
        <v>1</v>
      </c>
      <c r="F3" s="6"/>
      <c r="G3" s="7"/>
      <c r="I3" s="1" t="s">
        <v>84</v>
      </c>
      <c r="J3" s="18">
        <v>950.15955899999994</v>
      </c>
      <c r="K3" s="39" t="s">
        <v>334</v>
      </c>
    </row>
    <row r="4" spans="1:11" x14ac:dyDescent="0.2">
      <c r="B4" s="14" t="s">
        <v>14</v>
      </c>
      <c r="C4" s="6" t="s">
        <v>37</v>
      </c>
      <c r="D4" s="6" t="s">
        <v>107</v>
      </c>
      <c r="E4" s="11">
        <v>1</v>
      </c>
      <c r="F4" s="6"/>
      <c r="G4" s="7">
        <v>2013</v>
      </c>
      <c r="I4" s="1" t="s">
        <v>174</v>
      </c>
      <c r="J4" s="18">
        <f>J2*J3</f>
        <v>313999.22946273</v>
      </c>
      <c r="K4" s="32"/>
    </row>
    <row r="5" spans="1:11" x14ac:dyDescent="0.2">
      <c r="B5" s="68" t="s">
        <v>476</v>
      </c>
      <c r="C5" s="37" t="s">
        <v>36</v>
      </c>
      <c r="D5" s="37" t="s">
        <v>417</v>
      </c>
      <c r="E5" s="40" t="s">
        <v>278</v>
      </c>
      <c r="F5" s="6"/>
      <c r="G5" s="7"/>
      <c r="I5" s="1" t="s">
        <v>175</v>
      </c>
      <c r="J5" s="18">
        <f>2459.2+109.1+2727.3</f>
        <v>5295.6</v>
      </c>
      <c r="K5" s="39" t="s">
        <v>334</v>
      </c>
    </row>
    <row r="6" spans="1:11" x14ac:dyDescent="0.2">
      <c r="B6" s="14" t="s">
        <v>16</v>
      </c>
      <c r="C6" s="6" t="s">
        <v>111</v>
      </c>
      <c r="D6" s="6"/>
      <c r="E6" s="11"/>
      <c r="F6" s="6"/>
      <c r="G6" s="7"/>
      <c r="I6" s="1" t="s">
        <v>176</v>
      </c>
      <c r="J6" s="18">
        <f>15152.9+1355.9</f>
        <v>16508.8</v>
      </c>
      <c r="K6" s="39" t="s">
        <v>334</v>
      </c>
    </row>
    <row r="7" spans="1:11" x14ac:dyDescent="0.2">
      <c r="B7" s="68" t="s">
        <v>424</v>
      </c>
      <c r="C7" s="37" t="s">
        <v>36</v>
      </c>
      <c r="D7" s="37" t="s">
        <v>283</v>
      </c>
      <c r="E7" s="40" t="s">
        <v>278</v>
      </c>
      <c r="F7" s="6"/>
      <c r="G7" s="7"/>
      <c r="I7" s="1" t="s">
        <v>177</v>
      </c>
      <c r="J7" s="18">
        <f>J4-J5+J6</f>
        <v>325212.42946273001</v>
      </c>
    </row>
    <row r="8" spans="1:11" x14ac:dyDescent="0.2">
      <c r="B8" s="14" t="s">
        <v>18</v>
      </c>
      <c r="C8" s="6" t="s">
        <v>40</v>
      </c>
      <c r="D8" s="6" t="s">
        <v>108</v>
      </c>
      <c r="E8" s="11">
        <v>1</v>
      </c>
      <c r="F8" s="6"/>
      <c r="G8" s="7">
        <v>2016</v>
      </c>
    </row>
    <row r="9" spans="1:11" x14ac:dyDescent="0.2">
      <c r="B9" s="14" t="s">
        <v>19</v>
      </c>
      <c r="C9" s="6" t="s">
        <v>116</v>
      </c>
      <c r="D9" s="6"/>
      <c r="E9" s="11"/>
      <c r="F9" s="6"/>
      <c r="G9" s="7">
        <v>2016</v>
      </c>
      <c r="I9" s="21" t="s">
        <v>463</v>
      </c>
    </row>
    <row r="10" spans="1:11" x14ac:dyDescent="0.2">
      <c r="B10" s="36" t="s">
        <v>316</v>
      </c>
      <c r="C10" s="6" t="s">
        <v>36</v>
      </c>
      <c r="D10" s="6" t="s">
        <v>277</v>
      </c>
      <c r="E10" s="11" t="s">
        <v>278</v>
      </c>
      <c r="F10" s="6"/>
      <c r="G10" s="7"/>
      <c r="I10" s="21" t="s">
        <v>464</v>
      </c>
    </row>
    <row r="11" spans="1:11" x14ac:dyDescent="0.2">
      <c r="B11" s="36" t="s">
        <v>425</v>
      </c>
      <c r="C11" s="37" t="s">
        <v>449</v>
      </c>
      <c r="D11" s="37" t="s">
        <v>446</v>
      </c>
      <c r="E11" s="40">
        <v>1</v>
      </c>
      <c r="F11" s="6"/>
      <c r="G11" s="7"/>
      <c r="I11" s="21" t="s">
        <v>465</v>
      </c>
    </row>
    <row r="12" spans="1:11" x14ac:dyDescent="0.2">
      <c r="B12" s="36" t="s">
        <v>379</v>
      </c>
      <c r="C12" s="37" t="s">
        <v>457</v>
      </c>
      <c r="D12" s="37" t="s">
        <v>467</v>
      </c>
      <c r="E12" s="40"/>
      <c r="F12" s="6"/>
      <c r="G12" s="7"/>
    </row>
    <row r="13" spans="1:11" x14ac:dyDescent="0.2">
      <c r="B13" s="36" t="s">
        <v>499</v>
      </c>
      <c r="C13" s="37" t="s">
        <v>456</v>
      </c>
      <c r="D13" s="37" t="s">
        <v>466</v>
      </c>
      <c r="E13" s="40"/>
      <c r="F13" s="6"/>
      <c r="G13" s="7"/>
    </row>
    <row r="14" spans="1:11" x14ac:dyDescent="0.2">
      <c r="B14" s="36" t="s">
        <v>452</v>
      </c>
      <c r="C14" s="37" t="s">
        <v>454</v>
      </c>
      <c r="D14" s="6"/>
      <c r="E14" s="40"/>
      <c r="F14" s="6"/>
      <c r="G14" s="7"/>
    </row>
    <row r="15" spans="1:11" x14ac:dyDescent="0.2">
      <c r="B15" s="36" t="s">
        <v>453</v>
      </c>
      <c r="C15" s="37" t="s">
        <v>454</v>
      </c>
      <c r="D15" s="6"/>
      <c r="E15" s="40"/>
      <c r="F15" s="6"/>
      <c r="G15" s="7"/>
    </row>
    <row r="16" spans="1:11" x14ac:dyDescent="0.2">
      <c r="B16" s="36" t="s">
        <v>493</v>
      </c>
      <c r="C16" s="37" t="s">
        <v>455</v>
      </c>
      <c r="D16" s="37" t="s">
        <v>451</v>
      </c>
      <c r="E16" s="40" t="s">
        <v>442</v>
      </c>
      <c r="F16" s="6"/>
      <c r="G16" s="7"/>
    </row>
    <row r="17" spans="2:7" x14ac:dyDescent="0.2">
      <c r="B17" s="36" t="s">
        <v>492</v>
      </c>
      <c r="C17" s="37"/>
      <c r="D17" s="37"/>
      <c r="E17" s="40"/>
      <c r="F17" s="6"/>
      <c r="G17" s="7"/>
    </row>
    <row r="18" spans="2:7" x14ac:dyDescent="0.2">
      <c r="B18" s="36" t="s">
        <v>443</v>
      </c>
      <c r="C18" s="37" t="s">
        <v>241</v>
      </c>
      <c r="D18" s="37" t="s">
        <v>270</v>
      </c>
      <c r="E18" s="40" t="s">
        <v>271</v>
      </c>
      <c r="F18" s="6"/>
      <c r="G18" s="7"/>
    </row>
    <row r="19" spans="2:7" x14ac:dyDescent="0.2">
      <c r="B19" s="36" t="s">
        <v>478</v>
      </c>
      <c r="C19" s="37" t="s">
        <v>479</v>
      </c>
      <c r="D19" s="37" t="s">
        <v>477</v>
      </c>
      <c r="E19" s="40"/>
      <c r="F19" s="6"/>
      <c r="G19" s="7"/>
    </row>
    <row r="20" spans="2:7" x14ac:dyDescent="0.2">
      <c r="B20" s="5" t="s">
        <v>475</v>
      </c>
      <c r="C20" s="6" t="s">
        <v>36</v>
      </c>
      <c r="D20" s="6" t="s">
        <v>117</v>
      </c>
      <c r="E20" s="40" t="s">
        <v>286</v>
      </c>
      <c r="F20" s="6"/>
      <c r="G20" s="7">
        <v>2013</v>
      </c>
    </row>
    <row r="21" spans="2:7" x14ac:dyDescent="0.2">
      <c r="B21" s="36" t="s">
        <v>57</v>
      </c>
      <c r="C21" s="6" t="s">
        <v>36</v>
      </c>
      <c r="D21" s="6" t="s">
        <v>117</v>
      </c>
      <c r="E21" s="40" t="s">
        <v>286</v>
      </c>
      <c r="F21" s="6"/>
      <c r="G21" s="7"/>
    </row>
    <row r="22" spans="2:7" s="19" customFormat="1" x14ac:dyDescent="0.2">
      <c r="B22" s="69" t="s">
        <v>437</v>
      </c>
      <c r="C22" s="72" t="s">
        <v>308</v>
      </c>
      <c r="D22" s="72" t="s">
        <v>438</v>
      </c>
      <c r="E22" s="73" t="s">
        <v>286</v>
      </c>
      <c r="F22" s="9"/>
      <c r="G22" s="10"/>
    </row>
    <row r="23" spans="2:7" x14ac:dyDescent="0.2">
      <c r="B23" s="2"/>
      <c r="C23" s="3"/>
      <c r="D23" s="3"/>
      <c r="E23" s="3"/>
      <c r="F23" s="3" t="s">
        <v>5</v>
      </c>
      <c r="G23" s="4"/>
    </row>
    <row r="24" spans="2:7" x14ac:dyDescent="0.2">
      <c r="B24" s="36" t="s">
        <v>461</v>
      </c>
      <c r="C24" s="37" t="s">
        <v>36</v>
      </c>
      <c r="D24" s="37" t="s">
        <v>462</v>
      </c>
      <c r="E24" s="11">
        <v>1</v>
      </c>
      <c r="F24" s="37" t="s">
        <v>209</v>
      </c>
      <c r="G24" s="44"/>
    </row>
    <row r="25" spans="2:7" x14ac:dyDescent="0.2">
      <c r="B25" s="36" t="s">
        <v>494</v>
      </c>
      <c r="C25" s="6" t="s">
        <v>495</v>
      </c>
      <c r="D25" s="6" t="s">
        <v>496</v>
      </c>
      <c r="E25" s="11">
        <v>1</v>
      </c>
      <c r="F25" s="37" t="s">
        <v>209</v>
      </c>
      <c r="G25" s="44"/>
    </row>
    <row r="26" spans="2:7" x14ac:dyDescent="0.2">
      <c r="B26" s="36" t="s">
        <v>473</v>
      </c>
      <c r="C26" s="37" t="s">
        <v>474</v>
      </c>
      <c r="D26" s="37"/>
      <c r="E26" s="11" t="s">
        <v>286</v>
      </c>
      <c r="F26" s="37" t="s">
        <v>47</v>
      </c>
      <c r="G26" s="44"/>
    </row>
    <row r="27" spans="2:7" x14ac:dyDescent="0.2">
      <c r="B27" s="36" t="s">
        <v>487</v>
      </c>
      <c r="C27" s="37" t="s">
        <v>488</v>
      </c>
      <c r="D27" s="37"/>
      <c r="E27" s="11" t="s">
        <v>286</v>
      </c>
      <c r="F27" s="37" t="s">
        <v>209</v>
      </c>
      <c r="G27" s="44"/>
    </row>
    <row r="28" spans="2:7" x14ac:dyDescent="0.2">
      <c r="B28" s="36" t="s">
        <v>489</v>
      </c>
      <c r="C28" s="37" t="s">
        <v>120</v>
      </c>
      <c r="D28" s="37" t="s">
        <v>180</v>
      </c>
      <c r="E28" s="11">
        <v>1</v>
      </c>
      <c r="F28" s="37" t="s">
        <v>47</v>
      </c>
      <c r="G28" s="44"/>
    </row>
    <row r="29" spans="2:7" x14ac:dyDescent="0.2">
      <c r="B29" s="36" t="s">
        <v>259</v>
      </c>
      <c r="C29" s="6" t="s">
        <v>120</v>
      </c>
      <c r="D29" s="6" t="s">
        <v>180</v>
      </c>
      <c r="E29" s="11">
        <v>1</v>
      </c>
      <c r="F29" s="37" t="s">
        <v>47</v>
      </c>
      <c r="G29" s="44" t="s">
        <v>309</v>
      </c>
    </row>
    <row r="30" spans="2:7" x14ac:dyDescent="0.2">
      <c r="B30" s="36" t="s">
        <v>497</v>
      </c>
      <c r="C30" s="6" t="s">
        <v>498</v>
      </c>
      <c r="D30" s="6"/>
      <c r="E30" s="11"/>
      <c r="F30" s="37" t="s">
        <v>47</v>
      </c>
      <c r="G30" s="44"/>
    </row>
    <row r="31" spans="2:7" x14ac:dyDescent="0.2">
      <c r="B31" s="36" t="s">
        <v>280</v>
      </c>
      <c r="C31" s="6" t="s">
        <v>284</v>
      </c>
      <c r="D31" s="6" t="s">
        <v>285</v>
      </c>
      <c r="E31" s="11" t="s">
        <v>286</v>
      </c>
      <c r="F31" s="37" t="s">
        <v>287</v>
      </c>
      <c r="G31" s="7"/>
    </row>
    <row r="32" spans="2:7" x14ac:dyDescent="0.2">
      <c r="B32" s="5" t="s">
        <v>161</v>
      </c>
      <c r="C32" s="6" t="s">
        <v>159</v>
      </c>
      <c r="D32" s="6" t="s">
        <v>160</v>
      </c>
      <c r="E32" s="11">
        <v>1</v>
      </c>
      <c r="F32" s="6" t="s">
        <v>105</v>
      </c>
      <c r="G32" s="7"/>
    </row>
    <row r="33" spans="2:7" x14ac:dyDescent="0.2">
      <c r="B33" s="5" t="s">
        <v>205</v>
      </c>
      <c r="C33" s="6" t="s">
        <v>195</v>
      </c>
      <c r="D33" s="6" t="s">
        <v>196</v>
      </c>
      <c r="E33" s="11" t="s">
        <v>206</v>
      </c>
      <c r="F33" s="6" t="s">
        <v>105</v>
      </c>
      <c r="G33" s="7"/>
    </row>
    <row r="34" spans="2:7" x14ac:dyDescent="0.2">
      <c r="B34" s="36" t="s">
        <v>313</v>
      </c>
      <c r="C34" s="37" t="s">
        <v>315</v>
      </c>
      <c r="D34" s="37" t="s">
        <v>314</v>
      </c>
      <c r="E34" s="40" t="s">
        <v>286</v>
      </c>
      <c r="F34" s="37" t="s">
        <v>105</v>
      </c>
      <c r="G34" s="7"/>
    </row>
    <row r="35" spans="2:7" x14ac:dyDescent="0.2">
      <c r="B35" s="36" t="s">
        <v>310</v>
      </c>
      <c r="C35" s="37" t="s">
        <v>312</v>
      </c>
      <c r="D35" s="37" t="s">
        <v>311</v>
      </c>
      <c r="E35" s="40" t="s">
        <v>286</v>
      </c>
      <c r="F35" s="37" t="s">
        <v>105</v>
      </c>
      <c r="G35" s="7"/>
    </row>
    <row r="36" spans="2:7" x14ac:dyDescent="0.2">
      <c r="B36" s="5" t="s">
        <v>134</v>
      </c>
      <c r="C36" s="6" t="s">
        <v>36</v>
      </c>
      <c r="D36" s="6" t="s">
        <v>133</v>
      </c>
      <c r="E36" s="11">
        <v>1</v>
      </c>
      <c r="F36" s="6" t="s">
        <v>105</v>
      </c>
      <c r="G36" s="7"/>
    </row>
    <row r="37" spans="2:7" x14ac:dyDescent="0.2">
      <c r="B37" s="5" t="s">
        <v>189</v>
      </c>
      <c r="C37" s="6" t="s">
        <v>36</v>
      </c>
      <c r="D37" s="6" t="s">
        <v>190</v>
      </c>
      <c r="E37" s="6" t="s">
        <v>191</v>
      </c>
      <c r="F37" s="6" t="s">
        <v>119</v>
      </c>
      <c r="G37" s="7"/>
    </row>
    <row r="38" spans="2:7" x14ac:dyDescent="0.2">
      <c r="B38" s="45" t="s">
        <v>23</v>
      </c>
      <c r="C38" s="8" t="s">
        <v>13</v>
      </c>
      <c r="D38" s="9" t="s">
        <v>106</v>
      </c>
      <c r="E38" s="12">
        <v>1</v>
      </c>
      <c r="F38" s="9" t="s">
        <v>208</v>
      </c>
      <c r="G38" s="10">
        <v>2018</v>
      </c>
    </row>
    <row r="40" spans="2:7" x14ac:dyDescent="0.2">
      <c r="B40" s="21"/>
      <c r="F40" s="33"/>
    </row>
    <row r="41" spans="2:7" x14ac:dyDescent="0.2">
      <c r="F41" s="34"/>
    </row>
    <row r="42" spans="2:7" x14ac:dyDescent="0.2">
      <c r="B42" s="74"/>
      <c r="C42" s="74"/>
      <c r="F42" s="33"/>
    </row>
    <row r="43" spans="2:7" x14ac:dyDescent="0.2">
      <c r="B43" s="75"/>
      <c r="F43" s="33"/>
    </row>
    <row r="44" spans="2:7" x14ac:dyDescent="0.2">
      <c r="B44" s="75"/>
      <c r="C44" s="75"/>
    </row>
    <row r="45" spans="2:7" x14ac:dyDescent="0.2">
      <c r="B45" s="75"/>
      <c r="C45" s="75"/>
    </row>
    <row r="46" spans="2:7" x14ac:dyDescent="0.2">
      <c r="B46" s="75"/>
      <c r="C46" s="75"/>
    </row>
    <row r="47" spans="2:7" x14ac:dyDescent="0.2">
      <c r="B47" s="75"/>
      <c r="C47" s="75"/>
    </row>
    <row r="48" spans="2:7" x14ac:dyDescent="0.2">
      <c r="B48" s="76"/>
      <c r="C48" s="75"/>
    </row>
    <row r="49" spans="2:3" x14ac:dyDescent="0.2">
      <c r="B49" s="76"/>
      <c r="C49" s="75"/>
    </row>
    <row r="50" spans="2:3" x14ac:dyDescent="0.2">
      <c r="B50" s="76"/>
      <c r="C50" s="75"/>
    </row>
    <row r="51" spans="2:3" x14ac:dyDescent="0.2">
      <c r="B51" s="75"/>
      <c r="C51" s="75"/>
    </row>
    <row r="52" spans="2:3" x14ac:dyDescent="0.2">
      <c r="B52" s="75"/>
      <c r="C52" s="75"/>
    </row>
    <row r="53" spans="2:3" x14ac:dyDescent="0.2">
      <c r="B53" s="76"/>
      <c r="C53" s="75"/>
    </row>
    <row r="54" spans="2:3" x14ac:dyDescent="0.2">
      <c r="B54" s="75"/>
    </row>
    <row r="55" spans="2:3" x14ac:dyDescent="0.2">
      <c r="B55" s="75"/>
    </row>
    <row r="57" spans="2:3" x14ac:dyDescent="0.2">
      <c r="B57" s="75"/>
    </row>
    <row r="58" spans="2:3" x14ac:dyDescent="0.2">
      <c r="C58" s="75"/>
    </row>
    <row r="60" spans="2:3" x14ac:dyDescent="0.2">
      <c r="B60" s="75"/>
    </row>
    <row r="62" spans="2:3" x14ac:dyDescent="0.2">
      <c r="C62" s="75"/>
    </row>
  </sheetData>
  <phoneticPr fontId="2" type="noConversion"/>
  <hyperlinks>
    <hyperlink ref="B4" location="Cymbalta!A1" display="Cymbalta" xr:uid="{00000000-0004-0000-0000-000002000000}"/>
    <hyperlink ref="B6" location="Forteo!A1" display="Forteo" xr:uid="{00000000-0004-0000-0000-000004000000}"/>
    <hyperlink ref="B8" location="Cialis!A1" display="Cialis" xr:uid="{00000000-0004-0000-0000-000007000000}"/>
    <hyperlink ref="B9" location="Alimta!A1" display="Alimta" xr:uid="{00000000-0004-0000-0000-000008000000}"/>
    <hyperlink ref="B38" location="Zyprexa!A1" display="Zyprexa Depot" xr:uid="{00000000-0004-0000-0000-00000A000000}"/>
  </hyperlink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K135"/>
  <sheetViews>
    <sheetView tabSelected="1" zoomScale="160" zoomScaleNormal="160" workbookViewId="0">
      <pane xSplit="2" ySplit="2" topLeftCell="CV3" activePane="bottomRight" state="frozen"/>
      <selection pane="topRight" activeCell="C1" sqref="C1"/>
      <selection pane="bottomLeft" activeCell="A3" sqref="A3"/>
      <selection pane="bottomRight" activeCell="CZ8" sqref="CZ8"/>
    </sheetView>
  </sheetViews>
  <sheetFormatPr defaultRowHeight="12.75" x14ac:dyDescent="0.2"/>
  <cols>
    <col min="1" max="1" width="5.28515625" customWidth="1"/>
    <col min="2" max="2" width="18.85546875" customWidth="1"/>
    <col min="3" max="17" width="7" style="47" customWidth="1"/>
    <col min="18" max="18" width="6.7109375" style="47" customWidth="1"/>
    <col min="19" max="84" width="7" style="47" customWidth="1"/>
    <col min="85" max="85" width="4.28515625" customWidth="1"/>
    <col min="86" max="94" width="6.5703125" style="47" bestFit="1" customWidth="1"/>
    <col min="95" max="95" width="7" style="47" bestFit="1" customWidth="1"/>
    <col min="96" max="96" width="6.5703125" style="47" bestFit="1" customWidth="1"/>
    <col min="97" max="100" width="7" style="47" customWidth="1"/>
    <col min="101" max="102" width="7.42578125" style="47" customWidth="1"/>
    <col min="103" max="104" width="7.140625" customWidth="1"/>
    <col min="105" max="105" width="7.85546875" customWidth="1"/>
    <col min="106" max="113" width="7.140625" customWidth="1"/>
    <col min="114" max="114" width="7.5703125" customWidth="1"/>
    <col min="115" max="115" width="7.7109375" customWidth="1"/>
  </cols>
  <sheetData>
    <row r="1" spans="1:115" x14ac:dyDescent="0.2">
      <c r="A1" s="46" t="s">
        <v>6</v>
      </c>
    </row>
    <row r="2" spans="1:115" x14ac:dyDescent="0.2">
      <c r="C2" s="47" t="s">
        <v>204</v>
      </c>
      <c r="D2" s="47" t="s">
        <v>203</v>
      </c>
      <c r="E2" s="47" t="s">
        <v>202</v>
      </c>
      <c r="F2" s="47" t="s">
        <v>127</v>
      </c>
      <c r="G2" s="47" t="s">
        <v>126</v>
      </c>
      <c r="H2" s="47" t="s">
        <v>125</v>
      </c>
      <c r="I2" s="47" t="s">
        <v>124</v>
      </c>
      <c r="J2" s="47" t="s">
        <v>99</v>
      </c>
      <c r="K2" s="47" t="s">
        <v>100</v>
      </c>
      <c r="L2" s="47" t="s">
        <v>97</v>
      </c>
      <c r="M2" s="47" t="s">
        <v>96</v>
      </c>
      <c r="N2" s="47" t="s">
        <v>98</v>
      </c>
      <c r="O2" s="47" t="s">
        <v>128</v>
      </c>
      <c r="P2" s="47" t="s">
        <v>164</v>
      </c>
      <c r="Q2" s="47" t="s">
        <v>186</v>
      </c>
      <c r="R2" s="47" t="s">
        <v>187</v>
      </c>
      <c r="S2" s="47" t="s">
        <v>198</v>
      </c>
      <c r="T2" s="47" t="s">
        <v>199</v>
      </c>
      <c r="U2" s="47" t="s">
        <v>200</v>
      </c>
      <c r="V2" s="47" t="s">
        <v>201</v>
      </c>
      <c r="W2" s="48" t="s">
        <v>246</v>
      </c>
      <c r="X2" s="48" t="s">
        <v>247</v>
      </c>
      <c r="Y2" s="48" t="s">
        <v>248</v>
      </c>
      <c r="Z2" s="48" t="s">
        <v>249</v>
      </c>
      <c r="AA2" s="48" t="s">
        <v>260</v>
      </c>
      <c r="AB2" s="48" t="s">
        <v>261</v>
      </c>
      <c r="AC2" s="48" t="s">
        <v>262</v>
      </c>
      <c r="AD2" s="48" t="s">
        <v>263</v>
      </c>
      <c r="AE2" s="48" t="s">
        <v>273</v>
      </c>
      <c r="AF2" s="48" t="s">
        <v>274</v>
      </c>
      <c r="AG2" s="48" t="s">
        <v>275</v>
      </c>
      <c r="AH2" s="48" t="s">
        <v>276</v>
      </c>
      <c r="AI2" s="48" t="s">
        <v>317</v>
      </c>
      <c r="AJ2" s="48" t="s">
        <v>318</v>
      </c>
      <c r="AK2" s="48" t="s">
        <v>319</v>
      </c>
      <c r="AL2" s="48" t="s">
        <v>320</v>
      </c>
      <c r="AM2" s="48" t="s">
        <v>321</v>
      </c>
      <c r="AN2" s="48" t="s">
        <v>322</v>
      </c>
      <c r="AO2" s="48" t="s">
        <v>323</v>
      </c>
      <c r="AP2" s="48" t="s">
        <v>324</v>
      </c>
      <c r="AQ2" s="48" t="s">
        <v>335</v>
      </c>
      <c r="AR2" s="48" t="s">
        <v>333</v>
      </c>
      <c r="AS2" s="48" t="s">
        <v>336</v>
      </c>
      <c r="AT2" s="48" t="s">
        <v>337</v>
      </c>
      <c r="AU2" s="48" t="s">
        <v>338</v>
      </c>
      <c r="AV2" s="48" t="s">
        <v>339</v>
      </c>
      <c r="AW2" s="48" t="s">
        <v>340</v>
      </c>
      <c r="AX2" s="48" t="s">
        <v>341</v>
      </c>
      <c r="AY2" s="48" t="s">
        <v>342</v>
      </c>
      <c r="AZ2" s="48" t="s">
        <v>343</v>
      </c>
      <c r="BA2" s="48" t="s">
        <v>344</v>
      </c>
      <c r="BB2" s="48" t="s">
        <v>345</v>
      </c>
      <c r="BC2" s="48" t="s">
        <v>346</v>
      </c>
      <c r="BD2" s="48" t="s">
        <v>347</v>
      </c>
      <c r="BE2" s="48" t="s">
        <v>348</v>
      </c>
      <c r="BF2" s="48" t="s">
        <v>349</v>
      </c>
      <c r="BG2" s="48" t="s">
        <v>350</v>
      </c>
      <c r="BH2" s="48" t="s">
        <v>351</v>
      </c>
      <c r="BI2" s="48" t="s">
        <v>352</v>
      </c>
      <c r="BJ2" s="48" t="s">
        <v>353</v>
      </c>
      <c r="BK2" s="48" t="s">
        <v>354</v>
      </c>
      <c r="BL2" s="48" t="s">
        <v>355</v>
      </c>
      <c r="BM2" s="48" t="s">
        <v>356</v>
      </c>
      <c r="BN2" s="48" t="s">
        <v>357</v>
      </c>
      <c r="BO2" s="48" t="s">
        <v>358</v>
      </c>
      <c r="BP2" s="48" t="s">
        <v>359</v>
      </c>
      <c r="BQ2" s="48" t="s">
        <v>360</v>
      </c>
      <c r="BR2" s="48" t="s">
        <v>361</v>
      </c>
      <c r="BS2" s="48" t="s">
        <v>362</v>
      </c>
      <c r="BT2" s="48" t="s">
        <v>363</v>
      </c>
      <c r="BU2" s="48" t="s">
        <v>364</v>
      </c>
      <c r="BV2" s="48" t="s">
        <v>365</v>
      </c>
      <c r="BW2" s="48" t="s">
        <v>334</v>
      </c>
      <c r="BX2" s="48" t="s">
        <v>366</v>
      </c>
      <c r="BY2" s="48" t="s">
        <v>367</v>
      </c>
      <c r="BZ2" s="48" t="s">
        <v>368</v>
      </c>
      <c r="CA2" s="48" t="s">
        <v>385</v>
      </c>
      <c r="CB2" s="48" t="s">
        <v>386</v>
      </c>
      <c r="CC2" s="48" t="s">
        <v>387</v>
      </c>
      <c r="CD2" s="48" t="s">
        <v>388</v>
      </c>
      <c r="CE2" s="48"/>
      <c r="CF2" s="48"/>
      <c r="CH2" s="47">
        <v>2001</v>
      </c>
      <c r="CI2" s="47">
        <v>2002</v>
      </c>
      <c r="CJ2" s="47">
        <v>2003</v>
      </c>
      <c r="CK2" s="47">
        <v>2004</v>
      </c>
      <c r="CL2" s="47">
        <v>2005</v>
      </c>
      <c r="CM2" s="47">
        <v>2006</v>
      </c>
      <c r="CN2" s="47">
        <v>2007</v>
      </c>
      <c r="CO2" s="47">
        <v>2008</v>
      </c>
      <c r="CP2" s="47">
        <v>2009</v>
      </c>
      <c r="CQ2" s="47">
        <v>2010</v>
      </c>
      <c r="CR2" s="47">
        <v>2011</v>
      </c>
      <c r="CS2" s="47">
        <v>2012</v>
      </c>
      <c r="CT2" s="47">
        <v>2013</v>
      </c>
      <c r="CU2" s="47">
        <v>2014</v>
      </c>
      <c r="CV2" s="47">
        <v>2015</v>
      </c>
      <c r="CW2" s="47">
        <v>2016</v>
      </c>
      <c r="CX2" s="47">
        <v>2017</v>
      </c>
      <c r="CY2">
        <f>+CX2+1</f>
        <v>2018</v>
      </c>
      <c r="CZ2">
        <f t="shared" ref="CZ2:DC2" si="0">+CY2+1</f>
        <v>2019</v>
      </c>
      <c r="DA2">
        <f t="shared" si="0"/>
        <v>2020</v>
      </c>
      <c r="DB2">
        <f t="shared" si="0"/>
        <v>2021</v>
      </c>
      <c r="DC2">
        <f t="shared" si="0"/>
        <v>2022</v>
      </c>
      <c r="DD2">
        <f>+DC2+1</f>
        <v>2023</v>
      </c>
      <c r="DE2">
        <f t="shared" ref="DE2:DK2" si="1">+DD2+1</f>
        <v>2024</v>
      </c>
      <c r="DF2">
        <f t="shared" si="1"/>
        <v>2025</v>
      </c>
      <c r="DG2">
        <f t="shared" si="1"/>
        <v>2026</v>
      </c>
      <c r="DH2">
        <f t="shared" si="1"/>
        <v>2027</v>
      </c>
      <c r="DI2">
        <f t="shared" si="1"/>
        <v>2028</v>
      </c>
      <c r="DJ2">
        <f t="shared" si="1"/>
        <v>2029</v>
      </c>
      <c r="DK2">
        <f t="shared" si="1"/>
        <v>2030</v>
      </c>
    </row>
    <row r="3" spans="1:115" s="49" customFormat="1" x14ac:dyDescent="0.2">
      <c r="B3" s="50" t="s">
        <v>369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>
        <v>879.7</v>
      </c>
      <c r="BL3" s="52">
        <v>1028.5</v>
      </c>
      <c r="BM3" s="52">
        <v>1011.5</v>
      </c>
      <c r="BN3" s="52">
        <v>1208.0999999999999</v>
      </c>
      <c r="BO3" s="52">
        <v>1229.4000000000001</v>
      </c>
      <c r="BP3" s="52">
        <v>1229.8</v>
      </c>
      <c r="BQ3" s="52">
        <v>1106.5999999999999</v>
      </c>
      <c r="BR3" s="52">
        <v>1502.4</v>
      </c>
      <c r="BS3" s="52">
        <v>1452.4</v>
      </c>
      <c r="BT3" s="52">
        <v>1535.6</v>
      </c>
      <c r="BU3" s="52">
        <v>1600.1</v>
      </c>
      <c r="BV3" s="52">
        <v>1883.7</v>
      </c>
      <c r="BW3" s="52">
        <v>1741.3</v>
      </c>
      <c r="BX3" s="52">
        <f>+BT3*1.225</f>
        <v>1881.1100000000001</v>
      </c>
      <c r="BY3" s="52">
        <f>+BU3*1.2</f>
        <v>1920.12</v>
      </c>
      <c r="BZ3" s="52">
        <f>+BV3*1.2</f>
        <v>2260.44</v>
      </c>
      <c r="CA3" s="52">
        <f>+BW3*1.15</f>
        <v>2002.4949999999999</v>
      </c>
      <c r="CB3" s="52">
        <f>+BX3*1.15</f>
        <v>2163.2764999999999</v>
      </c>
      <c r="CC3" s="52">
        <f>+BY3*1.15</f>
        <v>2208.1379999999999</v>
      </c>
      <c r="CD3" s="52">
        <f>+BZ3*1.15</f>
        <v>2599.5059999999999</v>
      </c>
      <c r="CE3" s="52"/>
      <c r="CF3" s="52"/>
      <c r="CH3" s="51"/>
      <c r="CI3" s="51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1"/>
      <c r="CX3" s="51">
        <v>2029.8</v>
      </c>
      <c r="CY3" s="80">
        <v>3199.1</v>
      </c>
      <c r="CZ3" s="80">
        <v>4127.8</v>
      </c>
      <c r="DA3" s="49">
        <f>SUM(BO3:BR3)</f>
        <v>5068.2</v>
      </c>
      <c r="DB3" s="49">
        <f>SUM(BS3:BV3)</f>
        <v>6471.8</v>
      </c>
      <c r="DC3" s="49">
        <f>SUM(BW3:BZ3)</f>
        <v>7802.9699999999993</v>
      </c>
      <c r="DD3" s="49">
        <f>SUM(CA3:CD3)</f>
        <v>8973.4154999999992</v>
      </c>
      <c r="DE3" s="49">
        <f>+DD3*1.1</f>
        <v>9870.7570500000002</v>
      </c>
      <c r="DF3" s="49">
        <f>+DE3*1.01</f>
        <v>9969.4646205000008</v>
      </c>
      <c r="DG3" s="49">
        <f>+DF3*1.01</f>
        <v>10069.159266705001</v>
      </c>
      <c r="DH3" s="49">
        <f>+DG3*0.95</f>
        <v>9565.7013033697513</v>
      </c>
      <c r="DI3" s="49">
        <f>+DH3*0.95</f>
        <v>9087.4162382012637</v>
      </c>
      <c r="DJ3" s="49">
        <f>+DI3*0.95</f>
        <v>8633.0454262912008</v>
      </c>
      <c r="DK3" s="49">
        <f>+DJ3*0.9</f>
        <v>7769.7408836620807</v>
      </c>
    </row>
    <row r="4" spans="1:115" s="49" customFormat="1" x14ac:dyDescent="0.2">
      <c r="B4" s="50" t="s">
        <v>461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  <c r="CS4" s="51"/>
      <c r="CT4" s="51"/>
      <c r="CU4" s="51"/>
      <c r="CV4" s="51"/>
      <c r="CW4" s="51"/>
      <c r="CX4" s="51">
        <v>0</v>
      </c>
      <c r="CY4" s="80">
        <v>0</v>
      </c>
      <c r="CZ4" s="80">
        <v>0</v>
      </c>
      <c r="DA4" s="49">
        <v>0</v>
      </c>
      <c r="DB4" s="49">
        <v>0</v>
      </c>
      <c r="DC4" s="49">
        <f>SUM(BW4:BZ4)</f>
        <v>0</v>
      </c>
      <c r="DD4" s="49">
        <v>100</v>
      </c>
      <c r="DE4" s="49">
        <v>700</v>
      </c>
      <c r="DF4" s="49">
        <v>1500</v>
      </c>
      <c r="DG4" s="49">
        <v>3000</v>
      </c>
      <c r="DH4" s="49">
        <v>4500</v>
      </c>
      <c r="DI4" s="49">
        <f>+DH4*1.5</f>
        <v>6750</v>
      </c>
      <c r="DJ4" s="49">
        <f>+DI4*1.2</f>
        <v>8100</v>
      </c>
      <c r="DK4" s="49">
        <f t="shared" ref="DK4" si="2">+DJ4*1.2</f>
        <v>9720</v>
      </c>
    </row>
    <row r="5" spans="1:115" s="49" customFormat="1" x14ac:dyDescent="0.2">
      <c r="B5" s="50" t="s">
        <v>380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>
        <v>0</v>
      </c>
      <c r="BL5" s="52">
        <v>0</v>
      </c>
      <c r="BM5" s="52">
        <v>0</v>
      </c>
      <c r="BN5" s="52">
        <v>0</v>
      </c>
      <c r="BO5" s="52">
        <v>0</v>
      </c>
      <c r="BP5" s="52">
        <v>0</v>
      </c>
      <c r="BQ5" s="52">
        <v>0</v>
      </c>
      <c r="BR5" s="52">
        <v>871.2</v>
      </c>
      <c r="BS5" s="52">
        <v>810.1</v>
      </c>
      <c r="BT5" s="52">
        <v>148.9</v>
      </c>
      <c r="BU5" s="52">
        <v>217.1</v>
      </c>
      <c r="BV5" s="52">
        <v>1063.0999999999999</v>
      </c>
      <c r="BW5" s="52">
        <v>1469.8</v>
      </c>
      <c r="BX5" s="52">
        <v>500</v>
      </c>
      <c r="BY5" s="52">
        <v>250</v>
      </c>
      <c r="BZ5" s="52">
        <v>100</v>
      </c>
      <c r="CA5" s="52">
        <v>0</v>
      </c>
      <c r="CB5" s="52">
        <v>0</v>
      </c>
      <c r="CC5" s="52">
        <v>0</v>
      </c>
      <c r="CD5" s="52">
        <v>0</v>
      </c>
      <c r="CE5" s="52"/>
      <c r="CF5" s="52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/>
      <c r="CX5" s="51">
        <v>0</v>
      </c>
      <c r="CY5" s="80">
        <v>0</v>
      </c>
      <c r="CZ5" s="80">
        <v>0</v>
      </c>
      <c r="DA5" s="49">
        <f t="shared" ref="DA5:DA32" si="3">SUM(BO5:BR5)</f>
        <v>871.2</v>
      </c>
      <c r="DB5" s="49">
        <f t="shared" ref="DB5:DB32" si="4">SUM(BS5:BV5)</f>
        <v>2239.1999999999998</v>
      </c>
      <c r="DC5" s="49">
        <f t="shared" ref="DC5:DC32" si="5">SUM(BW5:BZ5)</f>
        <v>2319.8000000000002</v>
      </c>
      <c r="DD5" s="49">
        <f t="shared" ref="DD5:DD32" si="6">SUM(CA5:CD5)</f>
        <v>0</v>
      </c>
    </row>
    <row r="6" spans="1:115" x14ac:dyDescent="0.2">
      <c r="B6" t="s">
        <v>54</v>
      </c>
      <c r="C6" s="51">
        <v>267.2</v>
      </c>
      <c r="D6" s="51">
        <v>285.3</v>
      </c>
      <c r="E6" s="51">
        <v>264.60000000000002</v>
      </c>
      <c r="F6" s="51">
        <v>284.60000000000002</v>
      </c>
      <c r="G6" s="51">
        <v>286.2</v>
      </c>
      <c r="H6" s="51">
        <v>296.2</v>
      </c>
      <c r="I6" s="51">
        <f>M6/1.05</f>
        <v>306.66666666666663</v>
      </c>
      <c r="J6" s="51">
        <v>309.10000000000002</v>
      </c>
      <c r="K6" s="51">
        <v>305</v>
      </c>
      <c r="L6" s="51">
        <v>321</v>
      </c>
      <c r="M6" s="51">
        <v>322</v>
      </c>
      <c r="N6" s="51">
        <v>352.2</v>
      </c>
      <c r="O6" s="51">
        <v>339.5</v>
      </c>
      <c r="P6" s="51">
        <v>358.4</v>
      </c>
      <c r="Q6" s="51">
        <v>362.5</v>
      </c>
      <c r="R6" s="51">
        <v>414.2</v>
      </c>
      <c r="S6" s="51">
        <v>407.4</v>
      </c>
      <c r="T6" s="51">
        <v>437.9</v>
      </c>
      <c r="U6" s="51">
        <v>432.6</v>
      </c>
      <c r="V6" s="51">
        <v>457.9</v>
      </c>
      <c r="W6" s="51">
        <v>450.6</v>
      </c>
      <c r="X6" s="51">
        <v>477.5</v>
      </c>
      <c r="Y6" s="51">
        <v>500.2</v>
      </c>
      <c r="Z6" s="51">
        <v>530.79999999999995</v>
      </c>
      <c r="AA6" s="51">
        <v>506.4</v>
      </c>
      <c r="AB6" s="51">
        <v>504.6</v>
      </c>
      <c r="AC6" s="51">
        <v>494</v>
      </c>
      <c r="AD6" s="51">
        <v>549.1</v>
      </c>
      <c r="AE6" s="51">
        <v>525.4</v>
      </c>
      <c r="AF6" s="51">
        <v>586.9</v>
      </c>
      <c r="AG6" s="51">
        <v>593.20000000000005</v>
      </c>
      <c r="AH6" s="51">
        <v>662</v>
      </c>
      <c r="AI6" s="51">
        <v>590.29999999999995</v>
      </c>
      <c r="AJ6" s="51">
        <v>613.4</v>
      </c>
      <c r="AK6" s="51">
        <v>575.79999999999995</v>
      </c>
      <c r="AL6" s="51">
        <f t="shared" ref="AL6:AP6" si="7">+AK6-5</f>
        <v>570.79999999999995</v>
      </c>
      <c r="AM6" s="51">
        <f t="shared" si="7"/>
        <v>565.79999999999995</v>
      </c>
      <c r="AN6" s="51">
        <f t="shared" si="7"/>
        <v>560.79999999999995</v>
      </c>
      <c r="AO6" s="51">
        <f t="shared" si="7"/>
        <v>555.79999999999995</v>
      </c>
      <c r="AP6" s="51">
        <f t="shared" si="7"/>
        <v>550.79999999999995</v>
      </c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>
        <v>730.8</v>
      </c>
      <c r="BL6" s="51">
        <v>677.6</v>
      </c>
      <c r="BM6" s="51">
        <v>648.9</v>
      </c>
      <c r="BN6" s="51">
        <v>763.4</v>
      </c>
      <c r="BO6" s="51">
        <v>695.8</v>
      </c>
      <c r="BP6" s="51">
        <v>555.1</v>
      </c>
      <c r="BQ6" s="51">
        <v>656.9</v>
      </c>
      <c r="BR6" s="51">
        <v>718.1</v>
      </c>
      <c r="BS6" s="51">
        <f>332.7+284.4</f>
        <v>617.09999999999991</v>
      </c>
      <c r="BT6" s="51">
        <v>607.6</v>
      </c>
      <c r="BU6" s="51">
        <v>626.70000000000005</v>
      </c>
      <c r="BV6" s="51">
        <v>601.70000000000005</v>
      </c>
      <c r="BW6" s="51">
        <f>368.9+249.3</f>
        <v>618.20000000000005</v>
      </c>
      <c r="BX6" s="51">
        <f t="shared" ref="BX6:CD6" si="8">+BT6*0.98</f>
        <v>595.44799999999998</v>
      </c>
      <c r="BY6" s="51">
        <f t="shared" si="8"/>
        <v>614.16600000000005</v>
      </c>
      <c r="BZ6" s="51">
        <f t="shared" si="8"/>
        <v>589.66600000000005</v>
      </c>
      <c r="CA6" s="51">
        <f t="shared" si="8"/>
        <v>605.83600000000001</v>
      </c>
      <c r="CB6" s="51">
        <f t="shared" si="8"/>
        <v>583.53904</v>
      </c>
      <c r="CC6" s="51">
        <f t="shared" si="8"/>
        <v>601.88268000000005</v>
      </c>
      <c r="CD6" s="51">
        <f t="shared" si="8"/>
        <v>577.87268000000006</v>
      </c>
      <c r="CE6" s="51"/>
      <c r="CF6" s="51"/>
      <c r="CG6" s="49"/>
      <c r="CH6" s="51"/>
      <c r="CI6" s="51">
        <v>834</v>
      </c>
      <c r="CJ6" s="51">
        <v>1021</v>
      </c>
      <c r="CK6" s="51">
        <v>1101</v>
      </c>
      <c r="CL6" s="51">
        <v>1198</v>
      </c>
      <c r="CM6" s="51">
        <f>SUM(K6:N6)</f>
        <v>1300.2</v>
      </c>
      <c r="CN6" s="51">
        <f t="shared" ref="CN6:CN11" si="9">SUM(O6:R6)</f>
        <v>1474.6000000000001</v>
      </c>
      <c r="CO6" s="51">
        <f t="shared" ref="CO6:CO33" si="10">SUM(S6:V6)</f>
        <v>1735.8000000000002</v>
      </c>
      <c r="CP6" s="51">
        <f t="shared" ref="CP6:CP33" si="11">SUM(W6:Z6)</f>
        <v>1959.1</v>
      </c>
      <c r="CQ6" s="51">
        <f t="shared" ref="CQ6:CQ33" si="12">SUM(AA6:AD6)</f>
        <v>2054.1</v>
      </c>
      <c r="CR6" s="51">
        <f t="shared" ref="CR6:CR34" si="13">SUM(AE6:AH6)</f>
        <v>2367.5</v>
      </c>
      <c r="CS6" s="51">
        <f>SUM(AI6:AL6)</f>
        <v>2350.2999999999997</v>
      </c>
      <c r="CT6" s="51">
        <f>CS6*0.99</f>
        <v>2326.7969999999996</v>
      </c>
      <c r="CU6" s="51">
        <f t="shared" ref="CU6" si="14">CT6*0.99</f>
        <v>2303.5290299999997</v>
      </c>
      <c r="CV6" s="51"/>
      <c r="CW6" s="51"/>
      <c r="CX6" s="51">
        <v>2865.2</v>
      </c>
      <c r="CY6" s="80">
        <v>2996.5</v>
      </c>
      <c r="CZ6" s="80">
        <v>2820.7</v>
      </c>
      <c r="DA6" s="49">
        <f t="shared" si="3"/>
        <v>2625.9</v>
      </c>
      <c r="DB6" s="49">
        <f t="shared" si="4"/>
        <v>2453.1</v>
      </c>
      <c r="DC6" s="49">
        <f t="shared" si="5"/>
        <v>2417.4800000000005</v>
      </c>
      <c r="DD6" s="49">
        <f t="shared" si="6"/>
        <v>2369.1304</v>
      </c>
      <c r="DE6" s="49">
        <f>+DD6*0.95</f>
        <v>2250.6738799999998</v>
      </c>
      <c r="DF6" s="49">
        <f t="shared" ref="DF6:DK6" si="15">+DE6*0.95</f>
        <v>2138.1401859999996</v>
      </c>
      <c r="DG6" s="49">
        <f t="shared" si="15"/>
        <v>2031.2331766999996</v>
      </c>
      <c r="DH6" s="49">
        <f t="shared" si="15"/>
        <v>1929.6715178649995</v>
      </c>
      <c r="DI6" s="49">
        <f t="shared" si="15"/>
        <v>1833.1879419717495</v>
      </c>
      <c r="DJ6" s="49">
        <f t="shared" si="15"/>
        <v>1741.528544873162</v>
      </c>
      <c r="DK6" s="49">
        <f t="shared" si="15"/>
        <v>1654.4521176295038</v>
      </c>
    </row>
    <row r="7" spans="1:115" x14ac:dyDescent="0.2">
      <c r="B7" s="38" t="s">
        <v>376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>
        <v>252.5</v>
      </c>
      <c r="BL7" s="52">
        <v>353.8</v>
      </c>
      <c r="BM7" s="52">
        <v>340</v>
      </c>
      <c r="BN7" s="52">
        <v>420.1</v>
      </c>
      <c r="BO7" s="52">
        <v>443.5</v>
      </c>
      <c r="BP7" s="52">
        <v>395.2</v>
      </c>
      <c r="BQ7" s="52">
        <v>454.5</v>
      </c>
      <c r="BR7" s="52">
        <v>495.3</v>
      </c>
      <c r="BS7" s="52">
        <v>403.2</v>
      </c>
      <c r="BT7" s="52">
        <v>569.1</v>
      </c>
      <c r="BU7" s="52">
        <v>593.1</v>
      </c>
      <c r="BV7" s="52">
        <v>647.4</v>
      </c>
      <c r="BW7" s="52">
        <v>488.1</v>
      </c>
      <c r="BX7" s="52">
        <f>+BT7*1.2</f>
        <v>682.92</v>
      </c>
      <c r="BY7" s="52">
        <f t="shared" ref="BY7:CD7" si="16">+BU7*1.2</f>
        <v>711.72</v>
      </c>
      <c r="BZ7" s="52">
        <f t="shared" si="16"/>
        <v>776.88</v>
      </c>
      <c r="CA7" s="52">
        <f t="shared" si="16"/>
        <v>585.72</v>
      </c>
      <c r="CB7" s="52">
        <f t="shared" si="16"/>
        <v>819.50399999999991</v>
      </c>
      <c r="CC7" s="52">
        <f t="shared" si="16"/>
        <v>854.06399999999996</v>
      </c>
      <c r="CD7" s="52">
        <f t="shared" si="16"/>
        <v>932.25599999999997</v>
      </c>
      <c r="CE7" s="52"/>
      <c r="CF7" s="52"/>
      <c r="CG7" s="49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>
        <v>559.20000000000005</v>
      </c>
      <c r="CY7" s="80">
        <v>937.5</v>
      </c>
      <c r="CZ7" s="80">
        <v>1366.4</v>
      </c>
      <c r="DA7" s="49">
        <f t="shared" si="3"/>
        <v>1788.5</v>
      </c>
      <c r="DB7" s="49">
        <f t="shared" si="4"/>
        <v>2212.8000000000002</v>
      </c>
      <c r="DC7" s="49">
        <f t="shared" si="5"/>
        <v>2659.62</v>
      </c>
      <c r="DD7" s="49">
        <f t="shared" si="6"/>
        <v>3191.5439999999999</v>
      </c>
      <c r="DE7" s="49">
        <f>+DD7*1.2</f>
        <v>3829.8527999999997</v>
      </c>
      <c r="DF7" s="49">
        <f>+DE7*1.2</f>
        <v>4595.8233599999994</v>
      </c>
      <c r="DG7" s="49">
        <f>+DF7*1.2</f>
        <v>5514.9880319999993</v>
      </c>
      <c r="DH7" s="49">
        <f>+DG7*1.1</f>
        <v>6066.4868351999994</v>
      </c>
      <c r="DI7" s="49">
        <f>+DH7*1.1</f>
        <v>6673.1355187199997</v>
      </c>
      <c r="DJ7" s="49">
        <f>+DI7*1.1</f>
        <v>7340.4490705920007</v>
      </c>
      <c r="DK7" s="49">
        <f>+DJ7*1.05</f>
        <v>7707.4715241216009</v>
      </c>
    </row>
    <row r="8" spans="1:115" x14ac:dyDescent="0.2">
      <c r="B8" s="38" t="s">
        <v>373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>
        <v>109.4</v>
      </c>
      <c r="BL8" s="51">
        <v>133.9</v>
      </c>
      <c r="BM8" s="51">
        <v>157.19999999999999</v>
      </c>
      <c r="BN8" s="51">
        <v>179.1</v>
      </c>
      <c r="BO8" s="51">
        <v>188</v>
      </c>
      <c r="BP8" s="51">
        <v>208.6</v>
      </c>
      <c r="BQ8" s="51">
        <v>234.4</v>
      </c>
      <c r="BR8" s="51">
        <v>281.60000000000002</v>
      </c>
      <c r="BS8" s="51">
        <v>269</v>
      </c>
      <c r="BT8" s="51">
        <v>341.3</v>
      </c>
      <c r="BU8" s="51">
        <v>335.5</v>
      </c>
      <c r="BV8" s="51">
        <v>404.1</v>
      </c>
      <c r="BW8" s="51">
        <v>469.4</v>
      </c>
      <c r="BX8" s="51">
        <f>+BT8*1.3</f>
        <v>443.69000000000005</v>
      </c>
      <c r="BY8" s="51">
        <f>+BU8*1.3</f>
        <v>436.15000000000003</v>
      </c>
      <c r="BZ8" s="51">
        <f t="shared" ref="BZ8:CB9" si="17">+BV8*1.2</f>
        <v>484.92</v>
      </c>
      <c r="CA8" s="51">
        <f t="shared" si="17"/>
        <v>563.28</v>
      </c>
      <c r="CB8" s="51">
        <f t="shared" si="17"/>
        <v>532.428</v>
      </c>
      <c r="CC8" s="51">
        <f>+BY8*1.15</f>
        <v>501.57249999999999</v>
      </c>
      <c r="CD8" s="51">
        <f>+BZ8*1.15</f>
        <v>557.65800000000002</v>
      </c>
      <c r="CE8" s="51"/>
      <c r="CF8" s="51"/>
      <c r="CG8" s="49"/>
      <c r="CH8" s="51"/>
      <c r="CI8" s="51"/>
      <c r="CJ8" s="51"/>
      <c r="CK8" s="51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>
        <v>21</v>
      </c>
      <c r="CY8" s="80">
        <v>255</v>
      </c>
      <c r="CZ8" s="80">
        <v>579.70000000000005</v>
      </c>
      <c r="DA8" s="49">
        <f t="shared" si="3"/>
        <v>912.6</v>
      </c>
      <c r="DB8" s="49">
        <f t="shared" si="4"/>
        <v>1349.9</v>
      </c>
      <c r="DC8" s="49">
        <f t="shared" si="5"/>
        <v>1834.16</v>
      </c>
      <c r="DD8" s="49">
        <f t="shared" si="6"/>
        <v>2154.9385000000002</v>
      </c>
      <c r="DE8" s="49">
        <f>+DD8*1.2</f>
        <v>2585.9262000000003</v>
      </c>
      <c r="DF8" s="49">
        <f>+DE8*1.01</f>
        <v>2611.7854620000003</v>
      </c>
      <c r="DG8" s="49">
        <f>+DF8*1.01</f>
        <v>2637.9033166200002</v>
      </c>
      <c r="DH8" s="49">
        <f>+DG8*1.01</f>
        <v>2664.2823497862</v>
      </c>
      <c r="DI8" s="49">
        <f>+DH8*1.01</f>
        <v>2690.9251732840621</v>
      </c>
      <c r="DJ8" s="49">
        <f>+DI8*1.01</f>
        <v>2717.834425016903</v>
      </c>
      <c r="DK8" s="49">
        <f>+DJ8*0.1</f>
        <v>271.78344250169033</v>
      </c>
    </row>
    <row r="9" spans="1:115" x14ac:dyDescent="0.2">
      <c r="B9" s="38" t="s">
        <v>372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>
        <v>203.6</v>
      </c>
      <c r="BL9" s="51">
        <v>231.9</v>
      </c>
      <c r="BM9" s="51">
        <v>240.7</v>
      </c>
      <c r="BN9" s="51">
        <v>268</v>
      </c>
      <c r="BO9" s="51">
        <v>267.5</v>
      </c>
      <c r="BP9" s="51">
        <v>262</v>
      </c>
      <c r="BQ9" s="51">
        <v>310.8</v>
      </c>
      <c r="BR9" s="51">
        <v>313.60000000000002</v>
      </c>
      <c r="BS9" s="51">
        <v>312</v>
      </c>
      <c r="BT9" s="51">
        <v>356.5</v>
      </c>
      <c r="BU9" s="51">
        <v>390.4</v>
      </c>
      <c r="BV9" s="51">
        <v>431.9</v>
      </c>
      <c r="BW9" s="51">
        <v>419.4</v>
      </c>
      <c r="BX9" s="51">
        <f>+BT9*1.2</f>
        <v>427.8</v>
      </c>
      <c r="BY9" s="51">
        <f>+BU9*1.2</f>
        <v>468.47999999999996</v>
      </c>
      <c r="BZ9" s="51">
        <f t="shared" si="17"/>
        <v>518.28</v>
      </c>
      <c r="CA9" s="51">
        <f t="shared" si="17"/>
        <v>503.28</v>
      </c>
      <c r="CB9" s="51">
        <f t="shared" si="17"/>
        <v>513.36</v>
      </c>
      <c r="CC9" s="51">
        <f>+BY9*1.2</f>
        <v>562.17599999999993</v>
      </c>
      <c r="CD9" s="51">
        <f>+BZ9*1.2</f>
        <v>621.93599999999992</v>
      </c>
      <c r="CE9" s="51"/>
      <c r="CF9" s="51"/>
      <c r="CG9" s="49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>
        <v>447.5</v>
      </c>
      <c r="CY9" s="80">
        <v>658.3</v>
      </c>
      <c r="CZ9" s="80">
        <v>944.2</v>
      </c>
      <c r="DA9" s="49">
        <f t="shared" si="3"/>
        <v>1153.9000000000001</v>
      </c>
      <c r="DB9" s="49">
        <f t="shared" si="4"/>
        <v>1490.8000000000002</v>
      </c>
      <c r="DC9" s="49">
        <f t="shared" si="5"/>
        <v>1833.96</v>
      </c>
      <c r="DD9" s="49">
        <f t="shared" si="6"/>
        <v>2200.7519999999995</v>
      </c>
      <c r="DE9" s="49">
        <f>+DD9*1.2</f>
        <v>2640.9023999999995</v>
      </c>
      <c r="DF9" s="49">
        <f>+DE9*1.2</f>
        <v>3169.0828799999995</v>
      </c>
      <c r="DG9" s="49">
        <f>+DF9*1.2</f>
        <v>3802.8994559999992</v>
      </c>
      <c r="DH9" s="49">
        <f>+DG9*1.1</f>
        <v>4183.1894015999997</v>
      </c>
      <c r="DI9" s="49">
        <f>+DH9*1.1</f>
        <v>4601.5083417599999</v>
      </c>
      <c r="DJ9" s="49">
        <f>+DI9*1.1</f>
        <v>5061.6591759359999</v>
      </c>
      <c r="DK9" s="49">
        <f>+DJ9*0.1</f>
        <v>506.1659175936</v>
      </c>
    </row>
    <row r="10" spans="1:115" x14ac:dyDescent="0.2">
      <c r="B10" t="s">
        <v>19</v>
      </c>
      <c r="C10" s="51">
        <v>11.6</v>
      </c>
      <c r="D10" s="51">
        <v>17.8</v>
      </c>
      <c r="E10" s="51">
        <v>40</v>
      </c>
      <c r="F10" s="51">
        <v>73.099999999999994</v>
      </c>
      <c r="G10" s="51">
        <v>93.9</v>
      </c>
      <c r="H10" s="51">
        <v>111.2</v>
      </c>
      <c r="I10" s="51">
        <v>122.3</v>
      </c>
      <c r="J10" s="51">
        <v>135.80000000000001</v>
      </c>
      <c r="K10" s="51">
        <v>130</v>
      </c>
      <c r="L10" s="51">
        <v>153</v>
      </c>
      <c r="M10" s="51">
        <v>157</v>
      </c>
      <c r="N10" s="51">
        <v>171.4</v>
      </c>
      <c r="O10" s="51">
        <v>187.8</v>
      </c>
      <c r="P10" s="51">
        <v>207.1</v>
      </c>
      <c r="Q10" s="51">
        <v>215</v>
      </c>
      <c r="R10" s="51">
        <v>244.1</v>
      </c>
      <c r="S10" s="51">
        <v>247.2</v>
      </c>
      <c r="T10" s="51">
        <v>275</v>
      </c>
      <c r="U10" s="51">
        <v>313.89999999999998</v>
      </c>
      <c r="V10" s="51">
        <v>318.7</v>
      </c>
      <c r="W10" s="51">
        <v>335.3</v>
      </c>
      <c r="X10" s="51">
        <v>385.3</v>
      </c>
      <c r="Y10" s="51">
        <v>461.9</v>
      </c>
      <c r="Z10" s="51">
        <v>523.6</v>
      </c>
      <c r="AA10" s="51">
        <v>527.4</v>
      </c>
      <c r="AB10" s="51">
        <v>551.79999999999995</v>
      </c>
      <c r="AC10" s="51">
        <v>560.29999999999995</v>
      </c>
      <c r="AD10" s="51">
        <v>569</v>
      </c>
      <c r="AE10" s="51">
        <v>579.9</v>
      </c>
      <c r="AF10" s="51">
        <v>613.4</v>
      </c>
      <c r="AG10" s="51">
        <v>629.70000000000005</v>
      </c>
      <c r="AH10" s="51">
        <v>638.1</v>
      </c>
      <c r="AI10" s="51">
        <v>606.79999999999995</v>
      </c>
      <c r="AJ10" s="51">
        <v>659.5</v>
      </c>
      <c r="AK10" s="51">
        <v>643.6</v>
      </c>
      <c r="AL10" s="51">
        <f t="shared" ref="AL10:AP10" si="18">+AK10</f>
        <v>643.6</v>
      </c>
      <c r="AM10" s="51">
        <f t="shared" si="18"/>
        <v>643.6</v>
      </c>
      <c r="AN10" s="51">
        <f t="shared" si="18"/>
        <v>643.6</v>
      </c>
      <c r="AO10" s="51">
        <f t="shared" si="18"/>
        <v>643.6</v>
      </c>
      <c r="AP10" s="51">
        <f t="shared" si="18"/>
        <v>643.6</v>
      </c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>
        <v>499.2</v>
      </c>
      <c r="BL10" s="51">
        <v>577.79999999999995</v>
      </c>
      <c r="BM10" s="51">
        <v>508.2</v>
      </c>
      <c r="BN10" s="51">
        <v>530.70000000000005</v>
      </c>
      <c r="BO10" s="51">
        <v>560.1</v>
      </c>
      <c r="BP10" s="51">
        <v>539.1</v>
      </c>
      <c r="BQ10" s="51">
        <v>578</v>
      </c>
      <c r="BR10" s="51">
        <v>652.70000000000005</v>
      </c>
      <c r="BS10" s="51">
        <v>559</v>
      </c>
      <c r="BT10" s="51">
        <v>610.6</v>
      </c>
      <c r="BU10" s="51">
        <v>457</v>
      </c>
      <c r="BV10" s="51">
        <v>434.9</v>
      </c>
      <c r="BW10" s="51">
        <v>343.9</v>
      </c>
      <c r="BX10" s="51">
        <f t="shared" ref="BX10:CD10" si="19">+BW10-20</f>
        <v>323.89999999999998</v>
      </c>
      <c r="BY10" s="51">
        <f t="shared" si="19"/>
        <v>303.89999999999998</v>
      </c>
      <c r="BZ10" s="51">
        <f t="shared" si="19"/>
        <v>283.89999999999998</v>
      </c>
      <c r="CA10" s="51">
        <f t="shared" si="19"/>
        <v>263.89999999999998</v>
      </c>
      <c r="CB10" s="51">
        <f t="shared" si="19"/>
        <v>243.89999999999998</v>
      </c>
      <c r="CC10" s="51">
        <f t="shared" si="19"/>
        <v>223.89999999999998</v>
      </c>
      <c r="CD10" s="51">
        <f t="shared" si="19"/>
        <v>203.89999999999998</v>
      </c>
      <c r="CE10" s="51"/>
      <c r="CF10" s="51"/>
      <c r="CG10" s="49"/>
      <c r="CH10" s="51"/>
      <c r="CI10" s="51"/>
      <c r="CJ10" s="51"/>
      <c r="CK10" s="51">
        <v>143</v>
      </c>
      <c r="CL10" s="51">
        <v>463</v>
      </c>
      <c r="CM10" s="51">
        <v>619</v>
      </c>
      <c r="CN10" s="51">
        <f>SUM(O10:R10)</f>
        <v>854</v>
      </c>
      <c r="CO10" s="51">
        <f>SUM(S10:V10)</f>
        <v>1154.8</v>
      </c>
      <c r="CP10" s="51">
        <f>SUM(W10:Z10)</f>
        <v>1706.1</v>
      </c>
      <c r="CQ10" s="51">
        <f>SUM(AA10:AD10)</f>
        <v>2208.5</v>
      </c>
      <c r="CR10" s="51">
        <f>SUM(AE10:AH10)</f>
        <v>2461.1</v>
      </c>
      <c r="CS10" s="51">
        <f>SUM(AI10:AL10)</f>
        <v>2553.5</v>
      </c>
      <c r="CT10" s="51">
        <f>CS10*1.15</f>
        <v>2936.5249999999996</v>
      </c>
      <c r="CU10" s="51">
        <f>CT10</f>
        <v>2936.5249999999996</v>
      </c>
      <c r="CV10" s="51"/>
      <c r="CW10" s="51"/>
      <c r="CX10" s="51">
        <v>2062.5</v>
      </c>
      <c r="CY10" s="80">
        <v>2132.9</v>
      </c>
      <c r="CZ10" s="80">
        <v>2115.8000000000002</v>
      </c>
      <c r="DA10" s="49">
        <f t="shared" si="3"/>
        <v>2329.9</v>
      </c>
      <c r="DB10" s="49">
        <f t="shared" si="4"/>
        <v>2061.5</v>
      </c>
      <c r="DC10" s="49">
        <f t="shared" si="5"/>
        <v>1255.5999999999999</v>
      </c>
      <c r="DD10" s="49">
        <f t="shared" si="6"/>
        <v>935.59999999999991</v>
      </c>
      <c r="DE10" s="49">
        <f>+DD10*0.5</f>
        <v>467.79999999999995</v>
      </c>
      <c r="DF10" s="49">
        <f t="shared" ref="DF10:DK10" si="20">+DE10*0.5</f>
        <v>233.89999999999998</v>
      </c>
      <c r="DG10" s="49">
        <f t="shared" si="20"/>
        <v>116.94999999999999</v>
      </c>
      <c r="DH10" s="49">
        <f t="shared" si="20"/>
        <v>58.474999999999994</v>
      </c>
      <c r="DI10" s="49">
        <f t="shared" si="20"/>
        <v>29.237499999999997</v>
      </c>
      <c r="DJ10" s="49">
        <f t="shared" si="20"/>
        <v>14.618749999999999</v>
      </c>
      <c r="DK10" s="49">
        <f t="shared" si="20"/>
        <v>7.3093749999999993</v>
      </c>
    </row>
    <row r="11" spans="1:115" x14ac:dyDescent="0.2">
      <c r="B11" t="s">
        <v>57</v>
      </c>
      <c r="C11" s="51">
        <v>249.4</v>
      </c>
      <c r="D11" s="51">
        <v>259.3</v>
      </c>
      <c r="E11" s="51">
        <v>243.7</v>
      </c>
      <c r="F11" s="51">
        <v>245.2</v>
      </c>
      <c r="G11" s="51">
        <v>256.89999999999998</v>
      </c>
      <c r="H11" s="51">
        <v>249.8</v>
      </c>
      <c r="I11" s="51">
        <v>250.9</v>
      </c>
      <c r="J11" s="51">
        <v>247.2</v>
      </c>
      <c r="K11" s="51">
        <v>219</v>
      </c>
      <c r="L11" s="51">
        <v>220</v>
      </c>
      <c r="M11" s="51">
        <v>230</v>
      </c>
      <c r="N11" s="51">
        <v>257</v>
      </c>
      <c r="O11" s="51">
        <v>225.8</v>
      </c>
      <c r="P11" s="51">
        <v>242.8</v>
      </c>
      <c r="Q11" s="51">
        <v>243.3</v>
      </c>
      <c r="R11" s="51">
        <v>273.39999999999998</v>
      </c>
      <c r="S11" s="51">
        <v>257.7</v>
      </c>
      <c r="T11" s="51">
        <v>271.39999999999998</v>
      </c>
      <c r="U11" s="51">
        <v>271.60000000000002</v>
      </c>
      <c r="V11" s="51">
        <v>262.39999999999998</v>
      </c>
      <c r="W11" s="51">
        <v>240.6</v>
      </c>
      <c r="X11" s="51">
        <v>248.1</v>
      </c>
      <c r="Y11" s="51">
        <v>260.39999999999998</v>
      </c>
      <c r="Z11" s="51">
        <v>273</v>
      </c>
      <c r="AA11" s="51">
        <v>257.8</v>
      </c>
      <c r="AB11" s="51">
        <v>265.2</v>
      </c>
      <c r="AC11" s="51">
        <v>278</v>
      </c>
      <c r="AD11" s="51">
        <v>287.89999999999998</v>
      </c>
      <c r="AE11" s="51">
        <v>289.8</v>
      </c>
      <c r="AF11" s="51">
        <v>311.8</v>
      </c>
      <c r="AG11" s="51">
        <v>301.5</v>
      </c>
      <c r="AH11" s="51">
        <v>345.6</v>
      </c>
      <c r="AI11" s="51">
        <v>307.7</v>
      </c>
      <c r="AJ11" s="51">
        <v>303</v>
      </c>
      <c r="AK11" s="51">
        <v>285.39999999999998</v>
      </c>
      <c r="AL11" s="51">
        <f t="shared" ref="AL11:AP11" si="21">+AK11</f>
        <v>285.39999999999998</v>
      </c>
      <c r="AM11" s="51">
        <f t="shared" si="21"/>
        <v>285.39999999999998</v>
      </c>
      <c r="AN11" s="51">
        <f t="shared" si="21"/>
        <v>285.39999999999998</v>
      </c>
      <c r="AO11" s="51">
        <f t="shared" si="21"/>
        <v>285.39999999999998</v>
      </c>
      <c r="AP11" s="51">
        <f t="shared" si="21"/>
        <v>285.39999999999998</v>
      </c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>
        <v>297.7</v>
      </c>
      <c r="BL11" s="51">
        <v>322.60000000000002</v>
      </c>
      <c r="BM11" s="51">
        <v>321.8</v>
      </c>
      <c r="BN11" s="51">
        <v>348</v>
      </c>
      <c r="BO11" s="51">
        <v>315.7</v>
      </c>
      <c r="BP11" s="51">
        <v>313.60000000000002</v>
      </c>
      <c r="BQ11" s="51">
        <v>305.89999999999998</v>
      </c>
      <c r="BR11" s="51">
        <v>324.39999999999998</v>
      </c>
      <c r="BS11" s="51">
        <f>219+102.7</f>
        <v>321.7</v>
      </c>
      <c r="BT11" s="51">
        <v>315.3</v>
      </c>
      <c r="BU11" s="51">
        <v>286.7</v>
      </c>
      <c r="BV11" s="51">
        <v>298.8</v>
      </c>
      <c r="BW11" s="51">
        <f>190.4+82.8</f>
        <v>273.2</v>
      </c>
      <c r="BX11" s="51">
        <f t="shared" ref="BX11:CD11" si="22">+BT11*0.9</f>
        <v>283.77000000000004</v>
      </c>
      <c r="BY11" s="51">
        <f t="shared" si="22"/>
        <v>258.02999999999997</v>
      </c>
      <c r="BZ11" s="51">
        <f t="shared" si="22"/>
        <v>268.92</v>
      </c>
      <c r="CA11" s="51">
        <f t="shared" si="22"/>
        <v>245.88</v>
      </c>
      <c r="CB11" s="51">
        <f t="shared" si="22"/>
        <v>255.39300000000003</v>
      </c>
      <c r="CC11" s="51">
        <f t="shared" si="22"/>
        <v>232.22699999999998</v>
      </c>
      <c r="CD11" s="51">
        <f t="shared" si="22"/>
        <v>242.02800000000002</v>
      </c>
      <c r="CE11" s="51"/>
      <c r="CF11" s="51"/>
      <c r="CG11" s="49"/>
      <c r="CH11" s="51"/>
      <c r="CI11" s="51">
        <v>1004</v>
      </c>
      <c r="CJ11" s="51">
        <v>1060</v>
      </c>
      <c r="CK11" s="51">
        <v>997</v>
      </c>
      <c r="CL11" s="51">
        <v>1005</v>
      </c>
      <c r="CM11" s="51">
        <v>905</v>
      </c>
      <c r="CN11" s="51">
        <f t="shared" si="9"/>
        <v>985.30000000000007</v>
      </c>
      <c r="CO11" s="51">
        <f t="shared" si="10"/>
        <v>1063.0999999999999</v>
      </c>
      <c r="CP11" s="51">
        <f t="shared" si="11"/>
        <v>1022.0999999999999</v>
      </c>
      <c r="CQ11" s="51">
        <f t="shared" si="12"/>
        <v>1088.9000000000001</v>
      </c>
      <c r="CR11" s="51">
        <f t="shared" si="13"/>
        <v>1248.7</v>
      </c>
      <c r="CS11" s="51">
        <f>SUM(AI11:AL11)</f>
        <v>1181.5</v>
      </c>
      <c r="CT11" s="51">
        <f>CS11*0.99</f>
        <v>1169.6849999999999</v>
      </c>
      <c r="CU11" s="51">
        <f t="shared" ref="CU11:CW11" si="23">CT11*0.99</f>
        <v>1157.9881499999999</v>
      </c>
      <c r="CV11" s="51"/>
      <c r="CW11" s="51"/>
      <c r="CX11" s="51">
        <v>1335.4</v>
      </c>
      <c r="CY11" s="80">
        <v>1331.4</v>
      </c>
      <c r="CZ11" s="80">
        <v>1290.0999999999999</v>
      </c>
      <c r="DA11" s="49">
        <f t="shared" si="3"/>
        <v>1259.5999999999999</v>
      </c>
      <c r="DB11" s="49">
        <f t="shared" si="4"/>
        <v>1222.5</v>
      </c>
      <c r="DC11" s="49">
        <f t="shared" si="5"/>
        <v>1083.92</v>
      </c>
      <c r="DD11" s="49">
        <f t="shared" si="6"/>
        <v>975.52800000000002</v>
      </c>
      <c r="DE11" s="49">
        <f t="shared" ref="DE11:DK11" si="24">+DD11*0.95</f>
        <v>926.75159999999994</v>
      </c>
      <c r="DF11" s="49">
        <f t="shared" si="24"/>
        <v>880.41401999999994</v>
      </c>
      <c r="DG11" s="49">
        <f t="shared" si="24"/>
        <v>836.39331899999991</v>
      </c>
      <c r="DH11" s="49">
        <f t="shared" si="24"/>
        <v>794.57365304999985</v>
      </c>
      <c r="DI11" s="49">
        <f t="shared" si="24"/>
        <v>754.84497039749976</v>
      </c>
      <c r="DJ11" s="49">
        <f t="shared" si="24"/>
        <v>717.10272187762473</v>
      </c>
      <c r="DK11" s="49">
        <f t="shared" si="24"/>
        <v>681.24758578374349</v>
      </c>
    </row>
    <row r="12" spans="1:115" x14ac:dyDescent="0.2">
      <c r="B12" s="38" t="s">
        <v>377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>
        <v>82.1</v>
      </c>
      <c r="BL12" s="52">
        <v>102.4</v>
      </c>
      <c r="BM12" s="52">
        <v>114.6</v>
      </c>
      <c r="BN12" s="52">
        <v>127.8</v>
      </c>
      <c r="BO12" s="52">
        <v>139.69999999999999</v>
      </c>
      <c r="BP12" s="52">
        <v>145</v>
      </c>
      <c r="BQ12" s="52">
        <v>162</v>
      </c>
      <c r="BR12" s="52">
        <v>192.2</v>
      </c>
      <c r="BS12" s="52">
        <v>193.8</v>
      </c>
      <c r="BT12" s="52">
        <v>208.4</v>
      </c>
      <c r="BU12" s="52">
        <v>406.9</v>
      </c>
      <c r="BV12" s="52">
        <v>306</v>
      </c>
      <c r="BW12" s="52">
        <v>255.6</v>
      </c>
      <c r="BX12" s="52">
        <f>+BT12*1.2</f>
        <v>250.07999999999998</v>
      </c>
      <c r="BY12" s="52">
        <f>+BU12*0.8</f>
        <v>325.52</v>
      </c>
      <c r="BZ12" s="52">
        <f>+BV12*1</f>
        <v>306</v>
      </c>
      <c r="CA12" s="52">
        <f>+BW12*1.1</f>
        <v>281.16000000000003</v>
      </c>
      <c r="CB12" s="52">
        <f>+BX12*1.1</f>
        <v>275.08800000000002</v>
      </c>
      <c r="CC12" s="52">
        <f>+BY12*1.05</f>
        <v>341.79599999999999</v>
      </c>
      <c r="CD12" s="52">
        <f>+BZ12*1.1</f>
        <v>336.6</v>
      </c>
      <c r="CE12" s="52"/>
      <c r="CF12" s="52"/>
      <c r="CG12" s="49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>
        <v>45.8</v>
      </c>
      <c r="CY12" s="80">
        <v>202.5</v>
      </c>
      <c r="CZ12" s="80">
        <v>426.9</v>
      </c>
      <c r="DA12" s="49">
        <f t="shared" si="3"/>
        <v>638.9</v>
      </c>
      <c r="DB12" s="49">
        <f t="shared" si="4"/>
        <v>1115.0999999999999</v>
      </c>
      <c r="DC12" s="49">
        <f t="shared" si="5"/>
        <v>1137.1999999999998</v>
      </c>
      <c r="DD12" s="49">
        <f t="shared" si="6"/>
        <v>1234.6440000000002</v>
      </c>
      <c r="DE12" s="49">
        <f>+DD12*1.01</f>
        <v>1246.9904400000003</v>
      </c>
      <c r="DF12" s="49">
        <f t="shared" ref="DF12:DJ12" si="25">+DE12*1.01</f>
        <v>1259.4603444000002</v>
      </c>
      <c r="DG12" s="49">
        <f t="shared" si="25"/>
        <v>1272.0549478440003</v>
      </c>
      <c r="DH12" s="49">
        <f t="shared" si="25"/>
        <v>1284.7754973224403</v>
      </c>
      <c r="DI12" s="49">
        <f t="shared" si="25"/>
        <v>1297.6232522956648</v>
      </c>
      <c r="DJ12" s="49">
        <f t="shared" si="25"/>
        <v>1310.5994848186215</v>
      </c>
      <c r="DK12" s="49">
        <f>+DJ12*0.1</f>
        <v>131.05994848186216</v>
      </c>
    </row>
    <row r="13" spans="1:115" x14ac:dyDescent="0.2">
      <c r="B13" s="38" t="s">
        <v>374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>
        <v>198.3</v>
      </c>
      <c r="BL13" s="51">
        <v>241.8</v>
      </c>
      <c r="BM13" s="51">
        <v>240</v>
      </c>
      <c r="BN13" s="51">
        <v>245.1</v>
      </c>
      <c r="BO13" s="51">
        <v>239</v>
      </c>
      <c r="BP13" s="51">
        <v>256.7</v>
      </c>
      <c r="BQ13" s="51">
        <v>252.7</v>
      </c>
      <c r="BR13" s="51">
        <v>284.2</v>
      </c>
      <c r="BS13" s="51">
        <v>240.5</v>
      </c>
      <c r="BT13" s="51">
        <v>268.7</v>
      </c>
      <c r="BU13" s="51">
        <v>253.4</v>
      </c>
      <c r="BV13" s="51">
        <v>270.39999999999998</v>
      </c>
      <c r="BW13" s="51">
        <v>230.3</v>
      </c>
      <c r="BX13" s="51">
        <f>+BS13*0.95</f>
        <v>228.47499999999999</v>
      </c>
      <c r="BY13" s="51">
        <f t="shared" ref="BY13:CD13" si="26">+BT13*0.95</f>
        <v>255.26499999999999</v>
      </c>
      <c r="BZ13" s="51">
        <f t="shared" si="26"/>
        <v>240.73</v>
      </c>
      <c r="CA13" s="51">
        <f t="shared" si="26"/>
        <v>256.87999999999994</v>
      </c>
      <c r="CB13" s="51">
        <f t="shared" si="26"/>
        <v>218.785</v>
      </c>
      <c r="CC13" s="51">
        <f t="shared" si="26"/>
        <v>217.05124999999998</v>
      </c>
      <c r="CD13" s="51">
        <f t="shared" si="26"/>
        <v>242.50174999999999</v>
      </c>
      <c r="CE13" s="51"/>
      <c r="CF13" s="51"/>
      <c r="CG13" s="49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>
        <v>758.3</v>
      </c>
      <c r="CY13" s="80">
        <v>821.4</v>
      </c>
      <c r="CZ13" s="80">
        <v>925.1</v>
      </c>
      <c r="DA13" s="49">
        <f t="shared" si="3"/>
        <v>1032.5999999999999</v>
      </c>
      <c r="DB13" s="49">
        <f t="shared" si="4"/>
        <v>1033</v>
      </c>
      <c r="DC13" s="49">
        <f t="shared" si="5"/>
        <v>954.77</v>
      </c>
      <c r="DD13" s="49">
        <f t="shared" si="6"/>
        <v>935.21799999999996</v>
      </c>
      <c r="DE13" s="49">
        <f t="shared" ref="DE13:DK13" si="27">+DD13*0.95</f>
        <v>888.45709999999997</v>
      </c>
      <c r="DF13" s="49">
        <f t="shared" si="27"/>
        <v>844.03424499999994</v>
      </c>
      <c r="DG13" s="49">
        <f t="shared" si="27"/>
        <v>801.83253274999993</v>
      </c>
      <c r="DH13" s="49">
        <f t="shared" si="27"/>
        <v>761.74090611249994</v>
      </c>
      <c r="DI13" s="49">
        <f t="shared" si="27"/>
        <v>723.65386080687495</v>
      </c>
      <c r="DJ13" s="49">
        <f t="shared" si="27"/>
        <v>687.47116776653115</v>
      </c>
      <c r="DK13" s="49">
        <f t="shared" si="27"/>
        <v>653.09760937820454</v>
      </c>
    </row>
    <row r="14" spans="1:115" x14ac:dyDescent="0.2">
      <c r="B14" t="s">
        <v>18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>
        <v>268</v>
      </c>
      <c r="O14" s="51">
        <v>193.1</v>
      </c>
      <c r="P14" s="51">
        <v>293.10000000000002</v>
      </c>
      <c r="Q14" s="51">
        <v>311</v>
      </c>
      <c r="R14" s="51">
        <v>346.2</v>
      </c>
      <c r="S14" s="51">
        <v>336.9</v>
      </c>
      <c r="T14" s="51">
        <v>362.2</v>
      </c>
      <c r="U14" s="51">
        <v>376.6</v>
      </c>
      <c r="V14" s="51">
        <v>368.8</v>
      </c>
      <c r="W14" s="51">
        <v>358.8</v>
      </c>
      <c r="X14" s="51">
        <v>363.6</v>
      </c>
      <c r="Y14" s="51">
        <v>397.2</v>
      </c>
      <c r="Z14" s="51">
        <v>439.5</v>
      </c>
      <c r="AA14" s="51">
        <v>408.3</v>
      </c>
      <c r="AB14" s="51">
        <v>418.7</v>
      </c>
      <c r="AC14" s="51">
        <v>406.5</v>
      </c>
      <c r="AD14" s="51">
        <v>465.9</v>
      </c>
      <c r="AE14" s="51">
        <v>434.4</v>
      </c>
      <c r="AF14" s="51">
        <v>477.2</v>
      </c>
      <c r="AG14" s="51">
        <v>469.8</v>
      </c>
      <c r="AH14" s="51">
        <v>494.2</v>
      </c>
      <c r="AI14" s="51">
        <v>461.8</v>
      </c>
      <c r="AJ14" s="51">
        <v>469.5</v>
      </c>
      <c r="AK14" s="51">
        <v>482.1</v>
      </c>
      <c r="AL14" s="51">
        <f>+AK14</f>
        <v>482.1</v>
      </c>
      <c r="AM14" s="51">
        <f t="shared" ref="AM14:AP14" si="28">+AL14</f>
        <v>482.1</v>
      </c>
      <c r="AN14" s="51">
        <f t="shared" si="28"/>
        <v>482.1</v>
      </c>
      <c r="AO14" s="51">
        <f t="shared" si="28"/>
        <v>482.1</v>
      </c>
      <c r="AP14" s="51">
        <f t="shared" si="28"/>
        <v>482.1</v>
      </c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>
        <v>0</v>
      </c>
      <c r="BL14" s="51">
        <v>0</v>
      </c>
      <c r="BM14" s="51">
        <v>0</v>
      </c>
      <c r="BN14" s="51">
        <v>0</v>
      </c>
      <c r="BO14" s="51">
        <v>193</v>
      </c>
      <c r="BP14" s="51">
        <v>130.69999999999999</v>
      </c>
      <c r="BQ14" s="52">
        <v>162.5</v>
      </c>
      <c r="BR14" s="51">
        <f>607.1-BQ14-BP14-BO14</f>
        <v>120.90000000000003</v>
      </c>
      <c r="BS14" s="51">
        <v>126.8</v>
      </c>
      <c r="BT14" s="51">
        <v>281</v>
      </c>
      <c r="BU14" s="51">
        <v>130.9</v>
      </c>
      <c r="BV14" s="51">
        <f>718.4-BU14-BT14-BS14</f>
        <v>179.7</v>
      </c>
      <c r="BW14" s="51">
        <v>217.7</v>
      </c>
      <c r="BX14" s="51">
        <f>AVERAGE(BT14:BW14)*0.9</f>
        <v>182.0925</v>
      </c>
      <c r="BY14" s="51">
        <f t="shared" ref="BY14:CD14" si="29">AVERAGE(BU14:BX14)*0.9</f>
        <v>159.8383125</v>
      </c>
      <c r="BZ14" s="51">
        <f t="shared" si="29"/>
        <v>166.3494328125</v>
      </c>
      <c r="CA14" s="51">
        <f t="shared" si="29"/>
        <v>163.34555519531253</v>
      </c>
      <c r="CB14" s="51">
        <f t="shared" si="29"/>
        <v>151.11580511425782</v>
      </c>
      <c r="CC14" s="51">
        <f t="shared" si="29"/>
        <v>144.14604876496583</v>
      </c>
      <c r="CD14" s="51">
        <f t="shared" si="29"/>
        <v>140.61528942458312</v>
      </c>
      <c r="CE14" s="51"/>
      <c r="CF14" s="51"/>
      <c r="CG14" s="49"/>
      <c r="CH14" s="51"/>
      <c r="CI14" s="51"/>
      <c r="CJ14" s="51">
        <v>74</v>
      </c>
      <c r="CK14" s="51">
        <v>130</v>
      </c>
      <c r="CL14" s="51">
        <v>170</v>
      </c>
      <c r="CM14" s="51">
        <v>212</v>
      </c>
      <c r="CN14" s="51">
        <f>SUM(O14:R14)</f>
        <v>1143.4000000000001</v>
      </c>
      <c r="CO14" s="51">
        <f>SUM(S14:V14)</f>
        <v>1444.4999999999998</v>
      </c>
      <c r="CP14" s="51">
        <f>SUM(W14:Z14)</f>
        <v>1559.1000000000001</v>
      </c>
      <c r="CQ14" s="51">
        <f>SUM(AA14:AD14)</f>
        <v>1699.4</v>
      </c>
      <c r="CR14" s="51">
        <f>SUM(AE14:AH14)</f>
        <v>1875.6</v>
      </c>
      <c r="CS14" s="51">
        <f>SUM(AI14:AL14)</f>
        <v>1895.5</v>
      </c>
      <c r="CT14" s="51">
        <f>CS14*1.1</f>
        <v>2085.0500000000002</v>
      </c>
      <c r="CU14" s="51">
        <f>CT14*1.1</f>
        <v>2293.5550000000003</v>
      </c>
      <c r="CV14" s="51">
        <f>CU14*1.1</f>
        <v>2522.9105000000004</v>
      </c>
      <c r="CW14" s="51"/>
      <c r="CX14" s="51">
        <v>2323.1</v>
      </c>
      <c r="CY14" s="80">
        <v>1851.8</v>
      </c>
      <c r="CZ14" s="80">
        <v>890.5</v>
      </c>
      <c r="DA14" s="49">
        <f t="shared" si="3"/>
        <v>607.1</v>
      </c>
      <c r="DB14" s="49">
        <f t="shared" si="4"/>
        <v>718.40000000000009</v>
      </c>
      <c r="DC14" s="49">
        <f t="shared" si="5"/>
        <v>725.98024531250007</v>
      </c>
      <c r="DD14" s="49">
        <f t="shared" si="6"/>
        <v>599.22269849911936</v>
      </c>
      <c r="DE14" s="49">
        <f t="shared" ref="DE14:DK15" si="30">+DD14*0.9</f>
        <v>539.30042864920745</v>
      </c>
      <c r="DF14" s="49">
        <f t="shared" si="30"/>
        <v>485.37038578428673</v>
      </c>
      <c r="DG14" s="49">
        <f t="shared" si="30"/>
        <v>436.83334720585805</v>
      </c>
      <c r="DH14" s="49">
        <f t="shared" si="30"/>
        <v>393.15001248527227</v>
      </c>
      <c r="DI14" s="49">
        <f t="shared" si="30"/>
        <v>353.83501123674506</v>
      </c>
      <c r="DJ14" s="49">
        <f t="shared" si="30"/>
        <v>318.45151011307058</v>
      </c>
      <c r="DK14" s="49">
        <f t="shared" si="30"/>
        <v>286.60635910176353</v>
      </c>
    </row>
    <row r="15" spans="1:115" x14ac:dyDescent="0.2">
      <c r="B15" s="38" t="s">
        <v>370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>
        <v>251.4</v>
      </c>
      <c r="BL15" s="51">
        <v>290.7</v>
      </c>
      <c r="BM15" s="51">
        <v>263.2</v>
      </c>
      <c r="BN15" s="51">
        <v>307.2</v>
      </c>
      <c r="BO15" s="51">
        <v>303.7</v>
      </c>
      <c r="BP15" s="51">
        <v>290.39999999999998</v>
      </c>
      <c r="BQ15" s="51">
        <v>248.2</v>
      </c>
      <c r="BR15" s="51">
        <v>282.10000000000002</v>
      </c>
      <c r="BS15" s="51">
        <v>246.6</v>
      </c>
      <c r="BT15" s="51">
        <v>210.7</v>
      </c>
      <c r="BU15" s="51">
        <v>192.8</v>
      </c>
      <c r="BV15" s="51">
        <v>242.4</v>
      </c>
      <c r="BW15" s="51">
        <v>191.5</v>
      </c>
      <c r="BX15" s="51">
        <f t="shared" ref="BX15:CD15" si="31">+BT15*0.9</f>
        <v>189.63</v>
      </c>
      <c r="BY15" s="51">
        <f t="shared" si="31"/>
        <v>173.52</v>
      </c>
      <c r="BZ15" s="51">
        <f t="shared" si="31"/>
        <v>218.16</v>
      </c>
      <c r="CA15" s="51">
        <f t="shared" si="31"/>
        <v>172.35</v>
      </c>
      <c r="CB15" s="51">
        <f t="shared" si="31"/>
        <v>170.667</v>
      </c>
      <c r="CC15" s="51">
        <f t="shared" si="31"/>
        <v>156.16800000000001</v>
      </c>
      <c r="CD15" s="51">
        <f t="shared" si="31"/>
        <v>196.34399999999999</v>
      </c>
      <c r="CE15" s="51"/>
      <c r="CF15" s="51"/>
      <c r="CG15" s="49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>
        <v>432.1</v>
      </c>
      <c r="CY15" s="80">
        <v>801.2</v>
      </c>
      <c r="CZ15" s="80">
        <v>1112.5999999999999</v>
      </c>
      <c r="DA15" s="49">
        <f t="shared" si="3"/>
        <v>1124.4000000000001</v>
      </c>
      <c r="DB15" s="49">
        <f t="shared" si="4"/>
        <v>892.49999999999989</v>
      </c>
      <c r="DC15" s="49">
        <f t="shared" si="5"/>
        <v>772.81</v>
      </c>
      <c r="DD15" s="49">
        <f t="shared" si="6"/>
        <v>695.529</v>
      </c>
      <c r="DE15" s="49">
        <f t="shared" si="30"/>
        <v>625.97609999999997</v>
      </c>
      <c r="DF15" s="49">
        <f t="shared" si="30"/>
        <v>563.37848999999994</v>
      </c>
      <c r="DG15" s="49">
        <f t="shared" si="30"/>
        <v>507.04064099999994</v>
      </c>
      <c r="DH15" s="49">
        <f t="shared" si="30"/>
        <v>456.33657689999995</v>
      </c>
      <c r="DI15" s="49">
        <f t="shared" si="30"/>
        <v>410.70291920999995</v>
      </c>
      <c r="DJ15" s="49">
        <f t="shared" si="30"/>
        <v>369.63262728899997</v>
      </c>
      <c r="DK15" s="49">
        <f t="shared" si="30"/>
        <v>332.66936456010001</v>
      </c>
    </row>
    <row r="16" spans="1:115" x14ac:dyDescent="0.2">
      <c r="B16" s="38" t="s">
        <v>379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>
        <v>14.2</v>
      </c>
      <c r="BL16" s="52">
        <v>34.299999999999997</v>
      </c>
      <c r="BM16" s="52">
        <v>47.7</v>
      </c>
      <c r="BN16" s="52">
        <v>66.3</v>
      </c>
      <c r="BO16" s="52">
        <v>74</v>
      </c>
      <c r="BP16" s="52">
        <v>87.4</v>
      </c>
      <c r="BQ16" s="52">
        <v>91.5</v>
      </c>
      <c r="BR16" s="52">
        <v>109.9</v>
      </c>
      <c r="BS16" s="52">
        <v>119.5</v>
      </c>
      <c r="BT16" s="52">
        <v>156.30000000000001</v>
      </c>
      <c r="BU16" s="52">
        <v>140</v>
      </c>
      <c r="BV16" s="52">
        <v>161.5</v>
      </c>
      <c r="BW16" s="52">
        <v>149.30000000000001</v>
      </c>
      <c r="BX16" s="52">
        <f t="shared" ref="BX16:CD16" si="32">+BT16*1.1</f>
        <v>171.93000000000004</v>
      </c>
      <c r="BY16" s="52">
        <f t="shared" si="32"/>
        <v>154</v>
      </c>
      <c r="BZ16" s="52">
        <f t="shared" si="32"/>
        <v>177.65</v>
      </c>
      <c r="CA16" s="52">
        <f t="shared" si="32"/>
        <v>164.23000000000002</v>
      </c>
      <c r="CB16" s="52">
        <f t="shared" si="32"/>
        <v>189.12300000000005</v>
      </c>
      <c r="CC16" s="52">
        <f t="shared" si="32"/>
        <v>169.4</v>
      </c>
      <c r="CD16" s="52">
        <f t="shared" si="32"/>
        <v>195.41500000000002</v>
      </c>
      <c r="CE16" s="52"/>
      <c r="CF16" s="52"/>
      <c r="CG16" s="49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>
        <v>0</v>
      </c>
      <c r="CY16" s="80">
        <v>4.9000000000000004</v>
      </c>
      <c r="CZ16" s="80">
        <v>162.5</v>
      </c>
      <c r="DA16" s="49">
        <f t="shared" si="3"/>
        <v>362.8</v>
      </c>
      <c r="DB16" s="49">
        <f t="shared" si="4"/>
        <v>577.29999999999995</v>
      </c>
      <c r="DC16" s="49">
        <f t="shared" si="5"/>
        <v>652.88</v>
      </c>
      <c r="DD16" s="49">
        <f t="shared" si="6"/>
        <v>718.16800000000012</v>
      </c>
      <c r="DE16" s="49">
        <f t="shared" ref="DE16:DK16" si="33">+DD16*1.01</f>
        <v>725.34968000000015</v>
      </c>
      <c r="DF16" s="49">
        <f t="shared" si="33"/>
        <v>732.60317680000014</v>
      </c>
      <c r="DG16" s="49">
        <f t="shared" si="33"/>
        <v>739.92920856800015</v>
      </c>
      <c r="DH16" s="49">
        <f t="shared" si="33"/>
        <v>747.32850065368018</v>
      </c>
      <c r="DI16" s="49">
        <f t="shared" si="33"/>
        <v>754.80178566021698</v>
      </c>
      <c r="DJ16" s="49">
        <f t="shared" si="33"/>
        <v>762.34980351681918</v>
      </c>
      <c r="DK16" s="49">
        <f t="shared" si="33"/>
        <v>769.97330155198733</v>
      </c>
    </row>
    <row r="17" spans="2:115" x14ac:dyDescent="0.2">
      <c r="B17" s="38" t="s">
        <v>371</v>
      </c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>
        <v>17.8</v>
      </c>
      <c r="BP17" s="51">
        <v>15</v>
      </c>
      <c r="BQ17" s="51">
        <v>17.2</v>
      </c>
      <c r="BR17" s="51">
        <v>20</v>
      </c>
      <c r="BS17" s="51">
        <v>20.6</v>
      </c>
      <c r="BT17" s="51">
        <v>25.4</v>
      </c>
      <c r="BU17" s="51">
        <v>39</v>
      </c>
      <c r="BV17" s="51">
        <v>36.6</v>
      </c>
      <c r="BW17" s="51">
        <v>144.6</v>
      </c>
      <c r="BX17" s="51">
        <f>+BW17</f>
        <v>144.6</v>
      </c>
      <c r="BY17" s="51">
        <f t="shared" ref="BY17:CD17" si="34">+BX17</f>
        <v>144.6</v>
      </c>
      <c r="BZ17" s="51">
        <f t="shared" si="34"/>
        <v>144.6</v>
      </c>
      <c r="CA17" s="51">
        <f t="shared" si="34"/>
        <v>144.6</v>
      </c>
      <c r="CB17" s="51">
        <f t="shared" si="34"/>
        <v>144.6</v>
      </c>
      <c r="CC17" s="51">
        <f t="shared" si="34"/>
        <v>144.6</v>
      </c>
      <c r="CD17" s="51">
        <f t="shared" si="34"/>
        <v>144.6</v>
      </c>
      <c r="CE17" s="51"/>
      <c r="CF17" s="51"/>
      <c r="CG17" s="49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>
        <f>380.9+307.7</f>
        <v>688.59999999999991</v>
      </c>
      <c r="CY17" s="80">
        <f>292.7+272.5</f>
        <v>565.20000000000005</v>
      </c>
      <c r="CZ17" s="80">
        <f>293.7+230.1</f>
        <v>523.79999999999995</v>
      </c>
      <c r="DA17" s="49">
        <f t="shared" si="3"/>
        <v>70</v>
      </c>
      <c r="DB17" s="49">
        <f t="shared" si="4"/>
        <v>121.6</v>
      </c>
      <c r="DC17" s="49">
        <f t="shared" si="5"/>
        <v>578.4</v>
      </c>
      <c r="DD17" s="49">
        <f t="shared" si="6"/>
        <v>578.4</v>
      </c>
      <c r="DE17" s="49">
        <f t="shared" ref="DE17:DK17" si="35">+DD17*0.9</f>
        <v>520.55999999999995</v>
      </c>
      <c r="DF17" s="49">
        <f t="shared" si="35"/>
        <v>468.50399999999996</v>
      </c>
      <c r="DG17" s="49">
        <f t="shared" si="35"/>
        <v>421.65359999999998</v>
      </c>
      <c r="DH17" s="49">
        <f t="shared" si="35"/>
        <v>379.48824000000002</v>
      </c>
      <c r="DI17" s="49">
        <f t="shared" si="35"/>
        <v>341.53941600000002</v>
      </c>
      <c r="DJ17" s="49">
        <f t="shared" si="35"/>
        <v>307.38547440000002</v>
      </c>
      <c r="DK17" s="49">
        <f t="shared" si="35"/>
        <v>276.64692696000003</v>
      </c>
    </row>
    <row r="18" spans="2:115" x14ac:dyDescent="0.2">
      <c r="B18" s="38" t="s">
        <v>258</v>
      </c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>
        <v>99.7</v>
      </c>
      <c r="Y18" s="51">
        <v>101.9</v>
      </c>
      <c r="Z18" s="51">
        <v>95</v>
      </c>
      <c r="AA18" s="51">
        <v>92.4</v>
      </c>
      <c r="AB18" s="51">
        <v>103.8</v>
      </c>
      <c r="AC18" s="51">
        <v>95.4</v>
      </c>
      <c r="AD18" s="51">
        <v>94.5</v>
      </c>
      <c r="AE18" s="51">
        <v>104</v>
      </c>
      <c r="AF18" s="51">
        <v>100.1</v>
      </c>
      <c r="AG18" s="51">
        <v>97.2</v>
      </c>
      <c r="AH18" s="51">
        <v>107.9</v>
      </c>
      <c r="AI18" s="51">
        <v>113.3</v>
      </c>
      <c r="AJ18" s="51">
        <v>110</v>
      </c>
      <c r="AK18" s="51">
        <v>86.6</v>
      </c>
      <c r="AL18" s="52">
        <f t="shared" ref="AL18:AP18" si="36">+AK18</f>
        <v>86.6</v>
      </c>
      <c r="AM18" s="52">
        <f t="shared" si="36"/>
        <v>86.6</v>
      </c>
      <c r="AN18" s="52">
        <f t="shared" si="36"/>
        <v>86.6</v>
      </c>
      <c r="AO18" s="52">
        <f t="shared" si="36"/>
        <v>86.6</v>
      </c>
      <c r="AP18" s="52">
        <f t="shared" si="36"/>
        <v>86.6</v>
      </c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>
        <v>130.80000000000001</v>
      </c>
      <c r="BP18" s="52">
        <v>129.5</v>
      </c>
      <c r="BQ18" s="52">
        <v>136.4</v>
      </c>
      <c r="BR18" s="52">
        <f>480.1+56.3-BQ18-BP18-BO18</f>
        <v>139.69999999999999</v>
      </c>
      <c r="BS18" s="52">
        <v>122.4</v>
      </c>
      <c r="BT18" s="52">
        <v>147</v>
      </c>
      <c r="BU18" s="52">
        <v>134.30000000000001</v>
      </c>
      <c r="BV18" s="52">
        <f>548.3-BU18-BT18-BS18</f>
        <v>144.59999999999994</v>
      </c>
      <c r="BW18" s="52">
        <v>122.7</v>
      </c>
      <c r="BX18" s="52">
        <f>+BW18</f>
        <v>122.7</v>
      </c>
      <c r="BY18" s="52">
        <f t="shared" ref="BY18:CD18" si="37">+BX18</f>
        <v>122.7</v>
      </c>
      <c r="BZ18" s="52">
        <f t="shared" si="37"/>
        <v>122.7</v>
      </c>
      <c r="CA18" s="52">
        <f t="shared" si="37"/>
        <v>122.7</v>
      </c>
      <c r="CB18" s="52">
        <f t="shared" si="37"/>
        <v>122.7</v>
      </c>
      <c r="CC18" s="52">
        <f t="shared" si="37"/>
        <v>122.7</v>
      </c>
      <c r="CD18" s="52">
        <f t="shared" si="37"/>
        <v>122.7</v>
      </c>
      <c r="CE18" s="52"/>
      <c r="CF18" s="52"/>
      <c r="CG18" s="49"/>
      <c r="CH18" s="51"/>
      <c r="CI18" s="51"/>
      <c r="CJ18" s="51"/>
      <c r="CK18" s="51"/>
      <c r="CL18" s="51"/>
      <c r="CM18" s="51"/>
      <c r="CN18" s="51"/>
      <c r="CO18" s="51"/>
      <c r="CP18" s="51">
        <f>SUM(W18:Z18)</f>
        <v>296.60000000000002</v>
      </c>
      <c r="CQ18" s="51">
        <f>SUM(AA18:AD18)</f>
        <v>386.1</v>
      </c>
      <c r="CR18" s="51">
        <f>SUM(AE18:AH18)</f>
        <v>409.20000000000005</v>
      </c>
      <c r="CS18" s="51">
        <f>SUM(AI18:AL18)</f>
        <v>396.5</v>
      </c>
      <c r="CT18" s="51">
        <f t="shared" ref="CT18:CU18" si="38">+CS18</f>
        <v>396.5</v>
      </c>
      <c r="CU18" s="51">
        <f t="shared" si="38"/>
        <v>396.5</v>
      </c>
      <c r="CV18" s="51"/>
      <c r="CW18" s="51"/>
      <c r="CX18" s="51">
        <v>645.9</v>
      </c>
      <c r="CY18" s="80">
        <v>635.29999999999995</v>
      </c>
      <c r="CZ18" s="80">
        <v>543.4</v>
      </c>
      <c r="DA18" s="49">
        <f t="shared" si="3"/>
        <v>536.40000000000009</v>
      </c>
      <c r="DB18" s="49">
        <f t="shared" si="4"/>
        <v>548.29999999999995</v>
      </c>
      <c r="DC18" s="49">
        <f t="shared" si="5"/>
        <v>490.8</v>
      </c>
      <c r="DD18" s="49">
        <f t="shared" si="6"/>
        <v>490.8</v>
      </c>
      <c r="DE18" s="49">
        <f t="shared" ref="DE18:DK18" si="39">+DD18*0.9</f>
        <v>441.72</v>
      </c>
      <c r="DF18" s="49">
        <f t="shared" si="39"/>
        <v>397.54800000000006</v>
      </c>
      <c r="DG18" s="49">
        <f t="shared" si="39"/>
        <v>357.79320000000007</v>
      </c>
      <c r="DH18" s="49">
        <f t="shared" si="39"/>
        <v>322.01388000000009</v>
      </c>
      <c r="DI18" s="49">
        <f t="shared" si="39"/>
        <v>289.81249200000008</v>
      </c>
      <c r="DJ18" s="49">
        <f t="shared" si="39"/>
        <v>260.8312428000001</v>
      </c>
      <c r="DK18" s="49">
        <f t="shared" si="39"/>
        <v>234.74811852000011</v>
      </c>
    </row>
    <row r="19" spans="2:115" x14ac:dyDescent="0.2">
      <c r="B19" t="s">
        <v>77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>
        <v>26.2</v>
      </c>
      <c r="BP19" s="51">
        <v>64.3</v>
      </c>
      <c r="BQ19" s="51">
        <v>35.9</v>
      </c>
      <c r="BR19" s="51">
        <v>36.200000000000003</v>
      </c>
      <c r="BS19" s="51">
        <v>54.8</v>
      </c>
      <c r="BT19" s="51">
        <v>55.7</v>
      </c>
      <c r="BU19" s="51">
        <v>66.7</v>
      </c>
      <c r="BV19" s="51">
        <v>38.5</v>
      </c>
      <c r="BW19" s="51">
        <f>101.2-BW27</f>
        <v>59.400000000000006</v>
      </c>
      <c r="BX19" s="51">
        <f>+BW19</f>
        <v>59.400000000000006</v>
      </c>
      <c r="BY19" s="51">
        <f t="shared" ref="BY19:CD19" si="40">+BX19</f>
        <v>59.400000000000006</v>
      </c>
      <c r="BZ19" s="51">
        <f t="shared" si="40"/>
        <v>59.400000000000006</v>
      </c>
      <c r="CA19" s="51">
        <f t="shared" si="40"/>
        <v>59.400000000000006</v>
      </c>
      <c r="CB19" s="51">
        <f t="shared" si="40"/>
        <v>59.400000000000006</v>
      </c>
      <c r="CC19" s="51">
        <f t="shared" si="40"/>
        <v>59.400000000000006</v>
      </c>
      <c r="CD19" s="51">
        <f t="shared" si="40"/>
        <v>59.400000000000006</v>
      </c>
      <c r="CE19" s="51"/>
      <c r="CF19" s="51"/>
      <c r="CG19" s="49"/>
      <c r="CH19" s="51"/>
      <c r="CI19" s="51">
        <v>19</v>
      </c>
      <c r="CJ19" s="51">
        <v>19</v>
      </c>
      <c r="CK19" s="51">
        <v>9</v>
      </c>
      <c r="CL19" s="51">
        <v>3</v>
      </c>
      <c r="CM19" s="51"/>
      <c r="CN19" s="51"/>
      <c r="CO19" s="51"/>
      <c r="CP19" s="51"/>
      <c r="CQ19" s="51"/>
      <c r="CR19" s="51"/>
      <c r="CX19" s="51">
        <f>174.6+149.6</f>
        <v>324.2</v>
      </c>
      <c r="CY19" s="80">
        <f>215.1+200.6</f>
        <v>415.7</v>
      </c>
      <c r="CZ19" s="80">
        <f>111+339.3</f>
        <v>450.3</v>
      </c>
      <c r="DA19" s="49">
        <f t="shared" si="3"/>
        <v>162.60000000000002</v>
      </c>
      <c r="DB19" s="49">
        <f t="shared" si="4"/>
        <v>215.7</v>
      </c>
      <c r="DC19" s="49">
        <f t="shared" si="5"/>
        <v>237.60000000000002</v>
      </c>
      <c r="DD19" s="49">
        <f t="shared" si="6"/>
        <v>237.60000000000002</v>
      </c>
      <c r="DE19" s="49">
        <f t="shared" ref="DE19:DK19" si="41">+DD19*0.9</f>
        <v>213.84000000000003</v>
      </c>
      <c r="DF19" s="49">
        <f t="shared" si="41"/>
        <v>192.45600000000005</v>
      </c>
      <c r="DG19" s="49">
        <f t="shared" si="41"/>
        <v>173.21040000000005</v>
      </c>
      <c r="DH19" s="49">
        <f t="shared" si="41"/>
        <v>155.88936000000004</v>
      </c>
      <c r="DI19" s="49">
        <f t="shared" si="41"/>
        <v>140.30042400000005</v>
      </c>
      <c r="DJ19" s="49">
        <f t="shared" si="41"/>
        <v>126.27038160000005</v>
      </c>
      <c r="DK19" s="49">
        <f t="shared" si="41"/>
        <v>113.64334344000005</v>
      </c>
    </row>
    <row r="20" spans="2:115" x14ac:dyDescent="0.2">
      <c r="B20" t="s">
        <v>16</v>
      </c>
      <c r="C20" s="51"/>
      <c r="D20" s="51">
        <v>65.3</v>
      </c>
      <c r="E20" s="51"/>
      <c r="F20" s="51">
        <v>74.3</v>
      </c>
      <c r="G20" s="51">
        <v>67</v>
      </c>
      <c r="H20" s="51">
        <v>101.9</v>
      </c>
      <c r="I20" s="51">
        <v>102.6</v>
      </c>
      <c r="J20" s="51">
        <v>118</v>
      </c>
      <c r="K20" s="51">
        <v>127</v>
      </c>
      <c r="L20" s="51">
        <v>146</v>
      </c>
      <c r="M20" s="51">
        <v>149</v>
      </c>
      <c r="N20" s="51">
        <v>172.1</v>
      </c>
      <c r="O20" s="51">
        <v>153.4</v>
      </c>
      <c r="P20" s="51">
        <v>177.2</v>
      </c>
      <c r="Q20" s="51">
        <v>180.5</v>
      </c>
      <c r="R20" s="51">
        <v>198.2</v>
      </c>
      <c r="S20" s="51">
        <v>185</v>
      </c>
      <c r="T20" s="51">
        <v>206.6</v>
      </c>
      <c r="U20" s="51">
        <v>192.7</v>
      </c>
      <c r="V20" s="51">
        <v>194.5</v>
      </c>
      <c r="W20" s="51">
        <v>187.5</v>
      </c>
      <c r="X20" s="51">
        <v>203.3</v>
      </c>
      <c r="Y20" s="51">
        <v>213.1</v>
      </c>
      <c r="Z20" s="51">
        <v>212.8</v>
      </c>
      <c r="AA20" s="51">
        <v>194.5</v>
      </c>
      <c r="AB20" s="51">
        <v>209.6</v>
      </c>
      <c r="AC20" s="51">
        <v>199.7</v>
      </c>
      <c r="AD20" s="51">
        <v>226.3</v>
      </c>
      <c r="AE20" s="51">
        <v>216.1</v>
      </c>
      <c r="AF20" s="51">
        <v>231</v>
      </c>
      <c r="AG20" s="51">
        <v>240.3</v>
      </c>
      <c r="AH20" s="51">
        <v>262.5</v>
      </c>
      <c r="AI20" s="51">
        <v>271.3</v>
      </c>
      <c r="AJ20" s="51">
        <v>276.39999999999998</v>
      </c>
      <c r="AK20" s="51">
        <v>288.7</v>
      </c>
      <c r="AL20" s="51">
        <f>+AK20+5</f>
        <v>293.7</v>
      </c>
      <c r="AM20" s="51">
        <f t="shared" ref="AM20:AP20" si="42">+AL20+5</f>
        <v>298.7</v>
      </c>
      <c r="AN20" s="51">
        <f t="shared" si="42"/>
        <v>303.7</v>
      </c>
      <c r="AO20" s="51">
        <f t="shared" si="42"/>
        <v>308.7</v>
      </c>
      <c r="AP20" s="51">
        <f t="shared" si="42"/>
        <v>313.7</v>
      </c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>
        <v>312.89999999999998</v>
      </c>
      <c r="BL20" s="51">
        <v>360.8</v>
      </c>
      <c r="BM20" s="51">
        <v>370.7</v>
      </c>
      <c r="BN20" s="51">
        <v>360.2</v>
      </c>
      <c r="BO20" s="51">
        <v>272.39999999999998</v>
      </c>
      <c r="BP20" s="51">
        <v>252.7</v>
      </c>
      <c r="BQ20" s="51">
        <v>266.89999999999998</v>
      </c>
      <c r="BR20" s="51">
        <v>254.4</v>
      </c>
      <c r="BS20" s="51">
        <v>198.5</v>
      </c>
      <c r="BT20" s="51">
        <v>218.4</v>
      </c>
      <c r="BU20" s="51">
        <v>200.9</v>
      </c>
      <c r="BV20" s="51">
        <v>184</v>
      </c>
      <c r="BW20" s="51">
        <v>137.4</v>
      </c>
      <c r="BX20" s="51">
        <f>+BW20*0.95</f>
        <v>130.53</v>
      </c>
      <c r="BY20" s="51">
        <f t="shared" ref="BY20:CD20" si="43">+BX20*0.95</f>
        <v>124.00349999999999</v>
      </c>
      <c r="BZ20" s="51">
        <f t="shared" si="43"/>
        <v>117.80332499999999</v>
      </c>
      <c r="CA20" s="51">
        <f t="shared" si="43"/>
        <v>111.91315874999998</v>
      </c>
      <c r="CB20" s="51">
        <f t="shared" si="43"/>
        <v>106.31750081249997</v>
      </c>
      <c r="CC20" s="51">
        <f t="shared" si="43"/>
        <v>101.00162577187497</v>
      </c>
      <c r="CD20" s="51">
        <f t="shared" si="43"/>
        <v>95.951544483281211</v>
      </c>
      <c r="CE20" s="51"/>
      <c r="CF20" s="51"/>
      <c r="CG20" s="49"/>
      <c r="CH20" s="51"/>
      <c r="CI20" s="51">
        <v>6</v>
      </c>
      <c r="CJ20" s="51">
        <v>65</v>
      </c>
      <c r="CK20" s="51">
        <v>237</v>
      </c>
      <c r="CL20" s="51">
        <v>389</v>
      </c>
      <c r="CM20" s="51">
        <v>581</v>
      </c>
      <c r="CN20" s="51">
        <f>CM20*1.05</f>
        <v>610.05000000000007</v>
      </c>
      <c r="CO20" s="51">
        <f>SUM(S20:V20)</f>
        <v>778.8</v>
      </c>
      <c r="CP20" s="51">
        <f>SUM(W20:Z20)</f>
        <v>816.7</v>
      </c>
      <c r="CQ20" s="51">
        <f>SUM(AA20:AD20)</f>
        <v>830.09999999999991</v>
      </c>
      <c r="CR20" s="51">
        <f>SUM(AE20:AH20)</f>
        <v>949.90000000000009</v>
      </c>
      <c r="CS20" s="51">
        <f>SUM(AI20:AL20)</f>
        <v>1130.1000000000001</v>
      </c>
      <c r="CT20" s="51">
        <f t="shared" ref="CT20:CW20" si="44">CS20*1.05</f>
        <v>1186.6050000000002</v>
      </c>
      <c r="CU20" s="51">
        <f t="shared" si="44"/>
        <v>1245.9352500000002</v>
      </c>
      <c r="CV20" s="51"/>
      <c r="CW20" s="51"/>
      <c r="CX20" s="51">
        <v>1749</v>
      </c>
      <c r="CY20" s="80">
        <v>1575.6</v>
      </c>
      <c r="CZ20" s="80">
        <v>1404.7</v>
      </c>
      <c r="DA20" s="49">
        <f t="shared" si="3"/>
        <v>1046.3999999999999</v>
      </c>
      <c r="DB20" s="49">
        <f t="shared" si="4"/>
        <v>801.8</v>
      </c>
      <c r="DC20" s="49">
        <f t="shared" si="5"/>
        <v>509.73682499999995</v>
      </c>
      <c r="DD20" s="49">
        <f t="shared" si="6"/>
        <v>415.18382981765615</v>
      </c>
      <c r="DE20" s="49">
        <f t="shared" ref="DE20:DK20" si="45">+DD20*0.9</f>
        <v>373.66544683589052</v>
      </c>
      <c r="DF20" s="49">
        <f t="shared" si="45"/>
        <v>336.29890215230148</v>
      </c>
      <c r="DG20" s="49">
        <f t="shared" si="45"/>
        <v>302.66901193707133</v>
      </c>
      <c r="DH20" s="49">
        <f t="shared" si="45"/>
        <v>272.40211074336423</v>
      </c>
      <c r="DI20" s="49">
        <f t="shared" si="45"/>
        <v>245.1618996690278</v>
      </c>
      <c r="DJ20" s="49">
        <f t="shared" si="45"/>
        <v>220.64570970212503</v>
      </c>
      <c r="DK20" s="49">
        <f t="shared" si="45"/>
        <v>198.58113873191255</v>
      </c>
    </row>
    <row r="21" spans="2:115" x14ac:dyDescent="0.2">
      <c r="B21" t="s">
        <v>78</v>
      </c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>
        <f>4459.9-SUM(N22:N53)</f>
        <v>1686.4532721010328</v>
      </c>
      <c r="O21" s="51">
        <v>406</v>
      </c>
      <c r="P21" s="51"/>
      <c r="Q21" s="51">
        <f>4587-(SUM(Q22:Q53))</f>
        <v>1697.9</v>
      </c>
      <c r="R21" s="51">
        <f>5189.6-(SUM(R22:R53))</f>
        <v>1904.6000000000004</v>
      </c>
      <c r="S21" s="51">
        <f>4807.6-(SUM(S22:S53))</f>
        <v>2080.2000000000007</v>
      </c>
      <c r="T21" s="51">
        <f>5150.4-(SUM(T22:T53))</f>
        <v>2045.4999999999995</v>
      </c>
      <c r="U21" s="51">
        <f>5209.5-(SUM(U22:U53))</f>
        <v>2061.9000000000005</v>
      </c>
      <c r="AD21" s="51">
        <v>432</v>
      </c>
      <c r="AF21" s="51">
        <v>422</v>
      </c>
      <c r="AG21" s="51">
        <v>410</v>
      </c>
      <c r="AH21" s="51">
        <v>407</v>
      </c>
      <c r="AI21" s="51">
        <v>552</v>
      </c>
      <c r="AJ21" s="51">
        <v>524</v>
      </c>
      <c r="AK21" s="51">
        <f>5443.3-4955</f>
        <v>488.30000000000018</v>
      </c>
      <c r="AL21" s="51">
        <f>+AH21</f>
        <v>407</v>
      </c>
      <c r="AM21" s="51">
        <f t="shared" ref="AM21:AP21" si="46">+AI21</f>
        <v>552</v>
      </c>
      <c r="AN21" s="51">
        <f t="shared" si="46"/>
        <v>524</v>
      </c>
      <c r="AO21" s="51">
        <f t="shared" si="46"/>
        <v>488.30000000000018</v>
      </c>
      <c r="AP21" s="51">
        <f t="shared" si="46"/>
        <v>407</v>
      </c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>
        <v>1966</v>
      </c>
      <c r="BL21" s="51">
        <v>2269</v>
      </c>
      <c r="BM21" s="51">
        <v>2171</v>
      </c>
      <c r="BN21" s="51">
        <v>2461</v>
      </c>
      <c r="BO21" s="51">
        <v>86</v>
      </c>
      <c r="BP21" s="51">
        <v>51.4</v>
      </c>
      <c r="BQ21" s="51">
        <v>46.3</v>
      </c>
      <c r="BR21" s="51">
        <v>88</v>
      </c>
      <c r="BS21" s="51">
        <v>42.6</v>
      </c>
      <c r="BT21" s="51">
        <v>42.2</v>
      </c>
      <c r="BU21" s="51">
        <v>38.6</v>
      </c>
      <c r="BV21" s="51">
        <v>58.1</v>
      </c>
      <c r="BW21" s="51">
        <v>98.1</v>
      </c>
      <c r="BX21" s="51">
        <f>+BW21</f>
        <v>98.1</v>
      </c>
      <c r="BY21" s="51">
        <f t="shared" ref="BY21:CD21" si="47">+BX21</f>
        <v>98.1</v>
      </c>
      <c r="BZ21" s="51">
        <f t="shared" si="47"/>
        <v>98.1</v>
      </c>
      <c r="CA21" s="51">
        <f t="shared" si="47"/>
        <v>98.1</v>
      </c>
      <c r="CB21" s="51">
        <f t="shared" si="47"/>
        <v>98.1</v>
      </c>
      <c r="CC21" s="51">
        <f t="shared" si="47"/>
        <v>98.1</v>
      </c>
      <c r="CD21" s="51">
        <f t="shared" si="47"/>
        <v>98.1</v>
      </c>
      <c r="CE21" s="51"/>
      <c r="CF21" s="51"/>
      <c r="CG21" s="49"/>
      <c r="CH21" s="51"/>
      <c r="CI21" s="52">
        <f>176+152</f>
        <v>328</v>
      </c>
      <c r="CJ21" s="51">
        <f>165+100</f>
        <v>265</v>
      </c>
      <c r="CK21" s="51">
        <f>83+70+4+154</f>
        <v>311</v>
      </c>
      <c r="CL21" s="51">
        <f>41+54+18+117</f>
        <v>230</v>
      </c>
      <c r="CM21" s="51">
        <f>56+54+25+91</f>
        <v>226</v>
      </c>
      <c r="CN21" s="51">
        <f>50+54+50+87</f>
        <v>241</v>
      </c>
      <c r="CO21" s="51">
        <v>54</v>
      </c>
      <c r="CP21" s="51">
        <v>54</v>
      </c>
      <c r="CQ21" s="51">
        <f>SUM(AA21:AD21)</f>
        <v>432</v>
      </c>
      <c r="CR21" s="51">
        <f>SUM(AE21:AH21)</f>
        <v>1239</v>
      </c>
      <c r="CS21" s="51">
        <f>SUM(AI21:AL21)</f>
        <v>1971.3000000000002</v>
      </c>
      <c r="CT21" s="51">
        <f>+CS21*0.9</f>
        <v>1774.1700000000003</v>
      </c>
      <c r="CU21" s="51">
        <f t="shared" ref="CU21:CX21" si="48">+CT21*0.9</f>
        <v>1596.7530000000004</v>
      </c>
      <c r="CV21" s="51"/>
      <c r="CW21" s="51"/>
      <c r="CX21" s="51">
        <f>555.4+422</f>
        <v>977.4</v>
      </c>
      <c r="CY21" s="80">
        <f>393+325.1</f>
        <v>718.1</v>
      </c>
      <c r="CZ21" s="80">
        <f>327.7+156.2</f>
        <v>483.9</v>
      </c>
      <c r="DA21" s="49">
        <f t="shared" si="3"/>
        <v>271.7</v>
      </c>
      <c r="DB21" s="49">
        <f t="shared" si="4"/>
        <v>181.5</v>
      </c>
      <c r="DC21" s="49">
        <f t="shared" si="5"/>
        <v>392.4</v>
      </c>
      <c r="DD21" s="49">
        <f t="shared" si="6"/>
        <v>392.4</v>
      </c>
      <c r="DE21" s="49">
        <f t="shared" ref="DE21:DK21" si="49">+DD21*0.9</f>
        <v>353.15999999999997</v>
      </c>
      <c r="DF21" s="49">
        <f t="shared" si="49"/>
        <v>317.84399999999999</v>
      </c>
      <c r="DG21" s="49">
        <f t="shared" si="49"/>
        <v>286.05959999999999</v>
      </c>
      <c r="DH21" s="49">
        <f t="shared" si="49"/>
        <v>257.45364000000001</v>
      </c>
      <c r="DI21" s="49">
        <f t="shared" si="49"/>
        <v>231.70827600000001</v>
      </c>
      <c r="DJ21" s="49">
        <f t="shared" si="49"/>
        <v>208.53744840000002</v>
      </c>
      <c r="DK21" s="49">
        <f t="shared" si="49"/>
        <v>187.68370356000003</v>
      </c>
    </row>
    <row r="22" spans="2:115" x14ac:dyDescent="0.2">
      <c r="B22" t="s">
        <v>7</v>
      </c>
      <c r="C22" s="51">
        <v>1098.3</v>
      </c>
      <c r="D22" s="51">
        <v>1212.3</v>
      </c>
      <c r="E22" s="51">
        <v>1023.7</v>
      </c>
      <c r="F22" s="51">
        <v>1085.5</v>
      </c>
      <c r="G22" s="51">
        <v>1038.2</v>
      </c>
      <c r="H22" s="51">
        <v>1096.8</v>
      </c>
      <c r="I22" s="51">
        <v>1035.0999999999999</v>
      </c>
      <c r="J22" s="51">
        <v>1032.2</v>
      </c>
      <c r="K22" s="51">
        <v>1007.4</v>
      </c>
      <c r="L22" s="51">
        <v>1115</v>
      </c>
      <c r="M22" s="51">
        <v>1084.7</v>
      </c>
      <c r="N22" s="51">
        <v>1156.5</v>
      </c>
      <c r="O22" s="51">
        <v>1108</v>
      </c>
      <c r="P22" s="51">
        <v>1213</v>
      </c>
      <c r="Q22" s="51">
        <v>1166.0999999999999</v>
      </c>
      <c r="R22" s="51">
        <v>1273.9000000000001</v>
      </c>
      <c r="S22" s="51">
        <v>1120.2</v>
      </c>
      <c r="T22" s="51">
        <v>1239.7</v>
      </c>
      <c r="U22" s="51">
        <v>1189.5</v>
      </c>
      <c r="V22" s="51">
        <v>1146.7</v>
      </c>
      <c r="W22" s="51">
        <v>1123</v>
      </c>
      <c r="X22" s="51">
        <v>1203.2</v>
      </c>
      <c r="Y22" s="51">
        <v>1223</v>
      </c>
      <c r="Z22" s="51">
        <v>1366.5</v>
      </c>
      <c r="AA22" s="51">
        <v>1215</v>
      </c>
      <c r="AB22" s="51">
        <v>1262.9000000000001</v>
      </c>
      <c r="AC22" s="51">
        <v>1212.7</v>
      </c>
      <c r="AD22" s="51">
        <v>1335.8</v>
      </c>
      <c r="AE22" s="51">
        <v>1281.9000000000001</v>
      </c>
      <c r="AF22" s="51">
        <v>1408.3</v>
      </c>
      <c r="AG22" s="51">
        <v>1182.3</v>
      </c>
      <c r="AH22" s="51">
        <v>749.6</v>
      </c>
      <c r="AI22" s="51">
        <v>562.70000000000005</v>
      </c>
      <c r="AJ22" s="51">
        <v>379.5</v>
      </c>
      <c r="AK22" s="51">
        <v>374.5</v>
      </c>
      <c r="AL22" s="51">
        <f>+AK22-5</f>
        <v>369.5</v>
      </c>
      <c r="AM22" s="51">
        <f t="shared" ref="AM22:AP22" si="50">+AL22-5</f>
        <v>364.5</v>
      </c>
      <c r="AN22" s="51">
        <f t="shared" si="50"/>
        <v>359.5</v>
      </c>
      <c r="AO22" s="51">
        <f t="shared" si="50"/>
        <v>354.5</v>
      </c>
      <c r="AP22" s="51">
        <f t="shared" si="50"/>
        <v>349.5</v>
      </c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>
        <v>98.4</v>
      </c>
      <c r="BP22" s="51">
        <v>96.6</v>
      </c>
      <c r="BQ22" s="51">
        <v>112.7</v>
      </c>
      <c r="BR22" s="51">
        <f>46.1+360.5-BQ22-BP22-BO22</f>
        <v>98.900000000000034</v>
      </c>
      <c r="BS22" s="51">
        <v>95.8</v>
      </c>
      <c r="BT22" s="51">
        <v>95.4</v>
      </c>
      <c r="BU22" s="51">
        <v>101.7</v>
      </c>
      <c r="BV22" s="51">
        <f>430.3-BU22-BT22-BS22</f>
        <v>137.40000000000003</v>
      </c>
      <c r="BW22" s="51">
        <v>93.1</v>
      </c>
      <c r="BX22" s="51">
        <f>+BW22</f>
        <v>93.1</v>
      </c>
      <c r="BY22" s="51">
        <f t="shared" ref="BY22:CD22" si="51">+BX22</f>
        <v>93.1</v>
      </c>
      <c r="BZ22" s="51">
        <f t="shared" si="51"/>
        <v>93.1</v>
      </c>
      <c r="CA22" s="51">
        <f t="shared" si="51"/>
        <v>93.1</v>
      </c>
      <c r="CB22" s="51">
        <f t="shared" si="51"/>
        <v>93.1</v>
      </c>
      <c r="CC22" s="51">
        <f t="shared" si="51"/>
        <v>93.1</v>
      </c>
      <c r="CD22" s="51">
        <f t="shared" si="51"/>
        <v>93.1</v>
      </c>
      <c r="CE22" s="51"/>
      <c r="CF22" s="51"/>
      <c r="CG22" s="49"/>
      <c r="CH22" s="51"/>
      <c r="CI22" s="51">
        <v>3689</v>
      </c>
      <c r="CJ22" s="51">
        <v>4277</v>
      </c>
      <c r="CK22" s="51">
        <v>4419</v>
      </c>
      <c r="CL22" s="51">
        <v>4200</v>
      </c>
      <c r="CM22" s="51">
        <f>SUM(K22:N22)</f>
        <v>4363.6000000000004</v>
      </c>
      <c r="CN22" s="51">
        <f>SUM(O22:R22)</f>
        <v>4761</v>
      </c>
      <c r="CO22" s="51">
        <f>SUM(S22:V22)</f>
        <v>4696.1000000000004</v>
      </c>
      <c r="CP22" s="51">
        <f>SUM(W22:Z22)</f>
        <v>4915.7</v>
      </c>
      <c r="CQ22" s="51">
        <f>SUM(AA22:AD22)</f>
        <v>5026.4000000000005</v>
      </c>
      <c r="CR22" s="51">
        <f>SUM(AE22:AH22)</f>
        <v>4622.1000000000004</v>
      </c>
      <c r="CS22" s="51">
        <f>SUM(AI22:AL22)</f>
        <v>1686.2</v>
      </c>
      <c r="CT22" s="51">
        <f>CS22*0.4</f>
        <v>674.48</v>
      </c>
      <c r="CU22" s="51">
        <f>CT22*0.6</f>
        <v>404.68799999999999</v>
      </c>
      <c r="CV22" s="51"/>
      <c r="CW22" s="51"/>
      <c r="CX22" s="51">
        <v>581.20000000000005</v>
      </c>
      <c r="CY22" s="80">
        <v>471.3</v>
      </c>
      <c r="CZ22" s="80">
        <v>418.7</v>
      </c>
      <c r="DA22" s="49">
        <f t="shared" si="3"/>
        <v>406.6</v>
      </c>
      <c r="DB22" s="49">
        <f t="shared" si="4"/>
        <v>430.3</v>
      </c>
      <c r="DC22" s="49">
        <f t="shared" si="5"/>
        <v>372.4</v>
      </c>
      <c r="DD22" s="49">
        <f t="shared" si="6"/>
        <v>372.4</v>
      </c>
      <c r="DE22" s="49">
        <f t="shared" ref="DE22:DK22" si="52">+DD22*0.9</f>
        <v>335.15999999999997</v>
      </c>
      <c r="DF22" s="49">
        <f t="shared" si="52"/>
        <v>301.64400000000001</v>
      </c>
      <c r="DG22" s="49">
        <f t="shared" si="52"/>
        <v>271.4796</v>
      </c>
      <c r="DH22" s="49">
        <f t="shared" si="52"/>
        <v>244.33164000000002</v>
      </c>
      <c r="DI22" s="49">
        <f t="shared" si="52"/>
        <v>219.89847600000002</v>
      </c>
      <c r="DJ22" s="49">
        <f t="shared" si="52"/>
        <v>197.90862840000003</v>
      </c>
      <c r="DK22" s="49">
        <f t="shared" si="52"/>
        <v>178.11776556000004</v>
      </c>
    </row>
    <row r="23" spans="2:115" x14ac:dyDescent="0.2">
      <c r="B23" s="38" t="s">
        <v>375</v>
      </c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>
        <v>9.9</v>
      </c>
      <c r="BL23" s="52">
        <v>40.1</v>
      </c>
      <c r="BM23" s="52">
        <v>46.6</v>
      </c>
      <c r="BN23" s="52">
        <v>37.4</v>
      </c>
      <c r="BO23" s="52">
        <v>57.4</v>
      </c>
      <c r="BP23" s="52">
        <v>64.099999999999994</v>
      </c>
      <c r="BQ23" s="52">
        <v>84.4</v>
      </c>
      <c r="BR23" s="52">
        <v>102.8</v>
      </c>
      <c r="BS23" s="52">
        <v>109.7</v>
      </c>
      <c r="BT23" s="52">
        <v>105</v>
      </c>
      <c r="BU23" s="52">
        <v>125.6</v>
      </c>
      <c r="BV23" s="52">
        <v>77.8</v>
      </c>
      <c r="BW23" s="52">
        <v>85.5</v>
      </c>
      <c r="BX23" s="52">
        <f>+BW23</f>
        <v>85.5</v>
      </c>
      <c r="BY23" s="52">
        <f t="shared" ref="BY23:CD23" si="53">+BX23</f>
        <v>85.5</v>
      </c>
      <c r="BZ23" s="52">
        <f t="shared" si="53"/>
        <v>85.5</v>
      </c>
      <c r="CA23" s="52">
        <f t="shared" si="53"/>
        <v>85.5</v>
      </c>
      <c r="CB23" s="52">
        <f t="shared" si="53"/>
        <v>85.5</v>
      </c>
      <c r="CC23" s="52">
        <f t="shared" si="53"/>
        <v>85.5</v>
      </c>
      <c r="CD23" s="52">
        <f t="shared" si="53"/>
        <v>85.5</v>
      </c>
      <c r="CE23" s="52"/>
      <c r="CF23" s="52"/>
      <c r="CG23" s="49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>
        <v>0</v>
      </c>
      <c r="CY23" s="80">
        <v>0</v>
      </c>
      <c r="CZ23" s="80">
        <v>0</v>
      </c>
      <c r="DA23" s="49">
        <f t="shared" si="3"/>
        <v>308.7</v>
      </c>
      <c r="DB23" s="49">
        <f t="shared" si="4"/>
        <v>418.09999999999997</v>
      </c>
      <c r="DC23" s="49">
        <f t="shared" si="5"/>
        <v>342</v>
      </c>
      <c r="DD23" s="49">
        <f t="shared" si="6"/>
        <v>342</v>
      </c>
      <c r="DE23" s="49">
        <f t="shared" ref="DE23:DK23" si="54">+DD23*0.9</f>
        <v>307.8</v>
      </c>
      <c r="DF23" s="49">
        <f t="shared" si="54"/>
        <v>277.02000000000004</v>
      </c>
      <c r="DG23" s="49">
        <f t="shared" si="54"/>
        <v>249.31800000000004</v>
      </c>
      <c r="DH23" s="49">
        <f t="shared" si="54"/>
        <v>224.38620000000003</v>
      </c>
      <c r="DI23" s="49">
        <f t="shared" si="54"/>
        <v>201.94758000000004</v>
      </c>
      <c r="DJ23" s="49">
        <f t="shared" si="54"/>
        <v>181.75282200000004</v>
      </c>
      <c r="DK23" s="49">
        <f t="shared" si="54"/>
        <v>163.57753980000004</v>
      </c>
    </row>
    <row r="24" spans="2:115" x14ac:dyDescent="0.2">
      <c r="B24" t="s">
        <v>14</v>
      </c>
      <c r="C24" s="51">
        <v>0</v>
      </c>
      <c r="D24" s="51">
        <v>0</v>
      </c>
      <c r="E24" s="51">
        <v>32.5</v>
      </c>
      <c r="F24" s="51">
        <v>61.3</v>
      </c>
      <c r="G24" s="51">
        <v>106.8</v>
      </c>
      <c r="H24" s="51">
        <v>161.4</v>
      </c>
      <c r="I24" s="51">
        <v>182.8</v>
      </c>
      <c r="J24" s="51">
        <v>228.8</v>
      </c>
      <c r="K24" s="51">
        <v>233</v>
      </c>
      <c r="L24" s="51">
        <v>310</v>
      </c>
      <c r="M24" s="51">
        <v>349</v>
      </c>
      <c r="N24" s="51">
        <v>424.1</v>
      </c>
      <c r="O24" s="51">
        <v>441.8</v>
      </c>
      <c r="P24" s="51">
        <v>519.5</v>
      </c>
      <c r="Q24" s="51">
        <v>513.20000000000005</v>
      </c>
      <c r="R24" s="51">
        <v>628.29999999999995</v>
      </c>
      <c r="S24" s="51">
        <v>605.1</v>
      </c>
      <c r="T24" s="51">
        <v>654.4</v>
      </c>
      <c r="U24" s="51">
        <v>716.4</v>
      </c>
      <c r="V24" s="51">
        <v>721.2</v>
      </c>
      <c r="W24" s="51">
        <v>709.3</v>
      </c>
      <c r="X24" s="51">
        <v>744.4</v>
      </c>
      <c r="Y24" s="51">
        <v>790.2</v>
      </c>
      <c r="Z24" s="51">
        <v>830.8</v>
      </c>
      <c r="AA24" s="51">
        <v>803.2</v>
      </c>
      <c r="AB24" s="51">
        <v>867.7</v>
      </c>
      <c r="AC24" s="51">
        <v>825.3</v>
      </c>
      <c r="AD24" s="51">
        <v>984.6</v>
      </c>
      <c r="AE24" s="51">
        <v>908.8</v>
      </c>
      <c r="AF24" s="51">
        <v>1003.4</v>
      </c>
      <c r="AG24" s="51">
        <v>1068.5999999999999</v>
      </c>
      <c r="AH24" s="51">
        <v>1180.7</v>
      </c>
      <c r="AI24" s="51">
        <v>1114.9000000000001</v>
      </c>
      <c r="AJ24" s="51">
        <v>1223.0999999999999</v>
      </c>
      <c r="AK24" s="51">
        <v>1235.8</v>
      </c>
      <c r="AL24" s="51">
        <f>+AK24+5</f>
        <v>1240.8</v>
      </c>
      <c r="AM24" s="51">
        <f t="shared" ref="AM24:AP24" si="55">+AL24+5</f>
        <v>1245.8</v>
      </c>
      <c r="AN24" s="51">
        <f t="shared" si="55"/>
        <v>1250.8</v>
      </c>
      <c r="AO24" s="51">
        <f t="shared" si="55"/>
        <v>1255.8</v>
      </c>
      <c r="AP24" s="51">
        <f t="shared" si="55"/>
        <v>1260.8</v>
      </c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>
        <v>164.1</v>
      </c>
      <c r="BL24" s="51"/>
      <c r="BM24" s="51"/>
      <c r="BN24" s="51"/>
      <c r="BO24" s="51">
        <v>210.4</v>
      </c>
      <c r="BP24" s="51">
        <v>179.9</v>
      </c>
      <c r="BQ24" s="51">
        <v>186.6</v>
      </c>
      <c r="BR24" s="51">
        <f>42.1+725.6-BQ24-BP24-BO24</f>
        <v>190.80000000000004</v>
      </c>
      <c r="BS24" s="51">
        <v>176.6</v>
      </c>
      <c r="BT24" s="51">
        <v>175.6</v>
      </c>
      <c r="BU24" s="51">
        <v>132</v>
      </c>
      <c r="BV24" s="51">
        <f>581.5-BU24-BT24-BS24</f>
        <v>97.299999999999983</v>
      </c>
      <c r="BW24" s="51">
        <v>81.099999999999994</v>
      </c>
      <c r="BX24" s="51">
        <f>+BW24</f>
        <v>81.099999999999994</v>
      </c>
      <c r="BY24" s="51">
        <f t="shared" ref="BY24:CD24" si="56">+BX24</f>
        <v>81.099999999999994</v>
      </c>
      <c r="BZ24" s="51">
        <f t="shared" si="56"/>
        <v>81.099999999999994</v>
      </c>
      <c r="CA24" s="51">
        <f t="shared" si="56"/>
        <v>81.099999999999994</v>
      </c>
      <c r="CB24" s="51">
        <f t="shared" si="56"/>
        <v>81.099999999999994</v>
      </c>
      <c r="CC24" s="51">
        <f t="shared" si="56"/>
        <v>81.099999999999994</v>
      </c>
      <c r="CD24" s="51">
        <f t="shared" si="56"/>
        <v>81.099999999999994</v>
      </c>
      <c r="CE24" s="51"/>
      <c r="CF24" s="51"/>
      <c r="CG24" s="49"/>
      <c r="CH24" s="51"/>
      <c r="CI24" s="51"/>
      <c r="CJ24" s="51"/>
      <c r="CK24" s="51">
        <v>92</v>
      </c>
      <c r="CL24" s="51">
        <v>680</v>
      </c>
      <c r="CM24" s="51">
        <f>SUM(K24:N24)</f>
        <v>1316.1</v>
      </c>
      <c r="CN24" s="51">
        <f>SUM(O24:R24)</f>
        <v>2102.8000000000002</v>
      </c>
      <c r="CO24" s="51">
        <f>SUM(S24:V24)</f>
        <v>2697.1000000000004</v>
      </c>
      <c r="CP24" s="51">
        <f>SUM(W24:Z24)</f>
        <v>3074.7</v>
      </c>
      <c r="CQ24" s="51">
        <f>SUM(AA24:AD24)</f>
        <v>3480.7999999999997</v>
      </c>
      <c r="CR24" s="51">
        <f>SUM(AE24:AH24)</f>
        <v>4161.5</v>
      </c>
      <c r="CS24" s="51">
        <f>SUM(AI24:AL24)</f>
        <v>4814.6000000000004</v>
      </c>
      <c r="CT24" s="51">
        <f>CS24*1.1</f>
        <v>5296.06</v>
      </c>
      <c r="CU24" s="51">
        <f>CT24*0.4</f>
        <v>2118.4240000000004</v>
      </c>
      <c r="CV24" s="51"/>
      <c r="CW24" s="51"/>
      <c r="CX24" s="51">
        <v>757.2</v>
      </c>
      <c r="CY24" s="51">
        <v>708</v>
      </c>
      <c r="CZ24" s="51">
        <v>725.4</v>
      </c>
      <c r="DA24" s="49">
        <f t="shared" si="3"/>
        <v>767.7</v>
      </c>
      <c r="DB24" s="49">
        <f t="shared" si="4"/>
        <v>581.5</v>
      </c>
      <c r="DC24" s="49">
        <f t="shared" si="5"/>
        <v>324.39999999999998</v>
      </c>
      <c r="DD24" s="49">
        <f t="shared" si="6"/>
        <v>324.39999999999998</v>
      </c>
      <c r="DE24" s="49">
        <f t="shared" ref="DE24:DK24" si="57">+DD24*0.9</f>
        <v>291.95999999999998</v>
      </c>
      <c r="DF24" s="49">
        <f t="shared" si="57"/>
        <v>262.76400000000001</v>
      </c>
      <c r="DG24" s="49">
        <f t="shared" si="57"/>
        <v>236.48760000000001</v>
      </c>
      <c r="DH24" s="49">
        <f t="shared" si="57"/>
        <v>212.83884</v>
      </c>
      <c r="DI24" s="49">
        <f t="shared" si="57"/>
        <v>191.554956</v>
      </c>
      <c r="DJ24" s="49">
        <f t="shared" si="57"/>
        <v>172.39946040000001</v>
      </c>
      <c r="DK24" s="49">
        <f t="shared" si="57"/>
        <v>155.15951436</v>
      </c>
    </row>
    <row r="25" spans="2:115" x14ac:dyDescent="0.2">
      <c r="B25" t="s">
        <v>503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>
        <v>93.2</v>
      </c>
      <c r="BP25" s="51">
        <v>76.8</v>
      </c>
      <c r="BQ25" s="51">
        <v>91.7</v>
      </c>
      <c r="BR25" s="51">
        <v>96.8</v>
      </c>
      <c r="BS25" s="51">
        <v>94.6</v>
      </c>
      <c r="BT25" s="51">
        <v>89.2</v>
      </c>
      <c r="BU25" s="51">
        <v>96.1</v>
      </c>
      <c r="BV25" s="51">
        <v>92.6</v>
      </c>
      <c r="BW25" s="51">
        <v>0</v>
      </c>
      <c r="BX25" s="51"/>
      <c r="BY25" s="51"/>
      <c r="BZ25" s="51"/>
      <c r="CA25" s="51"/>
      <c r="CB25" s="51"/>
      <c r="CC25" s="51"/>
      <c r="CD25" s="51"/>
      <c r="CE25" s="51"/>
      <c r="CF25" s="51"/>
      <c r="CG25" s="49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>
        <v>537.9</v>
      </c>
      <c r="CY25" s="51">
        <v>574.70000000000005</v>
      </c>
      <c r="CZ25" s="51">
        <v>590.6</v>
      </c>
      <c r="DA25" s="49">
        <f t="shared" si="3"/>
        <v>358.5</v>
      </c>
      <c r="DB25" s="49">
        <f t="shared" si="4"/>
        <v>372.5</v>
      </c>
      <c r="DC25" s="49">
        <f t="shared" si="5"/>
        <v>0</v>
      </c>
      <c r="DD25" s="49">
        <f t="shared" si="6"/>
        <v>0</v>
      </c>
      <c r="DE25" s="49">
        <f t="shared" ref="DE25:DK25" si="58">+DD25*0.9</f>
        <v>0</v>
      </c>
      <c r="DF25" s="49">
        <f t="shared" si="58"/>
        <v>0</v>
      </c>
      <c r="DG25" s="49">
        <f t="shared" si="58"/>
        <v>0</v>
      </c>
      <c r="DH25" s="49">
        <f t="shared" si="58"/>
        <v>0</v>
      </c>
      <c r="DI25" s="49">
        <f t="shared" si="58"/>
        <v>0</v>
      </c>
      <c r="DJ25" s="49">
        <f t="shared" si="58"/>
        <v>0</v>
      </c>
      <c r="DK25" s="49">
        <f t="shared" si="58"/>
        <v>0</v>
      </c>
    </row>
    <row r="26" spans="2:115" x14ac:dyDescent="0.2">
      <c r="B26" t="s">
        <v>62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>
        <v>41.1</v>
      </c>
      <c r="BP26" s="51">
        <v>33.200000000000003</v>
      </c>
      <c r="BQ26" s="51">
        <v>43.2</v>
      </c>
      <c r="BR26" s="51">
        <v>35.6</v>
      </c>
      <c r="BS26" s="51">
        <v>32.4</v>
      </c>
      <c r="BT26" s="51">
        <v>35</v>
      </c>
      <c r="BU26" s="51">
        <v>36</v>
      </c>
      <c r="BV26" s="51">
        <v>31.4</v>
      </c>
      <c r="BW26" s="51">
        <v>74.2</v>
      </c>
      <c r="BX26" s="51">
        <f>+BW26</f>
        <v>74.2</v>
      </c>
      <c r="BY26" s="51">
        <f t="shared" ref="BY26:CD26" si="59">+BX26</f>
        <v>74.2</v>
      </c>
      <c r="BZ26" s="51">
        <f t="shared" si="59"/>
        <v>74.2</v>
      </c>
      <c r="CA26" s="51">
        <f t="shared" si="59"/>
        <v>74.2</v>
      </c>
      <c r="CB26" s="51">
        <f t="shared" si="59"/>
        <v>74.2</v>
      </c>
      <c r="CC26" s="51">
        <f t="shared" si="59"/>
        <v>74.2</v>
      </c>
      <c r="CD26" s="51">
        <f t="shared" si="59"/>
        <v>74.2</v>
      </c>
      <c r="CE26" s="51"/>
      <c r="CF26" s="51"/>
      <c r="CG26" s="49"/>
      <c r="CH26" s="51"/>
      <c r="CI26" s="51">
        <v>168</v>
      </c>
      <c r="CJ26" s="51">
        <v>98</v>
      </c>
      <c r="CK26" s="51">
        <v>89</v>
      </c>
      <c r="CL26" s="51">
        <v>4</v>
      </c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>
        <f>98.9+115.7</f>
        <v>214.60000000000002</v>
      </c>
      <c r="CY26" s="51">
        <f>93.4+92.3</f>
        <v>185.7</v>
      </c>
      <c r="CZ26" s="51">
        <f>80.2+93.6</f>
        <v>173.8</v>
      </c>
      <c r="DA26" s="49">
        <f t="shared" si="3"/>
        <v>153.10000000000002</v>
      </c>
      <c r="DB26" s="49">
        <f t="shared" si="4"/>
        <v>134.80000000000001</v>
      </c>
      <c r="DC26" s="49">
        <f t="shared" si="5"/>
        <v>296.8</v>
      </c>
      <c r="DD26" s="49">
        <f t="shared" si="6"/>
        <v>296.8</v>
      </c>
      <c r="DE26" s="49">
        <f t="shared" ref="DE26:DK26" si="60">+DD26*0.9</f>
        <v>267.12</v>
      </c>
      <c r="DF26" s="49">
        <f t="shared" si="60"/>
        <v>240.40800000000002</v>
      </c>
      <c r="DG26" s="49">
        <f t="shared" si="60"/>
        <v>216.36720000000003</v>
      </c>
      <c r="DH26" s="49">
        <f t="shared" si="60"/>
        <v>194.73048000000003</v>
      </c>
      <c r="DI26" s="49">
        <f t="shared" si="60"/>
        <v>175.25743200000002</v>
      </c>
      <c r="DJ26" s="49">
        <f t="shared" si="60"/>
        <v>157.73168880000003</v>
      </c>
      <c r="DK26" s="49">
        <f t="shared" si="60"/>
        <v>141.95851992000004</v>
      </c>
    </row>
    <row r="27" spans="2:115" x14ac:dyDescent="0.2">
      <c r="B27" s="38" t="s">
        <v>381</v>
      </c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>
        <v>0</v>
      </c>
      <c r="BL27" s="51">
        <v>0</v>
      </c>
      <c r="BM27" s="51">
        <v>0</v>
      </c>
      <c r="BN27" s="51">
        <v>0</v>
      </c>
      <c r="BO27" s="51">
        <v>0</v>
      </c>
      <c r="BP27" s="51">
        <v>6.3</v>
      </c>
      <c r="BQ27" s="51">
        <v>11.6</v>
      </c>
      <c r="BR27" s="51">
        <v>18.7</v>
      </c>
      <c r="BS27" s="51">
        <v>16.8</v>
      </c>
      <c r="BT27" s="51">
        <v>25.7</v>
      </c>
      <c r="BU27" s="51">
        <v>33.6</v>
      </c>
      <c r="BV27" s="51">
        <v>38.6</v>
      </c>
      <c r="BW27" s="51">
        <v>41.8</v>
      </c>
      <c r="BX27" s="51">
        <f>+BW27+3</f>
        <v>44.8</v>
      </c>
      <c r="BY27" s="51">
        <f t="shared" ref="BY27:CD27" si="61">+BX27+3</f>
        <v>47.8</v>
      </c>
      <c r="BZ27" s="51">
        <f t="shared" si="61"/>
        <v>50.8</v>
      </c>
      <c r="CA27" s="51">
        <f t="shared" si="61"/>
        <v>53.8</v>
      </c>
      <c r="CB27" s="51">
        <f t="shared" si="61"/>
        <v>56.8</v>
      </c>
      <c r="CC27" s="51">
        <f t="shared" si="61"/>
        <v>59.8</v>
      </c>
      <c r="CD27" s="51">
        <f t="shared" si="61"/>
        <v>62.8</v>
      </c>
      <c r="CE27" s="51"/>
      <c r="CF27" s="51"/>
      <c r="CG27" s="49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49">
        <f t="shared" si="3"/>
        <v>36.599999999999994</v>
      </c>
      <c r="DB27" s="49">
        <f t="shared" si="4"/>
        <v>114.69999999999999</v>
      </c>
      <c r="DC27" s="49">
        <f t="shared" si="5"/>
        <v>185.2</v>
      </c>
      <c r="DD27" s="49">
        <f t="shared" si="6"/>
        <v>233.2</v>
      </c>
      <c r="DE27" s="49">
        <f t="shared" ref="DE27:DJ27" si="62">+DD27*1.3</f>
        <v>303.15999999999997</v>
      </c>
      <c r="DF27" s="49">
        <f t="shared" si="62"/>
        <v>394.10799999999995</v>
      </c>
      <c r="DG27" s="49">
        <f t="shared" si="62"/>
        <v>512.34039999999993</v>
      </c>
      <c r="DH27" s="49">
        <f t="shared" si="62"/>
        <v>666.04251999999997</v>
      </c>
      <c r="DI27" s="49">
        <f t="shared" si="62"/>
        <v>865.855276</v>
      </c>
      <c r="DJ27" s="49">
        <f t="shared" si="62"/>
        <v>1125.6118587999999</v>
      </c>
      <c r="DK27" s="49">
        <f>+DJ27*0.1</f>
        <v>112.56118588</v>
      </c>
    </row>
    <row r="28" spans="2:115" x14ac:dyDescent="0.2">
      <c r="B28" s="38" t="s">
        <v>458</v>
      </c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>
        <v>0</v>
      </c>
      <c r="BL28" s="51">
        <v>0</v>
      </c>
      <c r="BM28" s="51">
        <v>6.2</v>
      </c>
      <c r="BN28" s="51">
        <v>0</v>
      </c>
      <c r="BO28" s="51">
        <v>17.8</v>
      </c>
      <c r="BP28" s="51">
        <v>13.6</v>
      </c>
      <c r="BQ28" s="51">
        <v>20.9</v>
      </c>
      <c r="BR28" s="51">
        <v>23.8</v>
      </c>
      <c r="BS28" s="51">
        <v>24.4</v>
      </c>
      <c r="BT28" s="51">
        <v>25.9</v>
      </c>
      <c r="BU28" s="51">
        <v>31.9</v>
      </c>
      <c r="BV28" s="51">
        <v>31</v>
      </c>
      <c r="BW28" s="51">
        <v>0</v>
      </c>
      <c r="BX28" s="51">
        <f>+BW28</f>
        <v>0</v>
      </c>
      <c r="BY28" s="51">
        <f t="shared" ref="BY28:CD28" si="63">+BX28</f>
        <v>0</v>
      </c>
      <c r="BZ28" s="51">
        <f t="shared" si="63"/>
        <v>0</v>
      </c>
      <c r="CA28" s="51">
        <f t="shared" si="63"/>
        <v>0</v>
      </c>
      <c r="CB28" s="51">
        <f t="shared" si="63"/>
        <v>0</v>
      </c>
      <c r="CC28" s="51">
        <f t="shared" si="63"/>
        <v>0</v>
      </c>
      <c r="CD28" s="51">
        <f t="shared" si="63"/>
        <v>0</v>
      </c>
      <c r="CE28" s="51"/>
      <c r="CF28" s="51"/>
      <c r="CG28" s="49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49">
        <f t="shared" si="3"/>
        <v>76.099999999999994</v>
      </c>
      <c r="DB28" s="49">
        <f t="shared" si="4"/>
        <v>113.19999999999999</v>
      </c>
      <c r="DC28" s="49">
        <f t="shared" si="5"/>
        <v>0</v>
      </c>
      <c r="DD28" s="49">
        <f t="shared" si="6"/>
        <v>0</v>
      </c>
      <c r="DE28" s="49"/>
      <c r="DF28" s="49"/>
      <c r="DG28" s="49"/>
      <c r="DH28" s="49"/>
      <c r="DI28" s="49"/>
      <c r="DJ28" s="49"/>
      <c r="DK28" s="49"/>
    </row>
    <row r="29" spans="2:115" x14ac:dyDescent="0.2">
      <c r="B29" s="38" t="s">
        <v>378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>
        <v>2.6</v>
      </c>
      <c r="BP29" s="52">
        <v>8.1</v>
      </c>
      <c r="BQ29" s="52">
        <v>10.6</v>
      </c>
      <c r="BR29" s="52">
        <v>13.2</v>
      </c>
      <c r="BS29" s="52">
        <v>16.899999999999999</v>
      </c>
      <c r="BT29" s="52">
        <v>7.9</v>
      </c>
      <c r="BU29" s="52">
        <v>4.9000000000000004</v>
      </c>
      <c r="BV29" s="52">
        <f>15.3+17.6-BU29-BT29-BS29</f>
        <v>3.2000000000000099</v>
      </c>
      <c r="BW29" s="52">
        <v>4.5</v>
      </c>
      <c r="BX29" s="52">
        <f>+BW29</f>
        <v>4.5</v>
      </c>
      <c r="BY29" s="52">
        <f t="shared" ref="BY29:CD29" si="64">+BX29</f>
        <v>4.5</v>
      </c>
      <c r="BZ29" s="52">
        <f t="shared" si="64"/>
        <v>4.5</v>
      </c>
      <c r="CA29" s="52">
        <f t="shared" si="64"/>
        <v>4.5</v>
      </c>
      <c r="CB29" s="52">
        <f t="shared" si="64"/>
        <v>4.5</v>
      </c>
      <c r="CC29" s="52">
        <f t="shared" si="64"/>
        <v>4.5</v>
      </c>
      <c r="CD29" s="52">
        <f t="shared" si="64"/>
        <v>4.5</v>
      </c>
      <c r="CE29" s="52"/>
      <c r="CF29" s="52"/>
      <c r="CG29" s="49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49">
        <f t="shared" si="3"/>
        <v>34.5</v>
      </c>
      <c r="DB29" s="49">
        <f t="shared" si="4"/>
        <v>32.900000000000006</v>
      </c>
      <c r="DC29" s="49">
        <f t="shared" si="5"/>
        <v>18</v>
      </c>
      <c r="DD29" s="49">
        <f t="shared" si="6"/>
        <v>18</v>
      </c>
      <c r="DE29" s="49">
        <f>+DD29</f>
        <v>18</v>
      </c>
      <c r="DF29" s="49">
        <f t="shared" ref="DF29:DK29" si="65">+DE29</f>
        <v>18</v>
      </c>
      <c r="DG29" s="49">
        <f t="shared" si="65"/>
        <v>18</v>
      </c>
      <c r="DH29" s="49">
        <f t="shared" si="65"/>
        <v>18</v>
      </c>
      <c r="DI29" s="49">
        <f t="shared" si="65"/>
        <v>18</v>
      </c>
      <c r="DJ29" s="49">
        <f t="shared" si="65"/>
        <v>18</v>
      </c>
      <c r="DK29" s="49">
        <f t="shared" si="65"/>
        <v>18</v>
      </c>
    </row>
    <row r="30" spans="2:115" x14ac:dyDescent="0.2">
      <c r="B30" s="38" t="s">
        <v>506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>
        <v>28</v>
      </c>
      <c r="BP30" s="52">
        <v>22.7</v>
      </c>
      <c r="BQ30" s="52">
        <v>24.8</v>
      </c>
      <c r="BR30" s="52">
        <v>22.3</v>
      </c>
      <c r="BS30" s="52">
        <v>21.8</v>
      </c>
      <c r="BT30" s="52">
        <v>9.3000000000000007</v>
      </c>
      <c r="BU30" s="52">
        <v>10.4</v>
      </c>
      <c r="BV30" s="52">
        <v>8.8000000000000007</v>
      </c>
      <c r="BW30" s="52"/>
      <c r="BX30" s="52"/>
      <c r="BY30" s="52"/>
      <c r="BZ30" s="52"/>
      <c r="CA30" s="52"/>
      <c r="CB30" s="52"/>
      <c r="CC30" s="52"/>
      <c r="CD30" s="52"/>
      <c r="CE30" s="52"/>
      <c r="CF30" s="52"/>
      <c r="CG30" s="49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  <c r="CS30" s="51"/>
      <c r="CT30" s="51"/>
      <c r="CU30" s="51"/>
      <c r="CV30" s="51"/>
      <c r="CW30" s="51"/>
      <c r="CX30" s="51"/>
      <c r="CY30" s="51"/>
      <c r="CZ30" s="51"/>
      <c r="DA30" s="49">
        <f t="shared" si="3"/>
        <v>97.8</v>
      </c>
      <c r="DB30" s="49">
        <f t="shared" si="4"/>
        <v>50.3</v>
      </c>
      <c r="DC30" s="49">
        <f t="shared" si="5"/>
        <v>0</v>
      </c>
      <c r="DD30" s="49">
        <f t="shared" si="6"/>
        <v>0</v>
      </c>
      <c r="DE30" s="49"/>
      <c r="DF30" s="49"/>
      <c r="DG30" s="49"/>
      <c r="DH30" s="49"/>
      <c r="DI30" s="49"/>
      <c r="DJ30" s="49"/>
      <c r="DK30" s="49"/>
    </row>
    <row r="31" spans="2:115" x14ac:dyDescent="0.2">
      <c r="B31" s="38" t="s">
        <v>459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>
        <v>1.4</v>
      </c>
      <c r="BP31" s="52">
        <v>2.9</v>
      </c>
      <c r="BQ31" s="52">
        <v>4</v>
      </c>
      <c r="BR31" s="52">
        <v>4.4000000000000004</v>
      </c>
      <c r="BS31" s="52">
        <v>2.5</v>
      </c>
      <c r="BT31" s="52">
        <v>9.4</v>
      </c>
      <c r="BU31" s="52">
        <v>5.3</v>
      </c>
      <c r="BV31" s="52">
        <v>6.9</v>
      </c>
      <c r="BW31" s="52"/>
      <c r="BX31" s="52"/>
      <c r="BY31" s="52"/>
      <c r="BZ31" s="52"/>
      <c r="CA31" s="52"/>
      <c r="CB31" s="52"/>
      <c r="CC31" s="52"/>
      <c r="CD31" s="52"/>
      <c r="CE31" s="52"/>
      <c r="CF31" s="52"/>
      <c r="CG31" s="49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49">
        <f t="shared" si="3"/>
        <v>12.700000000000001</v>
      </c>
      <c r="DB31" s="49">
        <f t="shared" si="4"/>
        <v>24.1</v>
      </c>
      <c r="DC31" s="49">
        <f t="shared" si="5"/>
        <v>0</v>
      </c>
      <c r="DD31" s="49">
        <f t="shared" si="6"/>
        <v>0</v>
      </c>
      <c r="DE31" s="49"/>
      <c r="DF31" s="49"/>
      <c r="DG31" s="49"/>
      <c r="DH31" s="49"/>
      <c r="DI31" s="49"/>
      <c r="DJ31" s="49"/>
      <c r="DK31" s="49"/>
    </row>
    <row r="32" spans="2:115" x14ac:dyDescent="0.2">
      <c r="B32" t="s">
        <v>15</v>
      </c>
      <c r="C32" s="51">
        <v>141.1</v>
      </c>
      <c r="D32" s="51">
        <v>178.6</v>
      </c>
      <c r="E32" s="51">
        <v>163.6</v>
      </c>
      <c r="F32" s="51">
        <v>183.4</v>
      </c>
      <c r="G32" s="51">
        <v>119.8</v>
      </c>
      <c r="H32" s="51">
        <v>123.5</v>
      </c>
      <c r="I32" s="51">
        <v>140.9</v>
      </c>
      <c r="J32" s="51">
        <v>168</v>
      </c>
      <c r="K32" s="51">
        <v>152</v>
      </c>
      <c r="L32" s="51">
        <v>144</v>
      </c>
      <c r="M32" s="51">
        <v>126</v>
      </c>
      <c r="N32" s="51">
        <v>156.30000000000001</v>
      </c>
      <c r="O32" s="51">
        <v>139.9</v>
      </c>
      <c r="P32" s="51">
        <v>142.30000000000001</v>
      </c>
      <c r="Q32" s="51">
        <v>130.5</v>
      </c>
      <c r="R32" s="51">
        <v>156.80000000000001</v>
      </c>
      <c r="S32" s="51">
        <v>148</v>
      </c>
      <c r="T32" s="51">
        <v>135.19999999999999</v>
      </c>
      <c r="U32" s="51">
        <v>149.5</v>
      </c>
      <c r="V32" s="51">
        <v>146.80000000000001</v>
      </c>
      <c r="W32" s="51">
        <v>158.9</v>
      </c>
      <c r="X32" s="51">
        <v>142.80000000000001</v>
      </c>
      <c r="Y32" s="51">
        <v>145.5</v>
      </c>
      <c r="Z32" s="51">
        <v>162.19999999999999</v>
      </c>
      <c r="AA32" s="51">
        <v>146.4</v>
      </c>
      <c r="AB32" s="51">
        <v>147.1</v>
      </c>
      <c r="AC32" s="51">
        <v>127.9</v>
      </c>
      <c r="AD32" s="51">
        <v>155.4</v>
      </c>
      <c r="AE32" s="51">
        <v>138.69999999999999</v>
      </c>
      <c r="AF32" s="51">
        <v>157.69999999999999</v>
      </c>
      <c r="AG32" s="51">
        <v>153.19999999999999</v>
      </c>
      <c r="AH32" s="51">
        <v>170.6</v>
      </c>
      <c r="AI32" s="51">
        <v>158.9</v>
      </c>
      <c r="AJ32" s="51">
        <v>153</v>
      </c>
      <c r="AK32" s="51">
        <v>145.6</v>
      </c>
      <c r="AL32" s="51">
        <f t="shared" ref="AL32:AP32" si="66">+AK32</f>
        <v>145.6</v>
      </c>
      <c r="AM32" s="51">
        <f t="shared" si="66"/>
        <v>145.6</v>
      </c>
      <c r="AN32" s="51">
        <f t="shared" si="66"/>
        <v>145.6</v>
      </c>
      <c r="AO32" s="51">
        <f t="shared" si="66"/>
        <v>145.6</v>
      </c>
      <c r="AP32" s="51">
        <f t="shared" si="66"/>
        <v>145.6</v>
      </c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  <c r="BN32" s="51"/>
      <c r="BO32" s="51">
        <v>38.200000000000003</v>
      </c>
      <c r="BP32" s="51">
        <v>22.5</v>
      </c>
      <c r="BQ32" s="51">
        <v>32.700000000000003</v>
      </c>
      <c r="BR32" s="51">
        <v>35.1</v>
      </c>
      <c r="BS32" s="51">
        <v>38.6</v>
      </c>
      <c r="BT32" s="51">
        <v>40.5</v>
      </c>
      <c r="BU32" s="51">
        <v>35.200000000000003</v>
      </c>
      <c r="BV32" s="51">
        <v>36.1</v>
      </c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49"/>
      <c r="CH32" s="51"/>
      <c r="CI32" s="51">
        <v>3</v>
      </c>
      <c r="CJ32" s="51">
        <v>370</v>
      </c>
      <c r="CK32" s="51">
        <v>666</v>
      </c>
      <c r="CL32" s="51">
        <v>552</v>
      </c>
      <c r="CM32" s="51">
        <v>594</v>
      </c>
      <c r="CN32" s="51">
        <f>SUM(O32:R32)</f>
        <v>569.5</v>
      </c>
      <c r="CO32" s="51">
        <f>SUM(S32:V32)</f>
        <v>579.5</v>
      </c>
      <c r="CP32" s="51">
        <f>SUM(W32:Z32)</f>
        <v>609.40000000000009</v>
      </c>
      <c r="CQ32" s="51">
        <f>SUM(AA32:AD32)</f>
        <v>576.79999999999995</v>
      </c>
      <c r="CR32" s="51">
        <f>SUM(AE32:AH32)</f>
        <v>620.19999999999993</v>
      </c>
      <c r="CS32" s="51">
        <f>SUM(AI32:AL32)</f>
        <v>603.1</v>
      </c>
      <c r="CT32" s="51">
        <f>CS32*0.95</f>
        <v>572.94500000000005</v>
      </c>
      <c r="CU32" s="51">
        <f>CT32*0.95</f>
        <v>544.29775000000006</v>
      </c>
      <c r="CV32" s="51">
        <f>CU32*0.95</f>
        <v>517.08286250000003</v>
      </c>
      <c r="CW32" s="51"/>
      <c r="CX32" s="51">
        <f>284.9+333.3</f>
        <v>618.20000000000005</v>
      </c>
      <c r="CY32" s="51">
        <v>450.8</v>
      </c>
      <c r="CZ32" s="51">
        <v>242.5</v>
      </c>
      <c r="DA32" s="49">
        <f t="shared" si="3"/>
        <v>128.5</v>
      </c>
      <c r="DB32" s="49">
        <f t="shared" si="4"/>
        <v>150.4</v>
      </c>
      <c r="DC32" s="49">
        <f t="shared" si="5"/>
        <v>0</v>
      </c>
      <c r="DD32" s="49">
        <f t="shared" si="6"/>
        <v>0</v>
      </c>
      <c r="DE32" s="49"/>
      <c r="DF32" s="49"/>
      <c r="DG32" s="49"/>
      <c r="DH32" s="49"/>
      <c r="DI32" s="49"/>
      <c r="DJ32" s="49"/>
      <c r="DK32" s="49"/>
    </row>
    <row r="33" spans="2:108" x14ac:dyDescent="0.2">
      <c r="B33" t="s">
        <v>79</v>
      </c>
      <c r="C33" s="51"/>
      <c r="D33" s="51"/>
      <c r="E33" s="51"/>
      <c r="F33" s="51">
        <v>251.4</v>
      </c>
      <c r="G33" s="51">
        <f>K33/1.01</f>
        <v>196.33663366336634</v>
      </c>
      <c r="H33" s="51">
        <v>201</v>
      </c>
      <c r="I33" s="51">
        <v>216</v>
      </c>
      <c r="J33" s="51">
        <v>251.4</v>
      </c>
      <c r="K33" s="51">
        <v>198.3</v>
      </c>
      <c r="L33" s="51">
        <v>201</v>
      </c>
      <c r="M33" s="51">
        <v>216</v>
      </c>
      <c r="N33" s="51">
        <v>236.6</v>
      </c>
      <c r="O33" s="51">
        <v>210</v>
      </c>
      <c r="P33" s="51">
        <v>214.7</v>
      </c>
      <c r="Q33" s="51">
        <v>236.8</v>
      </c>
      <c r="R33" s="51">
        <v>329.4</v>
      </c>
      <c r="S33" s="51"/>
      <c r="T33" s="51">
        <v>254.5</v>
      </c>
      <c r="U33" s="51">
        <v>277.10000000000002</v>
      </c>
      <c r="V33" s="51">
        <v>326.39999999999998</v>
      </c>
      <c r="W33" s="51">
        <v>264.10000000000002</v>
      </c>
      <c r="X33" s="51">
        <v>275.39999999999998</v>
      </c>
      <c r="Y33" s="51">
        <v>314.60000000000002</v>
      </c>
      <c r="Z33" s="51">
        <v>353.1</v>
      </c>
      <c r="AA33" s="51">
        <v>289.60000000000002</v>
      </c>
      <c r="AB33" s="51">
        <v>324.2</v>
      </c>
      <c r="AC33" s="51">
        <v>353.2</v>
      </c>
      <c r="AD33" s="51">
        <v>424.3</v>
      </c>
      <c r="AE33" s="51">
        <v>369.8</v>
      </c>
      <c r="AF33" s="51">
        <v>389.5</v>
      </c>
      <c r="AG33" s="51">
        <v>451</v>
      </c>
      <c r="AH33" s="51">
        <v>468.2</v>
      </c>
      <c r="AI33" s="51">
        <v>490.7</v>
      </c>
      <c r="AJ33" s="51">
        <v>512.20000000000005</v>
      </c>
      <c r="AK33" s="51">
        <v>479.4</v>
      </c>
      <c r="AL33" s="51">
        <f t="shared" ref="AL33:AP33" si="67">+AK33+5</f>
        <v>484.4</v>
      </c>
      <c r="AM33" s="51">
        <f t="shared" si="67"/>
        <v>489.4</v>
      </c>
      <c r="AN33" s="51">
        <f t="shared" si="67"/>
        <v>494.4</v>
      </c>
      <c r="AO33" s="51">
        <f t="shared" si="67"/>
        <v>499.4</v>
      </c>
      <c r="AP33" s="51">
        <f t="shared" si="67"/>
        <v>504.4</v>
      </c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49"/>
      <c r="CH33" s="51"/>
      <c r="CI33" s="51">
        <v>693</v>
      </c>
      <c r="CJ33" s="51">
        <v>727</v>
      </c>
      <c r="CK33" s="51">
        <v>798</v>
      </c>
      <c r="CL33" s="51">
        <v>864</v>
      </c>
      <c r="CM33" s="51">
        <v>882</v>
      </c>
      <c r="CN33" s="51">
        <f>CM33*1.05</f>
        <v>926.1</v>
      </c>
      <c r="CO33" s="51">
        <f t="shared" si="10"/>
        <v>858</v>
      </c>
      <c r="CP33" s="51">
        <f t="shared" si="11"/>
        <v>1207.2</v>
      </c>
      <c r="CQ33" s="51">
        <f t="shared" si="12"/>
        <v>1391.3</v>
      </c>
      <c r="CR33" s="51">
        <f t="shared" si="13"/>
        <v>1678.5</v>
      </c>
      <c r="CS33" s="51">
        <f t="shared" ref="CS33:CS36" si="68">SUM(AI33:AL33)</f>
        <v>1966.7000000000003</v>
      </c>
      <c r="CT33" s="51">
        <f t="shared" ref="CT33:CW33" si="69">CS33*1.05</f>
        <v>2065.0350000000003</v>
      </c>
      <c r="CU33" s="51">
        <f t="shared" si="69"/>
        <v>2168.2867500000002</v>
      </c>
      <c r="CV33" s="51">
        <f t="shared" si="69"/>
        <v>2276.7010875000005</v>
      </c>
      <c r="CW33" s="51"/>
      <c r="CX33" s="51"/>
      <c r="CY33" s="51"/>
      <c r="CZ33" s="51"/>
      <c r="DA33" s="49"/>
      <c r="DB33" s="49"/>
      <c r="DC33" s="49"/>
      <c r="DD33" s="49"/>
    </row>
    <row r="34" spans="2:108" s="38" customFormat="1" x14ac:dyDescent="0.2">
      <c r="B34" s="38" t="s">
        <v>264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>
        <v>22.6</v>
      </c>
      <c r="Z34" s="52">
        <v>4</v>
      </c>
      <c r="AA34" s="52">
        <v>8.8000000000000007</v>
      </c>
      <c r="AB34" s="52">
        <v>22.9</v>
      </c>
      <c r="AC34" s="52">
        <v>36.299999999999997</v>
      </c>
      <c r="AD34" s="52">
        <v>47</v>
      </c>
      <c r="AE34" s="52">
        <v>56.3</v>
      </c>
      <c r="AF34" s="52">
        <v>71.7</v>
      </c>
      <c r="AG34" s="52">
        <v>83.5</v>
      </c>
      <c r="AH34" s="52">
        <v>90.9</v>
      </c>
      <c r="AI34" s="52">
        <v>115.8</v>
      </c>
      <c r="AJ34" s="52">
        <v>111</v>
      </c>
      <c r="AK34" s="52">
        <v>109.7</v>
      </c>
      <c r="AL34" s="52">
        <f>+AK34+5</f>
        <v>114.7</v>
      </c>
      <c r="AM34" s="52">
        <f t="shared" ref="AM34:AP34" si="70">+AL34+5</f>
        <v>119.7</v>
      </c>
      <c r="AN34" s="52">
        <f t="shared" si="70"/>
        <v>124.7</v>
      </c>
      <c r="AO34" s="52">
        <f t="shared" si="70"/>
        <v>129.69999999999999</v>
      </c>
      <c r="AP34" s="52">
        <f t="shared" si="70"/>
        <v>134.69999999999999</v>
      </c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52"/>
      <c r="CE34" s="52"/>
      <c r="CF34" s="52"/>
      <c r="CG34" s="50"/>
      <c r="CH34" s="52"/>
      <c r="CI34" s="52"/>
      <c r="CJ34" s="52"/>
      <c r="CK34" s="52"/>
      <c r="CL34" s="52"/>
      <c r="CM34" s="52"/>
      <c r="CN34" s="52"/>
      <c r="CO34" s="52"/>
      <c r="CP34" s="52">
        <f>SUM(W34:Z34)</f>
        <v>26.6</v>
      </c>
      <c r="CQ34" s="52">
        <f>SUM(AA34:AD34)</f>
        <v>115</v>
      </c>
      <c r="CR34" s="51">
        <f t="shared" si="13"/>
        <v>302.39999999999998</v>
      </c>
      <c r="CS34" s="51">
        <f t="shared" si="68"/>
        <v>451.2</v>
      </c>
      <c r="CT34" s="52">
        <f>CS34*1.3</f>
        <v>586.56000000000006</v>
      </c>
      <c r="CU34" s="52">
        <f>CT34*1.1</f>
        <v>645.21600000000012</v>
      </c>
      <c r="CV34" s="52">
        <f>CU34*1.1</f>
        <v>709.73760000000016</v>
      </c>
      <c r="CW34" s="52"/>
      <c r="CX34" s="52"/>
      <c r="CY34" s="52"/>
      <c r="CZ34" s="52"/>
      <c r="DA34" s="49"/>
      <c r="DB34" s="49"/>
      <c r="DC34" s="49"/>
      <c r="DD34" s="49"/>
    </row>
    <row r="35" spans="2:108" x14ac:dyDescent="0.2">
      <c r="B35" t="s">
        <v>55</v>
      </c>
      <c r="C35" s="51">
        <v>279</v>
      </c>
      <c r="D35" s="51">
        <v>293.3</v>
      </c>
      <c r="E35" s="51">
        <v>312.7</v>
      </c>
      <c r="F35" s="51">
        <v>329.5</v>
      </c>
      <c r="G35" s="51">
        <v>304.60000000000002</v>
      </c>
      <c r="H35" s="51">
        <v>343</v>
      </c>
      <c r="I35" s="51">
        <v>334.3</v>
      </c>
      <c r="J35" s="51">
        <v>352.6</v>
      </c>
      <c r="K35" s="51">
        <v>339</v>
      </c>
      <c r="L35" s="51">
        <v>344</v>
      </c>
      <c r="M35" s="51">
        <v>355</v>
      </c>
      <c r="N35" s="51">
        <v>371.3</v>
      </c>
      <c r="O35" s="51">
        <v>376.9</v>
      </c>
      <c r="P35" s="51">
        <v>395.6</v>
      </c>
      <c r="Q35" s="51">
        <v>394.4</v>
      </c>
      <c r="R35" s="51">
        <v>425.5</v>
      </c>
      <c r="S35" s="51">
        <v>426.2</v>
      </c>
      <c r="T35" s="51">
        <v>440.1</v>
      </c>
      <c r="U35" s="51">
        <v>440.2</v>
      </c>
      <c r="V35" s="51">
        <v>413.3</v>
      </c>
      <c r="W35" s="51">
        <v>367.8</v>
      </c>
      <c r="X35" s="51">
        <v>353.2</v>
      </c>
      <c r="Y35" s="51">
        <v>331.8</v>
      </c>
      <c r="Z35" s="51">
        <v>310.5</v>
      </c>
      <c r="AA35" s="51">
        <v>287.8</v>
      </c>
      <c r="AB35" s="51">
        <v>293.39999999999998</v>
      </c>
      <c r="AC35" s="51">
        <v>324.60000000000002</v>
      </c>
      <c r="AD35" s="51">
        <v>243.6</v>
      </c>
      <c r="AE35" s="51">
        <v>156.1</v>
      </c>
      <c r="AF35" s="51">
        <v>112.4</v>
      </c>
      <c r="AG35" s="51">
        <v>91</v>
      </c>
      <c r="AH35" s="51">
        <v>92.6</v>
      </c>
      <c r="AI35" s="51">
        <v>0</v>
      </c>
      <c r="AJ35" s="51">
        <v>0</v>
      </c>
      <c r="AK35" s="51">
        <v>0</v>
      </c>
      <c r="AL35" s="52">
        <f t="shared" ref="AL35:AP35" si="71">+AK35</f>
        <v>0</v>
      </c>
      <c r="AM35" s="52">
        <f t="shared" si="71"/>
        <v>0</v>
      </c>
      <c r="AN35" s="52">
        <f t="shared" si="71"/>
        <v>0</v>
      </c>
      <c r="AO35" s="52">
        <f t="shared" si="71"/>
        <v>0</v>
      </c>
      <c r="AP35" s="52">
        <f t="shared" si="71"/>
        <v>0</v>
      </c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52"/>
      <c r="CE35" s="52"/>
      <c r="CF35" s="52"/>
      <c r="CG35" s="49"/>
      <c r="CH35" s="51"/>
      <c r="CI35" s="51">
        <v>875</v>
      </c>
      <c r="CJ35" s="51">
        <v>1022</v>
      </c>
      <c r="CK35" s="51">
        <v>1214</v>
      </c>
      <c r="CL35" s="51">
        <v>1335</v>
      </c>
      <c r="CM35" s="51">
        <f>SUM(K35:N35)</f>
        <v>1409.3</v>
      </c>
      <c r="CN35" s="51">
        <f>SUM(O35:R35)</f>
        <v>1592.4</v>
      </c>
      <c r="CO35" s="51">
        <f>SUM(S35:V35)</f>
        <v>1719.8</v>
      </c>
      <c r="CP35" s="51">
        <f>SUM(W35:Z35)</f>
        <v>1363.3</v>
      </c>
      <c r="CQ35" s="51">
        <f>SUM(AA35:AD35)</f>
        <v>1149.4000000000001</v>
      </c>
      <c r="CR35" s="51">
        <f>SUM(AE35:AH35)</f>
        <v>452.1</v>
      </c>
      <c r="CS35" s="51">
        <f t="shared" si="68"/>
        <v>0</v>
      </c>
      <c r="CT35" s="51">
        <f>CS35*0.2</f>
        <v>0</v>
      </c>
      <c r="CU35" s="51">
        <f>CT35*0.2</f>
        <v>0</v>
      </c>
      <c r="CV35" s="51"/>
      <c r="CW35" s="51"/>
      <c r="CX35" s="51"/>
      <c r="CY35" s="53"/>
      <c r="CZ35" s="53"/>
      <c r="DA35" s="49"/>
      <c r="DB35" s="49"/>
      <c r="DC35" s="49"/>
      <c r="DD35" s="49"/>
    </row>
    <row r="36" spans="2:108" x14ac:dyDescent="0.2">
      <c r="B36" t="s">
        <v>70</v>
      </c>
      <c r="C36" s="51"/>
      <c r="D36" s="51"/>
      <c r="E36" s="51"/>
      <c r="F36" s="51"/>
      <c r="G36" s="51"/>
      <c r="H36" s="51"/>
      <c r="I36" s="51"/>
      <c r="J36" s="51">
        <v>25.7</v>
      </c>
      <c r="K36" s="51">
        <v>36</v>
      </c>
      <c r="L36" s="51">
        <v>52</v>
      </c>
      <c r="M36" s="51">
        <v>62</v>
      </c>
      <c r="N36" s="51">
        <f>R36/1.34</f>
        <v>68.731343283582078</v>
      </c>
      <c r="O36" s="51">
        <v>72</v>
      </c>
      <c r="P36" s="51">
        <v>152.1</v>
      </c>
      <c r="Q36" s="51">
        <v>87.1</v>
      </c>
      <c r="R36" s="51">
        <v>92.1</v>
      </c>
      <c r="S36" s="51">
        <v>82.7</v>
      </c>
      <c r="T36" s="51">
        <v>101.2</v>
      </c>
      <c r="U36" s="51">
        <v>109.2</v>
      </c>
      <c r="V36" s="51">
        <v>103</v>
      </c>
      <c r="W36" s="51">
        <v>97.5</v>
      </c>
      <c r="X36" s="51">
        <v>114.6</v>
      </c>
      <c r="Y36" s="51">
        <v>115.8</v>
      </c>
      <c r="Z36" s="51">
        <v>120.5</v>
      </c>
      <c r="AA36" s="51">
        <v>115.7</v>
      </c>
      <c r="AB36" s="51">
        <v>106.9</v>
      </c>
      <c r="AC36" s="51">
        <v>102.7</v>
      </c>
      <c r="AD36" s="51">
        <v>105.3</v>
      </c>
      <c r="AE36" s="51">
        <v>101.8</v>
      </c>
      <c r="AF36" s="51">
        <v>103.9</v>
      </c>
      <c r="AG36" s="51">
        <v>106.7</v>
      </c>
      <c r="AH36" s="51">
        <v>110.3</v>
      </c>
      <c r="AI36" s="51">
        <v>0</v>
      </c>
      <c r="AJ36" s="51">
        <v>0</v>
      </c>
      <c r="AK36" s="51">
        <v>0</v>
      </c>
      <c r="AL36" s="51">
        <v>0</v>
      </c>
      <c r="AM36" s="51">
        <v>0</v>
      </c>
      <c r="AN36" s="51">
        <v>0</v>
      </c>
      <c r="AO36" s="51">
        <v>0</v>
      </c>
      <c r="AP36" s="51">
        <v>0</v>
      </c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49"/>
      <c r="CH36" s="51"/>
      <c r="CI36" s="51"/>
      <c r="CJ36" s="51"/>
      <c r="CK36" s="51"/>
      <c r="CL36" s="51">
        <v>36</v>
      </c>
      <c r="CM36" s="51">
        <v>193</v>
      </c>
      <c r="CN36" s="51">
        <f>CM36*1.75</f>
        <v>337.75</v>
      </c>
      <c r="CO36" s="51">
        <f>SUM(S36:V36)</f>
        <v>396.1</v>
      </c>
      <c r="CP36" s="51">
        <f>SUM(W36:Z36)</f>
        <v>448.4</v>
      </c>
      <c r="CQ36" s="51">
        <f>SUM(AA36:AD36)</f>
        <v>430.6</v>
      </c>
      <c r="CR36" s="51">
        <f>SUM(AE36:AH36)</f>
        <v>422.7</v>
      </c>
      <c r="CS36" s="51">
        <f t="shared" si="68"/>
        <v>0</v>
      </c>
      <c r="CT36" s="51">
        <f>+CS36*2</f>
        <v>0</v>
      </c>
      <c r="CU36" s="51">
        <f>+CT36*1.05</f>
        <v>0</v>
      </c>
      <c r="CV36" s="51">
        <f t="shared" ref="CV36:CX36" si="72">+CU36*1.05</f>
        <v>0</v>
      </c>
      <c r="CW36" s="51"/>
      <c r="CX36" s="51"/>
      <c r="CY36" s="53"/>
      <c r="CZ36" s="53"/>
      <c r="DA36" s="49"/>
      <c r="DB36" s="49"/>
      <c r="DC36" s="49"/>
      <c r="DD36" s="49"/>
    </row>
    <row r="37" spans="2:108" x14ac:dyDescent="0.2">
      <c r="B37" t="s">
        <v>61</v>
      </c>
      <c r="C37" s="51">
        <v>165</v>
      </c>
      <c r="D37" s="51">
        <v>129.80000000000001</v>
      </c>
      <c r="E37" s="51">
        <v>141</v>
      </c>
      <c r="F37" s="51">
        <v>123.1</v>
      </c>
      <c r="G37" s="51">
        <v>112.5</v>
      </c>
      <c r="H37" s="51">
        <v>114.2</v>
      </c>
      <c r="I37" s="51">
        <v>102.6</v>
      </c>
      <c r="J37" s="51">
        <v>114.4</v>
      </c>
      <c r="K37" s="51"/>
      <c r="L37" s="51"/>
      <c r="M37" s="51">
        <v>78</v>
      </c>
      <c r="N37" s="51"/>
      <c r="O37" s="51">
        <f>M37</f>
        <v>78</v>
      </c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49"/>
      <c r="CH37" s="51"/>
      <c r="CI37" s="51">
        <v>656</v>
      </c>
      <c r="CJ37" s="51">
        <v>645</v>
      </c>
      <c r="CK37" s="51">
        <v>559</v>
      </c>
      <c r="CL37" s="51">
        <v>454</v>
      </c>
      <c r="CM37" s="51">
        <v>327</v>
      </c>
      <c r="CN37" s="51">
        <f>CM37*0.95</f>
        <v>310.64999999999998</v>
      </c>
      <c r="CO37" s="51"/>
      <c r="CP37" s="51"/>
      <c r="CQ37" s="51"/>
      <c r="CR37" s="51"/>
      <c r="CS37" s="51"/>
      <c r="CT37" s="51"/>
      <c r="CU37" s="51"/>
      <c r="CV37" s="51"/>
      <c r="CW37" s="51"/>
      <c r="CX37" s="51"/>
      <c r="CY37" s="53"/>
      <c r="CZ37" s="53"/>
      <c r="DA37" s="49"/>
      <c r="DB37" s="49"/>
      <c r="DC37" s="49"/>
      <c r="DD37" s="49"/>
    </row>
    <row r="38" spans="2:108" x14ac:dyDescent="0.2">
      <c r="B38" t="s">
        <v>63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49"/>
      <c r="CH38" s="51"/>
      <c r="CI38" s="51">
        <v>198</v>
      </c>
      <c r="CJ38" s="51">
        <v>171</v>
      </c>
      <c r="CK38" s="51">
        <v>138</v>
      </c>
      <c r="CL38" s="51">
        <v>118</v>
      </c>
      <c r="CM38" s="51">
        <v>90</v>
      </c>
      <c r="CN38" s="51">
        <f>CM38*0.9</f>
        <v>81</v>
      </c>
      <c r="CO38" s="51">
        <f>CN38*0.9</f>
        <v>72.900000000000006</v>
      </c>
      <c r="CP38" s="51"/>
      <c r="CQ38" s="51"/>
      <c r="CR38" s="51"/>
      <c r="CS38" s="51"/>
      <c r="CT38" s="51"/>
      <c r="CU38" s="51"/>
      <c r="CV38" s="51"/>
      <c r="CW38" s="51"/>
      <c r="CX38" s="51"/>
      <c r="CY38" s="53"/>
      <c r="CZ38" s="53"/>
      <c r="DA38" s="49"/>
      <c r="DB38" s="49"/>
      <c r="DC38" s="49"/>
      <c r="DD38" s="49"/>
    </row>
    <row r="39" spans="2:108" x14ac:dyDescent="0.2">
      <c r="B39" t="s">
        <v>64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49"/>
      <c r="CH39" s="51"/>
      <c r="CI39" s="51">
        <v>38</v>
      </c>
      <c r="CJ39" s="51">
        <v>32</v>
      </c>
      <c r="CK39" s="51">
        <v>55</v>
      </c>
      <c r="CL39" s="51">
        <v>28</v>
      </c>
      <c r="CM39" s="51">
        <v>17</v>
      </c>
      <c r="CN39" s="51">
        <v>16</v>
      </c>
      <c r="CO39" s="51">
        <v>16</v>
      </c>
      <c r="CP39" s="51"/>
      <c r="CQ39" s="51"/>
      <c r="CR39" s="51"/>
      <c r="CS39" s="51"/>
      <c r="CT39" s="51"/>
      <c r="CU39" s="51"/>
      <c r="CV39" s="51"/>
      <c r="CW39" s="51"/>
      <c r="CX39" s="51"/>
      <c r="CY39" s="53"/>
      <c r="CZ39" s="53"/>
      <c r="DA39" s="49"/>
      <c r="DB39" s="49"/>
      <c r="DC39" s="49"/>
      <c r="DD39" s="49"/>
    </row>
    <row r="40" spans="2:108" x14ac:dyDescent="0.2">
      <c r="B40" t="s">
        <v>65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49"/>
      <c r="CH40" s="51"/>
      <c r="CI40" s="51">
        <v>75</v>
      </c>
      <c r="CJ40" s="51">
        <v>52</v>
      </c>
      <c r="CK40" s="51">
        <v>46</v>
      </c>
      <c r="CL40" s="51">
        <v>34</v>
      </c>
      <c r="CM40" s="51">
        <v>32</v>
      </c>
      <c r="CN40" s="51">
        <f>CM40*0.8</f>
        <v>25.6</v>
      </c>
      <c r="CO40" s="51">
        <f>CN40*0.8</f>
        <v>20.480000000000004</v>
      </c>
      <c r="CP40" s="51"/>
      <c r="CQ40" s="51"/>
      <c r="CR40" s="51"/>
      <c r="CS40" s="51"/>
      <c r="CT40" s="51"/>
      <c r="CU40" s="51"/>
      <c r="CV40" s="51"/>
      <c r="CW40" s="51"/>
      <c r="CX40" s="51"/>
      <c r="CY40" s="53"/>
      <c r="CZ40" s="53"/>
      <c r="DA40" s="49"/>
      <c r="DB40" s="49"/>
      <c r="DC40" s="49"/>
      <c r="DD40" s="49"/>
    </row>
    <row r="41" spans="2:108" x14ac:dyDescent="0.2">
      <c r="B41" t="s">
        <v>66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>
        <v>25</v>
      </c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49"/>
      <c r="CH41" s="51"/>
      <c r="CI41" s="51">
        <v>145</v>
      </c>
      <c r="CJ41" s="51">
        <v>173</v>
      </c>
      <c r="CK41" s="51">
        <v>198</v>
      </c>
      <c r="CL41" s="51">
        <v>240</v>
      </c>
      <c r="CM41" s="51">
        <v>154</v>
      </c>
      <c r="CN41" s="51">
        <v>136</v>
      </c>
      <c r="CO41" s="51">
        <v>143</v>
      </c>
      <c r="CP41" s="51"/>
      <c r="CQ41" s="51"/>
      <c r="CR41" s="51"/>
      <c r="CS41" s="51"/>
      <c r="CT41" s="51"/>
      <c r="CU41" s="51"/>
      <c r="CV41" s="51"/>
      <c r="CW41" s="51"/>
      <c r="CX41" s="51"/>
      <c r="CY41" s="53"/>
      <c r="CZ41" s="53"/>
      <c r="DA41" s="49"/>
      <c r="DB41" s="49"/>
      <c r="DC41" s="49"/>
      <c r="DD41" s="49"/>
    </row>
    <row r="42" spans="2:108" x14ac:dyDescent="0.2">
      <c r="B42" t="s">
        <v>67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49"/>
      <c r="CH42" s="51"/>
      <c r="CI42" s="51">
        <v>122</v>
      </c>
      <c r="CJ42" s="51">
        <v>63</v>
      </c>
      <c r="CK42" s="51">
        <v>44</v>
      </c>
      <c r="CL42" s="51">
        <v>25</v>
      </c>
      <c r="CM42" s="51">
        <v>31</v>
      </c>
      <c r="CN42" s="51">
        <f>CM42*0.9</f>
        <v>27.900000000000002</v>
      </c>
      <c r="CO42" s="51">
        <f>CN42*0.9</f>
        <v>25.110000000000003</v>
      </c>
      <c r="CP42" s="51">
        <f>CO42*0.9</f>
        <v>22.599000000000004</v>
      </c>
      <c r="CQ42" s="51"/>
      <c r="CR42" s="51"/>
      <c r="CS42" s="51"/>
      <c r="CT42" s="51"/>
      <c r="CU42" s="51"/>
      <c r="CV42" s="51"/>
      <c r="CW42" s="51"/>
      <c r="CX42" s="51"/>
      <c r="CY42" s="53"/>
      <c r="CZ42" s="53"/>
      <c r="DA42" s="49"/>
      <c r="DB42" s="49"/>
      <c r="DC42" s="49"/>
      <c r="DD42" s="49"/>
    </row>
    <row r="43" spans="2:108" x14ac:dyDescent="0.2">
      <c r="B43" t="s">
        <v>69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>
        <v>102</v>
      </c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>
        <v>88.7</v>
      </c>
      <c r="BP43" s="51">
        <v>46.2</v>
      </c>
      <c r="BQ43" s="51">
        <v>50.7</v>
      </c>
      <c r="BR43" s="51">
        <v>110.8</v>
      </c>
      <c r="BS43" s="51">
        <v>64.900000000000006</v>
      </c>
      <c r="BT43" s="51">
        <v>22.4</v>
      </c>
      <c r="BU43" s="51">
        <v>50.2</v>
      </c>
      <c r="BV43" s="51">
        <v>51.4</v>
      </c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49"/>
      <c r="CH43" s="51"/>
      <c r="CI43" s="51">
        <v>329</v>
      </c>
      <c r="CJ43" s="51">
        <v>371</v>
      </c>
      <c r="CK43" s="51">
        <v>430</v>
      </c>
      <c r="CL43" s="51">
        <v>414</v>
      </c>
      <c r="CM43" s="51">
        <v>413</v>
      </c>
      <c r="CN43" s="51">
        <f>CM43*1.05</f>
        <v>433.65000000000003</v>
      </c>
      <c r="CO43" s="51">
        <f>CN43*1.05</f>
        <v>455.33250000000004</v>
      </c>
      <c r="CP43" s="51">
        <f>CO43*1.05</f>
        <v>478.09912500000007</v>
      </c>
      <c r="CQ43" s="51"/>
      <c r="CR43" s="51"/>
      <c r="CS43" s="51"/>
      <c r="CT43" s="51"/>
      <c r="CU43" s="51"/>
      <c r="CV43" s="51"/>
      <c r="CW43" s="51"/>
      <c r="CX43" s="51"/>
      <c r="CY43" s="53"/>
      <c r="CZ43" s="53"/>
      <c r="DA43" s="49">
        <f t="shared" ref="DA43" si="73">SUM(BO43:BR43)</f>
        <v>296.40000000000003</v>
      </c>
      <c r="DB43" s="49">
        <f t="shared" ref="DB43" si="74">SUM(BS43:BV43)</f>
        <v>188.9</v>
      </c>
      <c r="DC43" s="49">
        <f t="shared" ref="DC43" si="75">SUM(BW43:BZ43)</f>
        <v>0</v>
      </c>
      <c r="DD43" s="49">
        <f t="shared" ref="DD43" si="76">SUM(CA43:CD43)</f>
        <v>0</v>
      </c>
    </row>
    <row r="44" spans="2:108" x14ac:dyDescent="0.2">
      <c r="B44" t="s">
        <v>71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49"/>
      <c r="CH44" s="51"/>
      <c r="CI44" s="51">
        <v>46</v>
      </c>
      <c r="CJ44" s="51">
        <v>43</v>
      </c>
      <c r="CK44" s="51">
        <v>34</v>
      </c>
      <c r="CL44" s="51">
        <v>52</v>
      </c>
      <c r="CM44" s="51">
        <v>34</v>
      </c>
      <c r="CN44" s="51">
        <v>34</v>
      </c>
      <c r="CO44" s="51">
        <v>35</v>
      </c>
      <c r="CP44" s="51"/>
      <c r="CQ44" s="51"/>
      <c r="CR44" s="51"/>
      <c r="CS44" s="51"/>
      <c r="CT44" s="51"/>
      <c r="CU44" s="51"/>
      <c r="CV44" s="51"/>
      <c r="CW44" s="51"/>
      <c r="CX44" s="51"/>
      <c r="CY44" s="53"/>
      <c r="CZ44" s="53"/>
      <c r="DA44" s="49"/>
      <c r="DB44" s="49"/>
      <c r="DC44" s="49"/>
      <c r="DD44" s="49"/>
    </row>
    <row r="45" spans="2:108" x14ac:dyDescent="0.2">
      <c r="B45" t="s">
        <v>72</v>
      </c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>
        <v>67</v>
      </c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49"/>
      <c r="CH45" s="51"/>
      <c r="CI45" s="51">
        <v>384</v>
      </c>
      <c r="CJ45" s="51">
        <v>364</v>
      </c>
      <c r="CK45" s="51">
        <v>363</v>
      </c>
      <c r="CL45" s="51">
        <v>297</v>
      </c>
      <c r="CM45" s="51">
        <v>296</v>
      </c>
      <c r="CN45" s="51">
        <f>CM45*0.95</f>
        <v>281.2</v>
      </c>
      <c r="CO45" s="51">
        <f>CN45*0.95</f>
        <v>267.14</v>
      </c>
      <c r="CP45" s="51">
        <f>CO45*0.95</f>
        <v>253.78299999999999</v>
      </c>
      <c r="CQ45" s="51"/>
      <c r="CR45" s="51"/>
      <c r="CS45" s="51"/>
      <c r="CT45" s="51"/>
      <c r="CU45" s="51"/>
      <c r="CV45" s="51"/>
      <c r="CW45" s="51"/>
      <c r="CX45" s="51"/>
      <c r="CY45" s="53"/>
      <c r="CZ45" s="53"/>
      <c r="DA45" s="49"/>
      <c r="DB45" s="49"/>
      <c r="DC45" s="49"/>
      <c r="DD45" s="49"/>
    </row>
    <row r="46" spans="2:108" x14ac:dyDescent="0.2">
      <c r="B46" t="s">
        <v>73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49"/>
      <c r="CH46" s="51"/>
      <c r="CI46" s="51">
        <v>60</v>
      </c>
      <c r="CJ46" s="51">
        <v>70</v>
      </c>
      <c r="CK46" s="51">
        <v>42</v>
      </c>
      <c r="CL46" s="51">
        <v>34</v>
      </c>
      <c r="CM46" s="51">
        <v>23</v>
      </c>
      <c r="CN46" s="51">
        <v>22</v>
      </c>
      <c r="CO46" s="51">
        <v>22</v>
      </c>
      <c r="CP46" s="51">
        <v>22</v>
      </c>
      <c r="CQ46" s="51"/>
      <c r="CR46" s="51"/>
      <c r="CS46" s="51"/>
      <c r="CT46" s="51"/>
      <c r="CU46" s="51"/>
      <c r="CV46" s="51"/>
      <c r="CW46" s="51"/>
      <c r="CX46" s="51"/>
      <c r="CY46" s="53"/>
      <c r="CZ46" s="53"/>
      <c r="DA46" s="49"/>
      <c r="DB46" s="49"/>
      <c r="DC46" s="49"/>
      <c r="DD46" s="49"/>
    </row>
    <row r="47" spans="2:108" x14ac:dyDescent="0.2">
      <c r="B47" t="s">
        <v>68</v>
      </c>
      <c r="C47" s="51">
        <v>153.30000000000001</v>
      </c>
      <c r="D47" s="51">
        <v>112.4</v>
      </c>
      <c r="E47" s="51">
        <v>58.3</v>
      </c>
      <c r="F47" s="51">
        <v>128.9</v>
      </c>
      <c r="G47" s="51">
        <v>168.7</v>
      </c>
      <c r="H47" s="51">
        <v>105</v>
      </c>
      <c r="I47" s="51">
        <f>M47/1.2</f>
        <v>64.166666666666671</v>
      </c>
      <c r="J47" s="51">
        <v>155</v>
      </c>
      <c r="K47" s="51">
        <v>189</v>
      </c>
      <c r="L47" s="51">
        <v>93</v>
      </c>
      <c r="M47" s="51">
        <v>77</v>
      </c>
      <c r="N47" s="51">
        <f>R47/1.04</f>
        <v>89.615384615384613</v>
      </c>
      <c r="O47" s="51"/>
      <c r="P47" s="51"/>
      <c r="Q47" s="51">
        <v>97.8</v>
      </c>
      <c r="R47" s="51">
        <v>93.2</v>
      </c>
      <c r="S47" s="51">
        <v>84.1</v>
      </c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49"/>
      <c r="CH47" s="51"/>
      <c r="CI47" s="51">
        <v>391</v>
      </c>
      <c r="CJ47" s="51">
        <v>430</v>
      </c>
      <c r="CK47" s="51">
        <v>453</v>
      </c>
      <c r="CL47" s="51">
        <v>493</v>
      </c>
      <c r="CM47" s="51">
        <v>428</v>
      </c>
      <c r="CN47" s="51">
        <f>SUM(O47:R47)</f>
        <v>191</v>
      </c>
      <c r="CO47" s="51">
        <f>SUM(S47:V47)</f>
        <v>84.1</v>
      </c>
      <c r="CP47" s="51"/>
      <c r="CQ47" s="51"/>
      <c r="CR47" s="51"/>
      <c r="CS47" s="51"/>
      <c r="CT47" s="51"/>
      <c r="CU47" s="51"/>
      <c r="CV47" s="51"/>
      <c r="CW47" s="51"/>
      <c r="CX47" s="51"/>
      <c r="CY47" s="53"/>
      <c r="CZ47" s="53"/>
      <c r="DA47" s="49"/>
      <c r="DB47" s="49"/>
      <c r="DC47" s="49"/>
      <c r="DD47" s="49"/>
    </row>
    <row r="48" spans="2:108" x14ac:dyDescent="0.2">
      <c r="B48" t="s">
        <v>74</v>
      </c>
      <c r="C48" s="51"/>
      <c r="D48" s="51"/>
      <c r="E48" s="51"/>
      <c r="F48" s="51">
        <f>J48*1.06</f>
        <v>54.908000000000001</v>
      </c>
      <c r="G48" s="51"/>
      <c r="H48" s="51"/>
      <c r="I48" s="51">
        <v>45.5</v>
      </c>
      <c r="J48" s="51">
        <v>51.8</v>
      </c>
      <c r="K48" s="51">
        <v>50</v>
      </c>
      <c r="L48" s="51">
        <v>48</v>
      </c>
      <c r="M48" s="51">
        <v>42</v>
      </c>
      <c r="N48" s="51"/>
      <c r="O48" s="51">
        <v>40</v>
      </c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49"/>
      <c r="CH48" s="51"/>
      <c r="CI48" s="51">
        <v>98</v>
      </c>
      <c r="CJ48" s="51">
        <v>161</v>
      </c>
      <c r="CK48" s="51">
        <v>202</v>
      </c>
      <c r="CL48" s="51">
        <v>215</v>
      </c>
      <c r="CM48" s="51">
        <v>212</v>
      </c>
      <c r="CN48" s="51">
        <f>CM48*0.8</f>
        <v>169.60000000000002</v>
      </c>
      <c r="CO48" s="51">
        <f>CN48*0.8</f>
        <v>135.68000000000004</v>
      </c>
      <c r="CP48" s="51">
        <f>CO48*0.8</f>
        <v>108.54400000000004</v>
      </c>
      <c r="CQ48" s="51"/>
      <c r="CR48" s="51"/>
      <c r="CS48" s="51"/>
      <c r="CT48" s="51"/>
      <c r="CU48" s="51"/>
      <c r="CV48" s="51"/>
      <c r="CW48" s="51"/>
      <c r="CX48" s="51"/>
      <c r="CY48" s="53"/>
      <c r="CZ48" s="53"/>
      <c r="DA48" s="49"/>
      <c r="DB48" s="49"/>
      <c r="DC48" s="49"/>
      <c r="DD48" s="49"/>
    </row>
    <row r="49" spans="2:115" x14ac:dyDescent="0.2">
      <c r="B49" t="s">
        <v>17</v>
      </c>
      <c r="C49" s="51">
        <v>232.8</v>
      </c>
      <c r="D49" s="51">
        <v>276.60000000000002</v>
      </c>
      <c r="E49" s="51">
        <v>246.1</v>
      </c>
      <c r="F49" s="51">
        <v>257.3</v>
      </c>
      <c r="G49" s="51">
        <v>248.9</v>
      </c>
      <c r="H49" s="51">
        <v>261.60000000000002</v>
      </c>
      <c r="I49" s="51">
        <v>260.3</v>
      </c>
      <c r="J49" s="51">
        <v>265.3</v>
      </c>
      <c r="K49" s="51">
        <v>242</v>
      </c>
      <c r="L49" s="51">
        <v>276</v>
      </c>
      <c r="M49" s="51">
        <v>258</v>
      </c>
      <c r="N49" s="51">
        <v>270.3</v>
      </c>
      <c r="O49" s="51">
        <v>263.8</v>
      </c>
      <c r="P49" s="51">
        <v>278</v>
      </c>
      <c r="Q49" s="51">
        <v>263.2</v>
      </c>
      <c r="R49" s="51">
        <v>285.8</v>
      </c>
      <c r="S49" s="51">
        <v>261.10000000000002</v>
      </c>
      <c r="T49" s="51">
        <v>279.8</v>
      </c>
      <c r="U49" s="51">
        <v>265.7</v>
      </c>
      <c r="V49" s="51">
        <v>269</v>
      </c>
      <c r="W49" s="51">
        <v>256.89999999999998</v>
      </c>
      <c r="X49" s="51">
        <v>251.3</v>
      </c>
      <c r="Y49" s="51">
        <v>259.5</v>
      </c>
      <c r="Z49" s="51">
        <v>262.7</v>
      </c>
      <c r="AA49" s="51">
        <v>241.6</v>
      </c>
      <c r="AB49" s="51">
        <v>259.5</v>
      </c>
      <c r="AC49" s="51">
        <v>256.8</v>
      </c>
      <c r="AD49" s="51">
        <v>266.5</v>
      </c>
      <c r="AE49" s="51">
        <v>266.10000000000002</v>
      </c>
      <c r="AF49" s="51">
        <v>263.5</v>
      </c>
      <c r="AG49" s="51">
        <v>270.10000000000002</v>
      </c>
      <c r="AH49" s="51">
        <v>267.10000000000002</v>
      </c>
      <c r="AI49" s="51">
        <v>256.2</v>
      </c>
      <c r="AJ49" s="51">
        <v>265.89999999999998</v>
      </c>
      <c r="AK49" s="51">
        <v>247</v>
      </c>
      <c r="AL49" s="51">
        <f t="shared" ref="AL49:AP49" si="77">+AK49</f>
        <v>247</v>
      </c>
      <c r="AM49" s="51">
        <f t="shared" si="77"/>
        <v>247</v>
      </c>
      <c r="AN49" s="51">
        <f t="shared" si="77"/>
        <v>247</v>
      </c>
      <c r="AO49" s="51">
        <f t="shared" si="77"/>
        <v>247</v>
      </c>
      <c r="AP49" s="51">
        <f t="shared" si="77"/>
        <v>247</v>
      </c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49"/>
      <c r="CH49" s="51"/>
      <c r="CI49" s="51">
        <v>822</v>
      </c>
      <c r="CJ49" s="51">
        <v>922</v>
      </c>
      <c r="CK49" s="51">
        <v>1013</v>
      </c>
      <c r="CL49" s="51">
        <v>1036</v>
      </c>
      <c r="CM49" s="51">
        <f>SUM(K49:N49)</f>
        <v>1046.3</v>
      </c>
      <c r="CN49" s="51">
        <f>SUM(O49:R49)</f>
        <v>1090.8</v>
      </c>
      <c r="CO49" s="51">
        <f>SUM(S49:V49)</f>
        <v>1075.6000000000001</v>
      </c>
      <c r="CP49" s="51">
        <f>SUM(W49:Z49)</f>
        <v>1030.4000000000001</v>
      </c>
      <c r="CQ49" s="51">
        <f>SUM(AA49:AD49)</f>
        <v>1024.4000000000001</v>
      </c>
      <c r="CR49" s="51">
        <f>SUM(AE49:AH49)</f>
        <v>1066.8000000000002</v>
      </c>
      <c r="CS49" s="51">
        <f>SUM(AI49:AL49)</f>
        <v>1016.0999999999999</v>
      </c>
      <c r="CT49" s="51">
        <f>CS49*0.5</f>
        <v>508.04999999999995</v>
      </c>
      <c r="CU49" s="51"/>
      <c r="CV49" s="51"/>
      <c r="CW49" s="51"/>
      <c r="CX49" s="51"/>
      <c r="CY49" s="51"/>
      <c r="CZ49" s="51"/>
      <c r="DA49" s="49"/>
      <c r="DB49" s="49"/>
      <c r="DC49" s="49"/>
      <c r="DD49" s="49"/>
    </row>
    <row r="50" spans="2:115" x14ac:dyDescent="0.2">
      <c r="B50" s="38" t="s">
        <v>240</v>
      </c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49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  <c r="CY50" s="53"/>
      <c r="CZ50" s="53"/>
      <c r="DA50" s="49"/>
      <c r="DB50" s="49"/>
      <c r="DC50" s="49"/>
      <c r="DD50" s="49"/>
    </row>
    <row r="51" spans="2:115" s="38" customFormat="1" x14ac:dyDescent="0.2">
      <c r="B51" s="38" t="s">
        <v>279</v>
      </c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0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>
        <v>200</v>
      </c>
      <c r="CU51" s="52">
        <v>250</v>
      </c>
      <c r="CV51" s="52">
        <v>300</v>
      </c>
      <c r="CW51" s="52"/>
      <c r="CX51" s="52"/>
      <c r="CY51" s="52"/>
      <c r="CZ51" s="52"/>
      <c r="DA51" s="49"/>
      <c r="DB51" s="49"/>
      <c r="DC51" s="49"/>
      <c r="DD51" s="49"/>
    </row>
    <row r="52" spans="2:115" x14ac:dyDescent="0.2">
      <c r="B52" t="s">
        <v>80</v>
      </c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>
        <v>155.19999999999999</v>
      </c>
      <c r="X52" s="51">
        <v>179.5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49"/>
      <c r="CH52" s="51"/>
      <c r="CI52" s="51">
        <v>59</v>
      </c>
      <c r="CJ52" s="51">
        <v>58</v>
      </c>
      <c r="CK52" s="51">
        <v>57</v>
      </c>
      <c r="CL52" s="51">
        <v>69</v>
      </c>
      <c r="CM52" s="51">
        <v>65</v>
      </c>
      <c r="CN52" s="51">
        <v>65</v>
      </c>
      <c r="CO52" s="51">
        <v>65</v>
      </c>
      <c r="CP52" s="51"/>
      <c r="CQ52" s="51"/>
      <c r="CR52" s="51"/>
      <c r="CS52" s="51"/>
      <c r="CT52" s="51"/>
      <c r="CU52" s="51"/>
      <c r="CV52" s="51"/>
      <c r="CW52" s="51"/>
      <c r="CX52" s="51"/>
      <c r="CY52" s="51"/>
      <c r="CZ52" s="51"/>
      <c r="DA52" s="49"/>
      <c r="DB52" s="49"/>
      <c r="DC52" s="49"/>
      <c r="DD52" s="49"/>
    </row>
    <row r="53" spans="2:115" x14ac:dyDescent="0.2">
      <c r="B53" t="s">
        <v>76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49"/>
      <c r="CH53" s="51"/>
      <c r="CI53" s="51">
        <v>35</v>
      </c>
      <c r="CJ53" s="51">
        <v>32</v>
      </c>
      <c r="CK53" s="51">
        <v>19</v>
      </c>
      <c r="CL53" s="51">
        <v>12</v>
      </c>
      <c r="CM53" s="51">
        <v>14</v>
      </c>
      <c r="CN53" s="51">
        <v>10</v>
      </c>
      <c r="CO53" s="51">
        <v>10</v>
      </c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49"/>
      <c r="DB53" s="49"/>
      <c r="DC53" s="49"/>
      <c r="DD53" s="49"/>
    </row>
    <row r="54" spans="2:115" x14ac:dyDescent="0.2">
      <c r="B54" s="38" t="s">
        <v>251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>
        <f>5210.5-SUM(V6:V53)</f>
        <v>481.80000000000018</v>
      </c>
      <c r="W54" s="51">
        <f>4891.8-SUM(W6:W53)</f>
        <v>186.30000000000018</v>
      </c>
      <c r="X54" s="51">
        <f>5113.5-SUM(X6:X53)</f>
        <v>71.599999999999454</v>
      </c>
      <c r="Y54" s="51">
        <f>5562-SUM(Y6:Y50)</f>
        <v>424.29999999999927</v>
      </c>
      <c r="Z54" s="51">
        <f>5934-SUM(Z6:Z50)</f>
        <v>449</v>
      </c>
      <c r="AA54" s="51">
        <f>5485.5-SUM(AA6:AA50)</f>
        <v>390.59999999999945</v>
      </c>
      <c r="AB54" s="51">
        <f>5748.7-SUM(AB6:AB50)</f>
        <v>410.40000000000055</v>
      </c>
      <c r="AC54" s="51">
        <f>5654.8-SUM(AC6:AC50)</f>
        <v>381.39999999999964</v>
      </c>
      <c r="AD54" s="51"/>
      <c r="AE54" s="51">
        <f>5839.2-SUM(AE6:AE50)</f>
        <v>410.09999999999854</v>
      </c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2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49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Y54" s="47"/>
      <c r="CZ54" s="47"/>
      <c r="DA54" s="49"/>
      <c r="DB54" s="49"/>
      <c r="DC54" s="49"/>
      <c r="DD54" s="49"/>
    </row>
    <row r="55" spans="2:115" s="55" customFormat="1" x14ac:dyDescent="0.2">
      <c r="B55" s="55" t="s">
        <v>383</v>
      </c>
      <c r="C55" s="56"/>
      <c r="D55" s="56"/>
      <c r="E55" s="56"/>
      <c r="F55" s="56">
        <f>SUM(F6:F54)</f>
        <v>3152.5080000000003</v>
      </c>
      <c r="G55" s="56">
        <f>SUM(G6:G54)</f>
        <v>2999.8366336633662</v>
      </c>
      <c r="H55" s="56">
        <f>SUM(H6:H54)</f>
        <v>3165.6</v>
      </c>
      <c r="I55" s="56">
        <f>SUM(I6:I54)</f>
        <v>3164.1333333333332</v>
      </c>
      <c r="J55" s="56">
        <f>SUM(J6:J54)</f>
        <v>3455.3000000000006</v>
      </c>
      <c r="K55" s="56">
        <f>SUM(K6:K54)</f>
        <v>3227.7000000000003</v>
      </c>
      <c r="L55" s="56">
        <f>SUM(L6:L54)</f>
        <v>3423</v>
      </c>
      <c r="M55" s="56">
        <f>SUM(M6:M54)</f>
        <v>3699.7</v>
      </c>
      <c r="N55" s="56">
        <f>SUM(N6:N54)</f>
        <v>5680.6</v>
      </c>
      <c r="O55" s="56">
        <f>SUM(O6:O54)</f>
        <v>4236</v>
      </c>
      <c r="P55" s="56">
        <f>SUM(P6:P54)</f>
        <v>4193.8</v>
      </c>
      <c r="Q55" s="56">
        <f>SUM(Q6:Q54)</f>
        <v>5899.2999999999993</v>
      </c>
      <c r="R55" s="56">
        <f>SUM(R6:R54)</f>
        <v>6665.7000000000007</v>
      </c>
      <c r="S55" s="56">
        <f>SUM(S6:S54)</f>
        <v>6241.8000000000011</v>
      </c>
      <c r="T55" s="56">
        <f>SUM(T6:T54)</f>
        <v>6703.4999999999991</v>
      </c>
      <c r="U55" s="56">
        <f>SUM(U6:U54)</f>
        <v>6796.9000000000005</v>
      </c>
      <c r="V55" s="56">
        <f>SUM(V6:V54)</f>
        <v>5210.5</v>
      </c>
      <c r="W55" s="56">
        <f>SUM(W6:W54)</f>
        <v>4891.8</v>
      </c>
      <c r="X55" s="56">
        <f>SUM(X6:X54)</f>
        <v>5113.5</v>
      </c>
      <c r="Y55" s="56">
        <f>SUM(Y6:Y54)</f>
        <v>5562</v>
      </c>
      <c r="Z55" s="56">
        <f>SUM(Z6:Z54)</f>
        <v>5934</v>
      </c>
      <c r="AA55" s="56">
        <f>SUM(AA6:AA54)</f>
        <v>5485.5</v>
      </c>
      <c r="AB55" s="56">
        <f>SUM(AB6:AB54)</f>
        <v>5748.7</v>
      </c>
      <c r="AC55" s="56">
        <f>SUM(AC6:AC54)</f>
        <v>5654.8</v>
      </c>
      <c r="AD55" s="56">
        <f>SUM(AD6:AD54)</f>
        <v>6187.2000000000007</v>
      </c>
      <c r="AE55" s="56">
        <f>SUM(AE6:AE54)</f>
        <v>5839.2</v>
      </c>
      <c r="AF55" s="56">
        <f>SUM(AF6:AF54)</f>
        <v>6252.7999999999984</v>
      </c>
      <c r="AG55" s="56">
        <f>SUM(AG6:AG54)</f>
        <v>6148.1</v>
      </c>
      <c r="AH55" s="56">
        <f>SUM(AH6:AH54)</f>
        <v>6047.3</v>
      </c>
      <c r="AI55" s="56">
        <f>SUM(AI6:AI54)</f>
        <v>5602.4000000000005</v>
      </c>
      <c r="AJ55" s="56">
        <f>SUM(AJ6:AJ54)</f>
        <v>5600.4999999999991</v>
      </c>
      <c r="AK55" s="56">
        <f>SUM(AK6:AK54)</f>
        <v>5442.5</v>
      </c>
      <c r="AL55" s="56">
        <f>SUM(AL6:AL54)</f>
        <v>5371.2</v>
      </c>
      <c r="AM55" s="56">
        <f>SUM(AM6:AM54)</f>
        <v>5526.2</v>
      </c>
      <c r="AN55" s="56">
        <f>SUM(AN6:AN54)</f>
        <v>5508.2</v>
      </c>
      <c r="AO55" s="56">
        <f>SUM(AO6:AO54)</f>
        <v>5482.5</v>
      </c>
      <c r="AP55" s="56">
        <f>SUM(AP6:AP54)</f>
        <v>5411.2</v>
      </c>
      <c r="AQ55" s="56">
        <f>SUM(AQ6:AQ54)</f>
        <v>0</v>
      </c>
      <c r="AR55" s="56">
        <f>SUM(AR6:AR54)</f>
        <v>0</v>
      </c>
      <c r="AS55" s="56">
        <f>SUM(AS6:AS54)</f>
        <v>0</v>
      </c>
      <c r="AT55" s="56">
        <f>SUM(AT6:AT54)</f>
        <v>0</v>
      </c>
      <c r="AU55" s="56">
        <f>SUM(AU6:AU54)</f>
        <v>0</v>
      </c>
      <c r="AV55" s="56">
        <f>SUM(AV6:AV54)</f>
        <v>0</v>
      </c>
      <c r="AW55" s="56">
        <f>SUM(AW6:AW54)</f>
        <v>0</v>
      </c>
      <c r="AX55" s="56">
        <f>SUM(AX6:AX54)</f>
        <v>0</v>
      </c>
      <c r="AY55" s="56">
        <f>SUM(AY6:AY54)</f>
        <v>0</v>
      </c>
      <c r="AZ55" s="56">
        <f>SUM(AZ6:AZ54)</f>
        <v>0</v>
      </c>
      <c r="BA55" s="56">
        <f>SUM(BA6:BA54)</f>
        <v>0</v>
      </c>
      <c r="BB55" s="56">
        <f>SUM(BB6:BB54)</f>
        <v>0</v>
      </c>
      <c r="BC55" s="56">
        <f>SUM(BC6:BC54)</f>
        <v>0</v>
      </c>
      <c r="BD55" s="56">
        <f>SUM(BD6:BD54)</f>
        <v>0</v>
      </c>
      <c r="BE55" s="56">
        <f>SUM(BE6:BE54)</f>
        <v>0</v>
      </c>
      <c r="BF55" s="56">
        <f>SUM(BF6:BF54)</f>
        <v>0</v>
      </c>
      <c r="BG55" s="56">
        <f>SUM(BG6:BG54)</f>
        <v>0</v>
      </c>
      <c r="BH55" s="56">
        <f>SUM(BH6:BH54)</f>
        <v>0</v>
      </c>
      <c r="BI55" s="56">
        <f>SUM(BI6:BI54)</f>
        <v>0</v>
      </c>
      <c r="BJ55" s="56">
        <f>SUM(BJ6:BJ54)</f>
        <v>0</v>
      </c>
      <c r="BK55" s="56">
        <f>SUM(BK6:BK54)</f>
        <v>5092.1000000000004</v>
      </c>
      <c r="BL55" s="56">
        <f>SUM(BL6:BL54)</f>
        <v>5636.7000000000007</v>
      </c>
      <c r="BM55" s="56">
        <f>SUM(BM6:BM54)</f>
        <v>5476.8</v>
      </c>
      <c r="BN55" s="56">
        <f>SUM(BN6:BN54)</f>
        <v>6114.2999999999993</v>
      </c>
      <c r="BO55" s="56">
        <f>SUM(BO3:BO54)</f>
        <v>5859.7999999999975</v>
      </c>
      <c r="BP55" s="56">
        <f>SUM(BP3:BP54)</f>
        <v>5499.3999999999987</v>
      </c>
      <c r="BQ55" s="56">
        <f>SUM(BQ3:BQ44)</f>
        <v>5740.5999999999985</v>
      </c>
      <c r="BR55" s="56">
        <f>SUM(BR3:BR46)</f>
        <v>7440.0999999999995</v>
      </c>
      <c r="BS55" s="56">
        <f>SUM(BS3:BS44)</f>
        <v>6805.6</v>
      </c>
      <c r="BT55" s="56">
        <f>SUM(BT3:BT46)</f>
        <v>6739.9999999999973</v>
      </c>
      <c r="BU55" s="56">
        <f>SUM(BU3:BU44)</f>
        <v>6772.9999999999982</v>
      </c>
      <c r="BV55" s="56">
        <f>SUM(BV3:BV46)</f>
        <v>7999.9</v>
      </c>
      <c r="BW55" s="56">
        <f>SUM(BW3:BW29)</f>
        <v>7810.1</v>
      </c>
      <c r="BX55" s="56">
        <f>SUM(BX3:BX34)</f>
        <v>7099.375500000001</v>
      </c>
      <c r="BY55" s="56">
        <f>SUM(BY3:BY29)</f>
        <v>6965.7128125000008</v>
      </c>
      <c r="BZ55" s="56">
        <f>SUM(BZ3:BZ29)</f>
        <v>7323.698757812499</v>
      </c>
      <c r="CA55" s="56">
        <f>SUM(CA3:CA29)</f>
        <v>6737.269713945313</v>
      </c>
      <c r="CB55" s="56">
        <f>SUM(CB3:CB29)</f>
        <v>7042.4968459267575</v>
      </c>
      <c r="CC55" s="56">
        <f>SUM(CC3:CC29)</f>
        <v>7136.52310453684</v>
      </c>
      <c r="CD55" s="56">
        <f>SUM(CD3:CD29)</f>
        <v>7768.5842639078664</v>
      </c>
      <c r="CE55" s="56"/>
      <c r="CF55" s="56"/>
      <c r="CG55" s="57"/>
      <c r="CH55" s="56">
        <v>11629</v>
      </c>
      <c r="CI55" s="56">
        <f t="shared" ref="CI55:CZ55" si="78">SUM(CI6:CI54)</f>
        <v>11077</v>
      </c>
      <c r="CJ55" s="56">
        <f t="shared" si="78"/>
        <v>12585</v>
      </c>
      <c r="CK55" s="56">
        <f t="shared" si="78"/>
        <v>13859</v>
      </c>
      <c r="CL55" s="56">
        <f t="shared" si="78"/>
        <v>14650</v>
      </c>
      <c r="CM55" s="56">
        <f t="shared" si="78"/>
        <v>15783.499999999998</v>
      </c>
      <c r="CN55" s="56">
        <f t="shared" si="78"/>
        <v>18492.3</v>
      </c>
      <c r="CO55" s="56">
        <f t="shared" si="78"/>
        <v>19604.942499999997</v>
      </c>
      <c r="CP55" s="56">
        <f t="shared" si="78"/>
        <v>20974.425124999998</v>
      </c>
      <c r="CQ55" s="56">
        <f t="shared" si="78"/>
        <v>21893.8</v>
      </c>
      <c r="CR55" s="56">
        <f t="shared" si="78"/>
        <v>23877.3</v>
      </c>
      <c r="CS55" s="56">
        <f t="shared" si="78"/>
        <v>22016.6</v>
      </c>
      <c r="CT55" s="56">
        <f t="shared" si="78"/>
        <v>21778.462</v>
      </c>
      <c r="CU55" s="56">
        <f t="shared" si="78"/>
        <v>18061.697930000002</v>
      </c>
      <c r="CV55" s="56">
        <f t="shared" si="78"/>
        <v>6326.4320500000013</v>
      </c>
      <c r="CW55" s="56">
        <f>SUM(CW3:CW54)</f>
        <v>0</v>
      </c>
      <c r="CX55" s="56">
        <f>SUM(CX3:CX54)</f>
        <v>19974.100000000002</v>
      </c>
      <c r="CY55" s="56">
        <f>SUM(CY3:CY54)</f>
        <v>21492.899999999998</v>
      </c>
      <c r="CZ55" s="56">
        <f>SUM(CZ3:CZ54)</f>
        <v>22319.400000000005</v>
      </c>
      <c r="DA55" s="56">
        <f>SUM(DA3:DA54)</f>
        <v>24539.899999999998</v>
      </c>
      <c r="DB55" s="56">
        <f>SUM(DB3:DB54)</f>
        <v>28318.5</v>
      </c>
      <c r="DC55" s="56">
        <f>SUM(DC3:DC54)</f>
        <v>29198.887070312503</v>
      </c>
      <c r="DD55" s="56">
        <f>SUM(DD3:DD54)</f>
        <v>28784.873928316774</v>
      </c>
      <c r="DE55" s="56">
        <f>SUM(DE3:DE54)</f>
        <v>30724.883125485096</v>
      </c>
      <c r="DF55" s="56">
        <f>SUM(DF3:DF54)</f>
        <v>32190.052072636583</v>
      </c>
      <c r="DG55" s="56">
        <f>SUM(DG3:DG54)</f>
        <v>34812.595856329928</v>
      </c>
      <c r="DH55" s="56">
        <f>SUM(DH3:DH54)</f>
        <v>36353.288465088204</v>
      </c>
      <c r="DI55" s="56">
        <f>SUM(DI3:DI54)</f>
        <v>38881.908741213105</v>
      </c>
      <c r="DJ55" s="56">
        <f>SUM(DJ3:DJ54)</f>
        <v>40751.817423393062</v>
      </c>
      <c r="DK55" s="56">
        <f>SUM(DK3:DK54)</f>
        <v>32272.255186098049</v>
      </c>
    </row>
    <row r="56" spans="2:115" x14ac:dyDescent="0.2">
      <c r="B56" t="s">
        <v>58</v>
      </c>
      <c r="C56" s="51"/>
      <c r="D56" s="51"/>
      <c r="E56" s="51"/>
      <c r="F56" s="51">
        <v>865.7</v>
      </c>
      <c r="G56" s="51">
        <v>859</v>
      </c>
      <c r="H56" s="51">
        <v>871.3</v>
      </c>
      <c r="I56" s="51">
        <v>845.7</v>
      </c>
      <c r="J56" s="51">
        <v>898.2</v>
      </c>
      <c r="K56" s="51">
        <v>806.5</v>
      </c>
      <c r="L56" s="47">
        <v>861</v>
      </c>
      <c r="M56" s="51">
        <v>906.2</v>
      </c>
      <c r="N56" s="51">
        <v>1066.7</v>
      </c>
      <c r="O56" s="51">
        <v>922.5</v>
      </c>
      <c r="P56" s="51">
        <v>998.9</v>
      </c>
      <c r="Q56" s="51">
        <v>1054.5999999999999</v>
      </c>
      <c r="R56" s="51">
        <v>1272.8</v>
      </c>
      <c r="S56" s="51">
        <v>1111.3</v>
      </c>
      <c r="T56" s="51">
        <v>1200.9000000000001</v>
      </c>
      <c r="U56" s="51">
        <v>1155.2</v>
      </c>
      <c r="V56" s="51">
        <v>899.6</v>
      </c>
      <c r="W56" s="51">
        <v>816.4</v>
      </c>
      <c r="X56" s="51">
        <v>947.4</v>
      </c>
      <c r="Y56" s="51">
        <v>1051.9000000000001</v>
      </c>
      <c r="Z56" s="51">
        <v>1431.3</v>
      </c>
      <c r="AA56" s="51">
        <v>1122.5</v>
      </c>
      <c r="AB56" s="51">
        <v>1023.9</v>
      </c>
      <c r="AC56" s="51">
        <v>987.6</v>
      </c>
      <c r="AD56" s="51">
        <v>1232.2</v>
      </c>
      <c r="AE56" s="51">
        <v>1180.0999999999999</v>
      </c>
      <c r="AF56" s="51">
        <v>1228</v>
      </c>
      <c r="AG56" s="51">
        <v>1338.1</v>
      </c>
      <c r="AH56" s="51">
        <v>1321.7</v>
      </c>
      <c r="AI56" s="51">
        <v>1197.9000000000001</v>
      </c>
      <c r="AJ56" s="51">
        <v>1146.7</v>
      </c>
      <c r="AK56" s="51">
        <v>1203.5999999999999</v>
      </c>
      <c r="AL56" s="51">
        <f>+AH56</f>
        <v>1321.7</v>
      </c>
      <c r="AM56" s="51">
        <f>+AI56</f>
        <v>1197.9000000000001</v>
      </c>
      <c r="AN56" s="51">
        <f t="shared" ref="AN56:AP56" si="79">+AJ56</f>
        <v>1146.7</v>
      </c>
      <c r="AO56" s="51">
        <f t="shared" si="79"/>
        <v>1203.5999999999999</v>
      </c>
      <c r="AP56" s="51">
        <f t="shared" si="79"/>
        <v>1321.7</v>
      </c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>
        <v>1010.5</v>
      </c>
      <c r="BL56" s="51">
        <v>1073.3</v>
      </c>
      <c r="BM56" s="51">
        <v>1118.4000000000001</v>
      </c>
      <c r="BN56" s="51">
        <v>1229.4000000000001</v>
      </c>
      <c r="BO56" s="51">
        <v>1156.5</v>
      </c>
      <c r="BP56" s="51">
        <v>1119.2</v>
      </c>
      <c r="BQ56" s="51">
        <v>1199.9000000000001</v>
      </c>
      <c r="BR56" s="51">
        <v>1719.8</v>
      </c>
      <c r="BS56" s="51">
        <v>1671.4</v>
      </c>
      <c r="BT56" s="51">
        <v>1398</v>
      </c>
      <c r="BU56" s="51">
        <v>1421.8</v>
      </c>
      <c r="BV56" s="51">
        <v>2050.1999999999998</v>
      </c>
      <c r="BW56" s="51">
        <v>1867.5</v>
      </c>
      <c r="BX56" s="51">
        <f>+BX55-BX57</f>
        <v>1490.8688549999997</v>
      </c>
      <c r="BY56" s="51">
        <f t="shared" ref="BY56:CD56" si="80">+BY55-BY57</f>
        <v>1462.799690625</v>
      </c>
      <c r="BZ56" s="51">
        <f t="shared" si="80"/>
        <v>1537.9767391406249</v>
      </c>
      <c r="CA56" s="51">
        <f t="shared" si="80"/>
        <v>1414.8266399285158</v>
      </c>
      <c r="CB56" s="51">
        <f t="shared" si="80"/>
        <v>1478.9243376446184</v>
      </c>
      <c r="CC56" s="51">
        <f t="shared" si="80"/>
        <v>1498.6698519527363</v>
      </c>
      <c r="CD56" s="51">
        <f t="shared" si="80"/>
        <v>1631.402695420652</v>
      </c>
      <c r="CE56" s="51"/>
      <c r="CF56" s="51"/>
      <c r="CH56" s="51">
        <v>2160</v>
      </c>
      <c r="CI56" s="51">
        <v>2177</v>
      </c>
      <c r="CJ56" s="51">
        <v>2675</v>
      </c>
      <c r="CK56" s="51">
        <v>3224</v>
      </c>
      <c r="CL56" s="51">
        <v>3474</v>
      </c>
      <c r="CM56" s="51">
        <v>3501</v>
      </c>
      <c r="CN56" s="51">
        <f>CN55-CN57</f>
        <v>4068.3059999999987</v>
      </c>
      <c r="CO56" s="51">
        <f>CO55-CO57</f>
        <v>-980.75749999999971</v>
      </c>
      <c r="CP56" s="51">
        <f>CP55-CP57</f>
        <v>3720.1251249999987</v>
      </c>
      <c r="CQ56" s="51">
        <f>SUM(AA56:AD56)</f>
        <v>4366.2</v>
      </c>
      <c r="CR56" s="51">
        <f>SUM(AE56:AH56)</f>
        <v>5067.8999999999996</v>
      </c>
      <c r="CS56" s="51">
        <f>SUM(AI56:AL56)</f>
        <v>4869.9000000000005</v>
      </c>
      <c r="CT56" s="51">
        <f t="shared" ref="CT56:CW56" si="81">CT55-CT57</f>
        <v>21778.462</v>
      </c>
      <c r="CU56" s="51">
        <f t="shared" si="81"/>
        <v>18061.697930000002</v>
      </c>
      <c r="CV56" s="51"/>
      <c r="CW56" s="51"/>
      <c r="CX56" s="51">
        <v>4447.7</v>
      </c>
      <c r="CY56" s="51">
        <v>4681.7</v>
      </c>
      <c r="CZ56" s="51">
        <v>4721.2</v>
      </c>
      <c r="DA56" s="49">
        <f t="shared" ref="DA56" si="82">SUM(BO56:BR56)</f>
        <v>5195.3999999999996</v>
      </c>
      <c r="DB56" s="49">
        <f t="shared" ref="DB56" si="83">SUM(BS56:BV56)</f>
        <v>6541.4</v>
      </c>
      <c r="DC56" s="49">
        <f t="shared" ref="DC56" si="84">SUM(BW56:BZ56)</f>
        <v>6359.1452847656246</v>
      </c>
      <c r="DD56" s="49">
        <f t="shared" ref="DD56" si="85">SUM(CA56:CD56)</f>
        <v>6023.8235249465224</v>
      </c>
      <c r="DE56" s="49">
        <f t="shared" ref="DE56" si="86">SUM(CB56:CE56)</f>
        <v>4608.9968850180067</v>
      </c>
      <c r="DF56" s="49">
        <f t="shared" ref="DF56" si="87">SUM(CC56:CF56)</f>
        <v>3130.0725473733883</v>
      </c>
      <c r="DG56" s="49">
        <f t="shared" ref="DG56" si="88">SUM(CD56:CG56)</f>
        <v>1631.402695420652</v>
      </c>
      <c r="DH56" s="49">
        <f t="shared" ref="DH56" si="89">SUM(CE56:CH56)</f>
        <v>2160</v>
      </c>
      <c r="DI56" s="49">
        <f t="shared" ref="DI56" si="90">SUM(CF56:CI56)</f>
        <v>4337</v>
      </c>
      <c r="DJ56" s="49">
        <f t="shared" ref="DJ56" si="91">SUM(CG56:CJ56)</f>
        <v>7012</v>
      </c>
      <c r="DK56" s="49">
        <f t="shared" ref="DK56" si="92">SUM(CH56:CK56)</f>
        <v>10236</v>
      </c>
    </row>
    <row r="57" spans="2:115" x14ac:dyDescent="0.2">
      <c r="B57" t="s">
        <v>123</v>
      </c>
      <c r="C57" s="51"/>
      <c r="D57" s="51"/>
      <c r="E57" s="51"/>
      <c r="F57" s="51">
        <f t="shared" ref="F57:N57" si="93">F55-F56</f>
        <v>2286.808</v>
      </c>
      <c r="G57" s="51">
        <f t="shared" si="93"/>
        <v>2140.8366336633662</v>
      </c>
      <c r="H57" s="51">
        <f t="shared" si="93"/>
        <v>2294.3000000000002</v>
      </c>
      <c r="I57" s="51">
        <f t="shared" si="93"/>
        <v>2318.4333333333334</v>
      </c>
      <c r="J57" s="51">
        <f t="shared" si="93"/>
        <v>2557.1000000000004</v>
      </c>
      <c r="K57" s="51">
        <f t="shared" si="93"/>
        <v>2421.2000000000003</v>
      </c>
      <c r="L57" s="51">
        <f t="shared" si="93"/>
        <v>2562</v>
      </c>
      <c r="M57" s="51">
        <f t="shared" si="93"/>
        <v>2793.5</v>
      </c>
      <c r="N57" s="51">
        <f t="shared" si="93"/>
        <v>4613.9000000000005</v>
      </c>
      <c r="O57" s="51">
        <f t="shared" ref="O57:W57" si="94">O55-O56</f>
        <v>3313.5</v>
      </c>
      <c r="P57" s="51">
        <f t="shared" si="94"/>
        <v>3194.9</v>
      </c>
      <c r="Q57" s="51">
        <f t="shared" si="94"/>
        <v>4844.6999999999989</v>
      </c>
      <c r="R57" s="51">
        <f t="shared" si="94"/>
        <v>5392.9000000000005</v>
      </c>
      <c r="S57" s="51">
        <f t="shared" si="94"/>
        <v>5130.5000000000009</v>
      </c>
      <c r="T57" s="51">
        <f t="shared" si="94"/>
        <v>5502.5999999999985</v>
      </c>
      <c r="U57" s="51">
        <f t="shared" si="94"/>
        <v>5641.7000000000007</v>
      </c>
      <c r="V57" s="51">
        <f t="shared" si="94"/>
        <v>4310.8999999999996</v>
      </c>
      <c r="W57" s="51">
        <f t="shared" si="94"/>
        <v>4075.4</v>
      </c>
      <c r="X57" s="51">
        <f t="shared" ref="X57:AC57" si="95">X55-X56</f>
        <v>4166.1000000000004</v>
      </c>
      <c r="Y57" s="51">
        <f t="shared" si="95"/>
        <v>4510.1000000000004</v>
      </c>
      <c r="Z57" s="51">
        <f t="shared" si="95"/>
        <v>4502.7</v>
      </c>
      <c r="AA57" s="51">
        <f t="shared" si="95"/>
        <v>4363</v>
      </c>
      <c r="AB57" s="51">
        <f t="shared" si="95"/>
        <v>4724.8</v>
      </c>
      <c r="AC57" s="51">
        <f t="shared" si="95"/>
        <v>4667.2</v>
      </c>
      <c r="AD57" s="51">
        <f>+AD55-AD56</f>
        <v>4955.0000000000009</v>
      </c>
      <c r="AE57" s="51">
        <f>+AE55-AE56</f>
        <v>4659.1000000000004</v>
      </c>
      <c r="AF57" s="51">
        <f>AF55-AF56</f>
        <v>5024.7999999999984</v>
      </c>
      <c r="AG57" s="51">
        <f>AG55-AG56</f>
        <v>4810</v>
      </c>
      <c r="AH57" s="51">
        <f>+AH55-AH56</f>
        <v>4725.6000000000004</v>
      </c>
      <c r="AI57" s="51">
        <f>+AI55-AI56</f>
        <v>4404.5</v>
      </c>
      <c r="AJ57" s="51">
        <f>+AJ55-AJ56</f>
        <v>4453.7999999999993</v>
      </c>
      <c r="AK57" s="51">
        <f>+AK55-AK56</f>
        <v>4238.8999999999996</v>
      </c>
      <c r="AL57" s="51">
        <f>+AL55-AL56</f>
        <v>4049.5</v>
      </c>
      <c r="AM57" s="51">
        <f t="shared" ref="AM57:AP57" si="96">+AM55-AM56</f>
        <v>4328.2999999999993</v>
      </c>
      <c r="AN57" s="51">
        <f t="shared" si="96"/>
        <v>4361.5</v>
      </c>
      <c r="AO57" s="51">
        <f t="shared" si="96"/>
        <v>4278.8999999999996</v>
      </c>
      <c r="AP57" s="51">
        <f t="shared" si="96"/>
        <v>4089.5</v>
      </c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>
        <f t="shared" ref="BK57:BW57" si="97">BK55-BK56</f>
        <v>4081.6000000000004</v>
      </c>
      <c r="BL57" s="51">
        <f t="shared" si="97"/>
        <v>4563.4000000000005</v>
      </c>
      <c r="BM57" s="51">
        <f t="shared" si="97"/>
        <v>4358.3999999999996</v>
      </c>
      <c r="BN57" s="51">
        <f t="shared" si="97"/>
        <v>4884.8999999999996</v>
      </c>
      <c r="BO57" s="51">
        <f t="shared" si="97"/>
        <v>4703.2999999999975</v>
      </c>
      <c r="BP57" s="51">
        <f t="shared" si="97"/>
        <v>4380.1999999999989</v>
      </c>
      <c r="BQ57" s="51">
        <f t="shared" si="97"/>
        <v>4540.6999999999989</v>
      </c>
      <c r="BR57" s="51">
        <f t="shared" si="97"/>
        <v>5720.2999999999993</v>
      </c>
      <c r="BS57" s="51">
        <f t="shared" si="97"/>
        <v>5134.2000000000007</v>
      </c>
      <c r="BT57" s="51">
        <f t="shared" si="97"/>
        <v>5341.9999999999973</v>
      </c>
      <c r="BU57" s="51">
        <f t="shared" si="97"/>
        <v>5351.199999999998</v>
      </c>
      <c r="BV57" s="51">
        <f t="shared" si="97"/>
        <v>5949.7</v>
      </c>
      <c r="BW57" s="51">
        <f t="shared" si="97"/>
        <v>5942.6</v>
      </c>
      <c r="BX57" s="51">
        <f>+BX55*0.79</f>
        <v>5608.5066450000013</v>
      </c>
      <c r="BY57" s="51">
        <f t="shared" ref="BY57:CD57" si="98">+BY55*0.79</f>
        <v>5502.9131218750008</v>
      </c>
      <c r="BZ57" s="51">
        <f t="shared" si="98"/>
        <v>5785.7220186718741</v>
      </c>
      <c r="CA57" s="51">
        <f t="shared" si="98"/>
        <v>5322.4430740167973</v>
      </c>
      <c r="CB57" s="51">
        <f t="shared" si="98"/>
        <v>5563.5725082821391</v>
      </c>
      <c r="CC57" s="51">
        <f t="shared" si="98"/>
        <v>5637.8532525841038</v>
      </c>
      <c r="CD57" s="51">
        <f t="shared" si="98"/>
        <v>6137.1815684872145</v>
      </c>
      <c r="CE57" s="51"/>
      <c r="CF57" s="51"/>
      <c r="CH57" s="51">
        <f t="shared" ref="CH57:CM57" si="99">CH55-CH56</f>
        <v>9469</v>
      </c>
      <c r="CI57" s="51">
        <f t="shared" si="99"/>
        <v>8900</v>
      </c>
      <c r="CJ57" s="51">
        <f t="shared" si="99"/>
        <v>9910</v>
      </c>
      <c r="CK57" s="51">
        <f t="shared" si="99"/>
        <v>10635</v>
      </c>
      <c r="CL57" s="51">
        <f t="shared" si="99"/>
        <v>11176</v>
      </c>
      <c r="CM57" s="51">
        <f t="shared" si="99"/>
        <v>12282.499999999998</v>
      </c>
      <c r="CN57" s="51">
        <f>CN55*CN76</f>
        <v>14423.994000000001</v>
      </c>
      <c r="CO57" s="51">
        <f>SUM(S57:V57)</f>
        <v>20585.699999999997</v>
      </c>
      <c r="CP57" s="51">
        <f>SUM(W57:Z57)</f>
        <v>17254.3</v>
      </c>
      <c r="CQ57" s="51">
        <f>CQ55-CQ56</f>
        <v>17527.599999999999</v>
      </c>
      <c r="CR57" s="51">
        <f>CR55-CR56</f>
        <v>18809.400000000001</v>
      </c>
      <c r="CS57" s="51">
        <f>CS55-CS56</f>
        <v>17146.699999999997</v>
      </c>
      <c r="CT57" s="51">
        <f t="shared" ref="CT57:CZ57" si="100">CT55*CT76</f>
        <v>0</v>
      </c>
      <c r="CU57" s="51">
        <f t="shared" si="100"/>
        <v>0</v>
      </c>
      <c r="CV57" s="51"/>
      <c r="CW57" s="51"/>
      <c r="CX57" s="51">
        <f t="shared" ref="CX57:CY57" si="101">+CX55-CX56</f>
        <v>15526.400000000001</v>
      </c>
      <c r="CY57" s="51">
        <f t="shared" si="101"/>
        <v>16811.199999999997</v>
      </c>
      <c r="CZ57" s="51">
        <f>+CZ55-CZ56</f>
        <v>17598.200000000004</v>
      </c>
      <c r="DA57" s="51">
        <f>+DA55-DA56</f>
        <v>19344.5</v>
      </c>
      <c r="DB57" s="51">
        <f t="shared" ref="DB57:DD57" si="102">+DB55-DB56</f>
        <v>21777.1</v>
      </c>
      <c r="DC57" s="51">
        <f t="shared" si="102"/>
        <v>22839.741785546878</v>
      </c>
      <c r="DD57" s="51">
        <f t="shared" si="102"/>
        <v>22761.050403370253</v>
      </c>
      <c r="DE57" s="51">
        <f t="shared" ref="DE57" si="103">+DE55-DE56</f>
        <v>26115.886240467087</v>
      </c>
      <c r="DF57" s="51">
        <f t="shared" ref="DF57" si="104">+DF55-DF56</f>
        <v>29059.979525263196</v>
      </c>
      <c r="DG57" s="51">
        <f t="shared" ref="DG57" si="105">+DG55-DG56</f>
        <v>33181.193160909279</v>
      </c>
      <c r="DH57" s="51">
        <f t="shared" ref="DH57" si="106">+DH55-DH56</f>
        <v>34193.288465088204</v>
      </c>
      <c r="DI57" s="51">
        <f t="shared" ref="DI57" si="107">+DI55-DI56</f>
        <v>34544.908741213105</v>
      </c>
      <c r="DJ57" s="51">
        <f t="shared" ref="DJ57" si="108">+DJ55-DJ56</f>
        <v>33739.817423393062</v>
      </c>
      <c r="DK57" s="51">
        <f t="shared" ref="DK57" si="109">+DK55-DK56</f>
        <v>22036.255186098049</v>
      </c>
    </row>
    <row r="58" spans="2:115" x14ac:dyDescent="0.2">
      <c r="B58" t="s">
        <v>59</v>
      </c>
      <c r="C58" s="51"/>
      <c r="D58" s="51"/>
      <c r="E58" s="51"/>
      <c r="F58" s="51">
        <v>1098</v>
      </c>
      <c r="G58" s="51">
        <v>1090</v>
      </c>
      <c r="H58" s="51">
        <v>1146.0999999999999</v>
      </c>
      <c r="I58" s="51">
        <v>1070.9000000000001</v>
      </c>
      <c r="J58" s="51">
        <v>1190</v>
      </c>
      <c r="K58" s="51">
        <v>1143</v>
      </c>
      <c r="L58" s="51">
        <v>1238</v>
      </c>
      <c r="M58" s="51">
        <v>1302.3</v>
      </c>
      <c r="N58" s="51">
        <v>1422.1</v>
      </c>
      <c r="O58" s="51">
        <v>1336.8</v>
      </c>
      <c r="P58" s="51">
        <v>1524.7</v>
      </c>
      <c r="Q58" s="51">
        <v>1477.8</v>
      </c>
      <c r="R58" s="51">
        <v>1755.8</v>
      </c>
      <c r="S58" s="51">
        <v>1550.5</v>
      </c>
      <c r="T58" s="51">
        <v>1700.1</v>
      </c>
      <c r="U58" s="51">
        <v>1649.2</v>
      </c>
      <c r="V58" s="51">
        <v>1718.6</v>
      </c>
      <c r="W58" s="51">
        <v>1529.2</v>
      </c>
      <c r="X58" s="51">
        <v>1708.2</v>
      </c>
      <c r="Y58" s="51">
        <v>1701.8</v>
      </c>
      <c r="Z58" s="51">
        <v>1953.3</v>
      </c>
      <c r="AA58" s="51">
        <v>1614.4</v>
      </c>
      <c r="AB58" s="51">
        <v>1755.4</v>
      </c>
      <c r="AC58" s="51">
        <v>1694.9</v>
      </c>
      <c r="AD58" s="51">
        <v>1988.7</v>
      </c>
      <c r="AE58" s="51">
        <v>1785.7</v>
      </c>
      <c r="AF58" s="51">
        <v>2043</v>
      </c>
      <c r="AG58" s="51">
        <v>1917.8</v>
      </c>
      <c r="AH58" s="51">
        <v>2133.4</v>
      </c>
      <c r="AI58" s="51">
        <v>1847.5</v>
      </c>
      <c r="AJ58" s="51">
        <v>1931.1</v>
      </c>
      <c r="AK58" s="51">
        <v>1757.4</v>
      </c>
      <c r="AL58" s="51">
        <f>+AH58-200</f>
        <v>1933.4</v>
      </c>
      <c r="AM58" s="51">
        <f>+AI58</f>
        <v>1847.5</v>
      </c>
      <c r="AN58" s="51">
        <f t="shared" ref="AN58:AN59" si="110">+AJ58</f>
        <v>1931.1</v>
      </c>
      <c r="AO58" s="51">
        <f t="shared" ref="AO58:AO59" si="111">+AK58</f>
        <v>1757.4</v>
      </c>
      <c r="AP58" s="51">
        <f t="shared" ref="AP58:AP59" si="112">+AL58</f>
        <v>1933.4</v>
      </c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>
        <v>1517.1</v>
      </c>
      <c r="BL58" s="51">
        <v>1586.3</v>
      </c>
      <c r="BM58" s="51">
        <v>1412.3</v>
      </c>
      <c r="BN58" s="51">
        <v>1698.1</v>
      </c>
      <c r="BO58" s="51">
        <v>1549.6</v>
      </c>
      <c r="BP58" s="51">
        <v>1448.6</v>
      </c>
      <c r="BQ58" s="51">
        <v>1569.1</v>
      </c>
      <c r="BR58" s="51">
        <v>1553.9</v>
      </c>
      <c r="BS58" s="51">
        <v>1576</v>
      </c>
      <c r="BT58" s="51">
        <v>1685.7</v>
      </c>
      <c r="BU58" s="51">
        <v>1577.9</v>
      </c>
      <c r="BV58" s="51">
        <v>1592</v>
      </c>
      <c r="BW58" s="51">
        <v>1557.9</v>
      </c>
      <c r="BX58" s="51">
        <f>+BT58</f>
        <v>1685.7</v>
      </c>
      <c r="BY58" s="51">
        <f t="shared" ref="BY58:BY59" si="113">+BU58</f>
        <v>1577.9</v>
      </c>
      <c r="BZ58" s="51">
        <f t="shared" ref="BZ58:BZ59" si="114">+BV58</f>
        <v>1592</v>
      </c>
      <c r="CA58" s="51">
        <f t="shared" ref="CA58:CA59" si="115">+BW58</f>
        <v>1557.9</v>
      </c>
      <c r="CB58" s="51">
        <f t="shared" ref="CB58:CB59" si="116">+BX58</f>
        <v>1685.7</v>
      </c>
      <c r="CC58" s="51">
        <f t="shared" ref="CC58:CC59" si="117">+BY58</f>
        <v>1577.9</v>
      </c>
      <c r="CD58" s="51">
        <f t="shared" ref="CD58:CD59" si="118">+BZ58</f>
        <v>1592</v>
      </c>
      <c r="CE58" s="51"/>
      <c r="CF58" s="51"/>
      <c r="CH58" s="51">
        <v>3417</v>
      </c>
      <c r="CI58" s="51">
        <v>3424</v>
      </c>
      <c r="CJ58" s="51">
        <v>4055</v>
      </c>
      <c r="CK58" s="51">
        <v>4284</v>
      </c>
      <c r="CL58" s="51">
        <v>4497</v>
      </c>
      <c r="CM58" s="51">
        <v>4752</v>
      </c>
      <c r="CN58" s="51">
        <f>CM58*1.03</f>
        <v>4894.5600000000004</v>
      </c>
      <c r="CO58" s="51">
        <f>SUM(S58:V58)</f>
        <v>6618.4</v>
      </c>
      <c r="CP58" s="51">
        <f>SUM(W58:Z58)</f>
        <v>6892.5</v>
      </c>
      <c r="CQ58" s="51">
        <f>SUM(AA58:AD58)</f>
        <v>7053.4000000000005</v>
      </c>
      <c r="CR58" s="51">
        <f t="shared" ref="CR58:CR59" si="119">SUM(AE58:AH58)</f>
        <v>7879.9</v>
      </c>
      <c r="CS58" s="51">
        <f t="shared" ref="CS58" si="120">SUM(AI58:AL58)</f>
        <v>7469.4</v>
      </c>
      <c r="CT58" s="51">
        <f>CS58*0.95</f>
        <v>7095.9299999999994</v>
      </c>
      <c r="CU58" s="51">
        <f>CT58*0.8</f>
        <v>5676.7439999999997</v>
      </c>
      <c r="CV58" s="51"/>
      <c r="CW58" s="51"/>
      <c r="CX58" s="51">
        <v>5982.4</v>
      </c>
      <c r="CY58" s="51">
        <v>5975.1</v>
      </c>
      <c r="CZ58" s="51">
        <v>6213.8</v>
      </c>
      <c r="DA58" s="49">
        <f t="shared" ref="DA58:DA59" si="121">SUM(BO58:BR58)</f>
        <v>6121.1999999999989</v>
      </c>
      <c r="DB58" s="49">
        <f t="shared" ref="DB58:DB59" si="122">SUM(BS58:BV58)</f>
        <v>6431.6</v>
      </c>
      <c r="DC58" s="49">
        <f t="shared" ref="DC58:DC59" si="123">SUM(BW58:BZ58)</f>
        <v>6413.5</v>
      </c>
      <c r="DD58" s="49">
        <f t="shared" ref="DD58:DD59" si="124">SUM(CA58:CD58)</f>
        <v>6413.5</v>
      </c>
      <c r="DE58" s="49">
        <f>+DE55*0.25</f>
        <v>7681.2207813712739</v>
      </c>
      <c r="DF58" s="49">
        <f t="shared" ref="DF58:DK58" si="125">+DF55*0.25</f>
        <v>8047.5130181591458</v>
      </c>
      <c r="DG58" s="49">
        <f t="shared" si="125"/>
        <v>8703.1489640824821</v>
      </c>
      <c r="DH58" s="49">
        <f t="shared" si="125"/>
        <v>9088.3221162720511</v>
      </c>
      <c r="DI58" s="49">
        <f t="shared" si="125"/>
        <v>9720.4771853032762</v>
      </c>
      <c r="DJ58" s="49">
        <f t="shared" si="125"/>
        <v>10187.954355848266</v>
      </c>
      <c r="DK58" s="49">
        <f t="shared" si="125"/>
        <v>8068.0637965245123</v>
      </c>
    </row>
    <row r="59" spans="2:115" x14ac:dyDescent="0.2">
      <c r="B59" t="s">
        <v>60</v>
      </c>
      <c r="C59" s="51"/>
      <c r="D59" s="51"/>
      <c r="E59" s="51"/>
      <c r="F59" s="51">
        <v>706</v>
      </c>
      <c r="G59" s="51">
        <v>702</v>
      </c>
      <c r="H59" s="51">
        <v>762.4</v>
      </c>
      <c r="I59" s="51">
        <v>751</v>
      </c>
      <c r="J59" s="51">
        <v>810</v>
      </c>
      <c r="K59" s="51">
        <v>741</v>
      </c>
      <c r="L59" s="51">
        <v>775</v>
      </c>
      <c r="M59" s="51">
        <v>788.8</v>
      </c>
      <c r="N59" s="51">
        <v>890</v>
      </c>
      <c r="O59" s="51">
        <v>834.2</v>
      </c>
      <c r="P59" s="51">
        <v>854.4</v>
      </c>
      <c r="Q59" s="51">
        <v>844.5</v>
      </c>
      <c r="R59" s="51">
        <v>953.6</v>
      </c>
      <c r="S59" s="51">
        <v>877.1</v>
      </c>
      <c r="T59" s="51">
        <v>951.5</v>
      </c>
      <c r="U59" s="51">
        <v>953</v>
      </c>
      <c r="V59" s="51">
        <v>1036.0999999999999</v>
      </c>
      <c r="W59" s="51">
        <v>947.3</v>
      </c>
      <c r="X59" s="51">
        <v>1040.4000000000001</v>
      </c>
      <c r="Y59" s="51">
        <v>1122.0999999999999</v>
      </c>
      <c r="Z59" s="51">
        <v>1216.7</v>
      </c>
      <c r="AA59" s="51">
        <v>1039.0999999999999</v>
      </c>
      <c r="AB59" s="51">
        <v>1187.2</v>
      </c>
      <c r="AC59" s="51">
        <v>1219.8</v>
      </c>
      <c r="AD59" s="51">
        <v>1438.1</v>
      </c>
      <c r="AE59" s="51">
        <v>1124</v>
      </c>
      <c r="AF59" s="51">
        <v>1260.5999999999999</v>
      </c>
      <c r="AG59" s="51">
        <v>1280.9000000000001</v>
      </c>
      <c r="AH59" s="51">
        <v>1355.3</v>
      </c>
      <c r="AI59" s="51">
        <v>1151.5</v>
      </c>
      <c r="AJ59" s="51">
        <v>1320.7</v>
      </c>
      <c r="AK59" s="51">
        <v>1342.8</v>
      </c>
      <c r="AL59" s="51">
        <f>+AH59-50</f>
        <v>1305.3</v>
      </c>
      <c r="AM59" s="51">
        <f t="shared" ref="AM59" si="126">+AI59</f>
        <v>1151.5</v>
      </c>
      <c r="AN59" s="51">
        <f t="shared" si="110"/>
        <v>1320.7</v>
      </c>
      <c r="AO59" s="51">
        <f t="shared" si="111"/>
        <v>1342.8</v>
      </c>
      <c r="AP59" s="51">
        <f t="shared" si="112"/>
        <v>1305.3</v>
      </c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>
        <v>1230.5</v>
      </c>
      <c r="BL59" s="51">
        <v>1402.2</v>
      </c>
      <c r="BM59" s="51">
        <v>1380.9</v>
      </c>
      <c r="BN59" s="51">
        <v>1581.4</v>
      </c>
      <c r="BO59" s="51">
        <v>1392.1</v>
      </c>
      <c r="BP59" s="51">
        <v>1390.2</v>
      </c>
      <c r="BQ59" s="51">
        <v>1465.4</v>
      </c>
      <c r="BR59" s="51">
        <v>1838</v>
      </c>
      <c r="BS59" s="51">
        <v>1672.1</v>
      </c>
      <c r="BT59" s="51">
        <v>1672.8</v>
      </c>
      <c r="BU59" s="51">
        <v>1708.9</v>
      </c>
      <c r="BV59" s="51">
        <v>1959.4</v>
      </c>
      <c r="BW59" s="51">
        <v>1610.1</v>
      </c>
      <c r="BX59" s="51">
        <f t="shared" ref="BX59" si="127">+BT59</f>
        <v>1672.8</v>
      </c>
      <c r="BY59" s="51">
        <f t="shared" si="113"/>
        <v>1708.9</v>
      </c>
      <c r="BZ59" s="51">
        <f t="shared" si="114"/>
        <v>1959.4</v>
      </c>
      <c r="CA59" s="51">
        <f t="shared" si="115"/>
        <v>1610.1</v>
      </c>
      <c r="CB59" s="51">
        <f t="shared" si="116"/>
        <v>1672.8</v>
      </c>
      <c r="CC59" s="51">
        <f t="shared" si="117"/>
        <v>1708.9</v>
      </c>
      <c r="CD59" s="51">
        <f t="shared" si="118"/>
        <v>1959.4</v>
      </c>
      <c r="CE59" s="51"/>
      <c r="CF59" s="51"/>
      <c r="CH59" s="51">
        <v>2235</v>
      </c>
      <c r="CI59" s="51">
        <v>2149</v>
      </c>
      <c r="CJ59" s="51">
        <v>2350</v>
      </c>
      <c r="CK59" s="51">
        <v>2691</v>
      </c>
      <c r="CL59" s="51">
        <v>3026</v>
      </c>
      <c r="CM59" s="51">
        <v>3130</v>
      </c>
      <c r="CN59" s="51">
        <f>CM59*1.02</f>
        <v>3192.6</v>
      </c>
      <c r="CO59" s="51">
        <f>SUM(S59:V59)</f>
        <v>3817.7</v>
      </c>
      <c r="CP59" s="51">
        <f>SUM(W59:Z59)</f>
        <v>4326.5</v>
      </c>
      <c r="CQ59" s="51">
        <f>SUM(AA59:AD59)</f>
        <v>4884.2000000000007</v>
      </c>
      <c r="CR59" s="51">
        <f t="shared" si="119"/>
        <v>5020.8</v>
      </c>
      <c r="CS59" s="51">
        <f>SUM(AI59:AL59)</f>
        <v>5120.3</v>
      </c>
      <c r="CT59" s="51"/>
      <c r="CU59" s="51"/>
      <c r="CV59" s="51"/>
      <c r="CW59" s="51"/>
      <c r="CX59" s="51">
        <v>5096.2</v>
      </c>
      <c r="CY59" s="51">
        <v>5051.2</v>
      </c>
      <c r="CZ59" s="51">
        <v>5595</v>
      </c>
      <c r="DA59" s="49">
        <f t="shared" si="121"/>
        <v>6085.7000000000007</v>
      </c>
      <c r="DB59" s="49">
        <f t="shared" si="122"/>
        <v>7013.1999999999989</v>
      </c>
      <c r="DC59" s="49">
        <f t="shared" si="123"/>
        <v>6951.1999999999989</v>
      </c>
      <c r="DD59" s="49">
        <f t="shared" si="124"/>
        <v>6951.1999999999989</v>
      </c>
      <c r="DE59" s="49"/>
      <c r="DF59" s="49"/>
      <c r="DG59" s="49"/>
      <c r="DH59" s="49"/>
      <c r="DI59" s="49"/>
      <c r="DJ59" s="49"/>
      <c r="DK59" s="49"/>
    </row>
    <row r="60" spans="2:115" x14ac:dyDescent="0.2">
      <c r="B60" s="38" t="s">
        <v>252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>
        <f t="shared" ref="V60:AA60" si="128">V59+V58</f>
        <v>2754.7</v>
      </c>
      <c r="W60" s="51">
        <f t="shared" si="128"/>
        <v>2476.5</v>
      </c>
      <c r="X60" s="51">
        <f t="shared" si="128"/>
        <v>2748.6000000000004</v>
      </c>
      <c r="Y60" s="51">
        <f t="shared" si="128"/>
        <v>2823.8999999999996</v>
      </c>
      <c r="Z60" s="51">
        <f t="shared" si="128"/>
        <v>3170</v>
      </c>
      <c r="AA60" s="51">
        <f t="shared" si="128"/>
        <v>2653.5</v>
      </c>
      <c r="AB60" s="51">
        <f t="shared" ref="AB60:AD60" si="129">AB59+AB58</f>
        <v>2942.6000000000004</v>
      </c>
      <c r="AC60" s="51">
        <f t="shared" si="129"/>
        <v>2914.7</v>
      </c>
      <c r="AD60" s="51">
        <f t="shared" si="129"/>
        <v>3426.8</v>
      </c>
      <c r="AE60" s="51">
        <f>AE59+AE58</f>
        <v>2909.7</v>
      </c>
      <c r="AF60" s="51">
        <f>AF59+AF58</f>
        <v>3303.6</v>
      </c>
      <c r="AG60" s="51">
        <f>AG59+AG58</f>
        <v>3198.7</v>
      </c>
      <c r="AH60" s="51">
        <f>AH59+AH58</f>
        <v>3488.7</v>
      </c>
      <c r="AI60" s="51">
        <f>+AI59+AI58</f>
        <v>2999</v>
      </c>
      <c r="AJ60" s="51">
        <f>+AJ59+AJ58</f>
        <v>3251.8</v>
      </c>
      <c r="AK60" s="51">
        <f>+AK59+AK58</f>
        <v>3100.2</v>
      </c>
      <c r="AL60" s="51">
        <f>+AL59+AL58</f>
        <v>3238.7</v>
      </c>
      <c r="AM60" s="51">
        <f t="shared" ref="AM60:AP60" si="130">+AM59+AM58</f>
        <v>2999</v>
      </c>
      <c r="AN60" s="51">
        <f t="shared" si="130"/>
        <v>3251.8</v>
      </c>
      <c r="AO60" s="51">
        <f t="shared" si="130"/>
        <v>3100.2</v>
      </c>
      <c r="AP60" s="51">
        <f t="shared" si="130"/>
        <v>3238.7</v>
      </c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>
        <f t="shared" ref="BK60:BW60" si="131">SUM(BK58:BK59)</f>
        <v>2747.6</v>
      </c>
      <c r="BL60" s="51">
        <f t="shared" si="131"/>
        <v>2988.5</v>
      </c>
      <c r="BM60" s="51">
        <f t="shared" si="131"/>
        <v>2793.2</v>
      </c>
      <c r="BN60" s="51">
        <f t="shared" si="131"/>
        <v>3279.5</v>
      </c>
      <c r="BO60" s="51">
        <f t="shared" si="131"/>
        <v>2941.7</v>
      </c>
      <c r="BP60" s="51">
        <f t="shared" si="131"/>
        <v>2838.8</v>
      </c>
      <c r="BQ60" s="51">
        <f t="shared" si="131"/>
        <v>3034.5</v>
      </c>
      <c r="BR60" s="51">
        <f t="shared" si="131"/>
        <v>3391.9</v>
      </c>
      <c r="BS60" s="51">
        <f t="shared" si="131"/>
        <v>3248.1</v>
      </c>
      <c r="BT60" s="51">
        <f t="shared" si="131"/>
        <v>3358.5</v>
      </c>
      <c r="BU60" s="51">
        <f t="shared" si="131"/>
        <v>3286.8</v>
      </c>
      <c r="BV60" s="51">
        <f t="shared" si="131"/>
        <v>3551.4</v>
      </c>
      <c r="BW60" s="51">
        <f t="shared" si="131"/>
        <v>3168</v>
      </c>
      <c r="BX60" s="51">
        <f t="shared" ref="BX60:CD60" si="132">SUM(BX58:BX59)</f>
        <v>3358.5</v>
      </c>
      <c r="BY60" s="51">
        <f t="shared" si="132"/>
        <v>3286.8</v>
      </c>
      <c r="BZ60" s="51">
        <f t="shared" si="132"/>
        <v>3551.4</v>
      </c>
      <c r="CA60" s="51">
        <f t="shared" si="132"/>
        <v>3168</v>
      </c>
      <c r="CB60" s="51">
        <f t="shared" si="132"/>
        <v>3358.5</v>
      </c>
      <c r="CC60" s="51">
        <f t="shared" si="132"/>
        <v>3286.8</v>
      </c>
      <c r="CD60" s="51">
        <f t="shared" si="132"/>
        <v>3551.4</v>
      </c>
      <c r="CE60" s="51"/>
      <c r="CF60" s="51"/>
      <c r="CH60" s="51">
        <f t="shared" ref="CH60:CN60" si="133">CH59+CH58</f>
        <v>5652</v>
      </c>
      <c r="CI60" s="51">
        <f t="shared" si="133"/>
        <v>5573</v>
      </c>
      <c r="CJ60" s="51">
        <f t="shared" si="133"/>
        <v>6405</v>
      </c>
      <c r="CK60" s="51">
        <f t="shared" si="133"/>
        <v>6975</v>
      </c>
      <c r="CL60" s="51">
        <f t="shared" si="133"/>
        <v>7523</v>
      </c>
      <c r="CM60" s="51">
        <f t="shared" si="133"/>
        <v>7882</v>
      </c>
      <c r="CN60" s="51">
        <f t="shared" si="133"/>
        <v>8087.16</v>
      </c>
      <c r="CO60" s="51">
        <f>CO59+CO58</f>
        <v>10436.099999999999</v>
      </c>
      <c r="CP60" s="51">
        <f t="shared" ref="CP60:CV60" si="134">CP59+CP58</f>
        <v>11219</v>
      </c>
      <c r="CQ60" s="51">
        <f>CQ59+CQ58</f>
        <v>11937.600000000002</v>
      </c>
      <c r="CR60" s="51">
        <f>CR59+CR58</f>
        <v>12900.7</v>
      </c>
      <c r="CS60" s="51">
        <f>CS59+CS58</f>
        <v>12589.7</v>
      </c>
      <c r="CT60" s="51">
        <f t="shared" si="134"/>
        <v>7095.9299999999994</v>
      </c>
      <c r="CU60" s="51">
        <f t="shared" si="134"/>
        <v>5676.7439999999997</v>
      </c>
      <c r="CV60" s="51">
        <f t="shared" si="134"/>
        <v>0</v>
      </c>
      <c r="CW60" s="51"/>
      <c r="CX60" s="51">
        <f>CX59+CX58</f>
        <v>11078.599999999999</v>
      </c>
      <c r="CY60" s="51">
        <f t="shared" ref="CY60:CZ60" si="135">CY59+CY58</f>
        <v>11026.3</v>
      </c>
      <c r="CZ60" s="51">
        <f t="shared" si="135"/>
        <v>11808.8</v>
      </c>
      <c r="DA60" s="51">
        <f>DA59+DA58</f>
        <v>12206.9</v>
      </c>
      <c r="DB60" s="51">
        <f t="shared" ref="DB60:DD60" si="136">DB59+DB58</f>
        <v>13444.8</v>
      </c>
      <c r="DC60" s="51">
        <f t="shared" si="136"/>
        <v>13364.699999999999</v>
      </c>
      <c r="DD60" s="51">
        <f t="shared" si="136"/>
        <v>13364.699999999999</v>
      </c>
      <c r="DE60" s="51">
        <f t="shared" ref="DE60" si="137">DE59+DE58</f>
        <v>7681.2207813712739</v>
      </c>
      <c r="DF60" s="51">
        <f t="shared" ref="DF60" si="138">DF59+DF58</f>
        <v>8047.5130181591458</v>
      </c>
      <c r="DG60" s="51">
        <f t="shared" ref="DG60" si="139">DG59+DG58</f>
        <v>8703.1489640824821</v>
      </c>
      <c r="DH60" s="51">
        <f t="shared" ref="DH60" si="140">DH59+DH58</f>
        <v>9088.3221162720511</v>
      </c>
      <c r="DI60" s="51">
        <f t="shared" ref="DI60" si="141">DI59+DI58</f>
        <v>9720.4771853032762</v>
      </c>
      <c r="DJ60" s="51">
        <f t="shared" ref="DJ60" si="142">DJ59+DJ58</f>
        <v>10187.954355848266</v>
      </c>
      <c r="DK60" s="51">
        <f t="shared" ref="DK60" si="143">DK59+DK58</f>
        <v>8068.0637965245123</v>
      </c>
    </row>
    <row r="61" spans="2:115" x14ac:dyDescent="0.2">
      <c r="B61" s="38" t="s">
        <v>253</v>
      </c>
      <c r="C61" s="51"/>
      <c r="D61" s="51"/>
      <c r="E61" s="51"/>
      <c r="F61" s="51">
        <f t="shared" ref="F61:O61" si="144">F57-F58-F59</f>
        <v>482.80799999999999</v>
      </c>
      <c r="G61" s="51">
        <f t="shared" si="144"/>
        <v>348.83663366336623</v>
      </c>
      <c r="H61" s="51">
        <f t="shared" si="144"/>
        <v>385.8000000000003</v>
      </c>
      <c r="I61" s="51">
        <f t="shared" si="144"/>
        <v>496.5333333333333</v>
      </c>
      <c r="J61" s="51">
        <f t="shared" si="144"/>
        <v>557.10000000000036</v>
      </c>
      <c r="K61" s="51">
        <f t="shared" si="144"/>
        <v>537.20000000000027</v>
      </c>
      <c r="L61" s="51">
        <f t="shared" si="144"/>
        <v>549</v>
      </c>
      <c r="M61" s="51">
        <f t="shared" si="144"/>
        <v>702.40000000000009</v>
      </c>
      <c r="N61" s="51">
        <f t="shared" si="144"/>
        <v>2301.8000000000006</v>
      </c>
      <c r="O61" s="51">
        <f t="shared" si="144"/>
        <v>1142.5</v>
      </c>
      <c r="P61" s="51">
        <f t="shared" ref="P61:U61" si="145">P57-P58-P59</f>
        <v>815.80000000000007</v>
      </c>
      <c r="Q61" s="51">
        <f t="shared" si="145"/>
        <v>2522.3999999999987</v>
      </c>
      <c r="R61" s="51">
        <f t="shared" si="145"/>
        <v>2683.5000000000005</v>
      </c>
      <c r="S61" s="51">
        <f t="shared" si="145"/>
        <v>2702.900000000001</v>
      </c>
      <c r="T61" s="51">
        <f t="shared" si="145"/>
        <v>2850.9999999999986</v>
      </c>
      <c r="U61" s="51">
        <f t="shared" si="145"/>
        <v>3039.5000000000009</v>
      </c>
      <c r="V61" s="51">
        <f t="shared" ref="V61:AA61" si="146">V57-V60</f>
        <v>1556.1999999999998</v>
      </c>
      <c r="W61" s="51">
        <f t="shared" si="146"/>
        <v>1598.9</v>
      </c>
      <c r="X61" s="51">
        <f t="shared" si="146"/>
        <v>1417.5</v>
      </c>
      <c r="Y61" s="51">
        <f t="shared" si="146"/>
        <v>1686.2000000000007</v>
      </c>
      <c r="Z61" s="51">
        <f t="shared" si="146"/>
        <v>1332.6999999999998</v>
      </c>
      <c r="AA61" s="51">
        <f t="shared" si="146"/>
        <v>1709.5</v>
      </c>
      <c r="AB61" s="51">
        <f t="shared" ref="AB61:AD61" si="147">AB57-AB60</f>
        <v>1782.1999999999998</v>
      </c>
      <c r="AC61" s="51">
        <f t="shared" si="147"/>
        <v>1752.5</v>
      </c>
      <c r="AD61" s="51">
        <f t="shared" si="147"/>
        <v>1528.2000000000007</v>
      </c>
      <c r="AE61" s="51">
        <f>AE57-AE60</f>
        <v>1749.4000000000005</v>
      </c>
      <c r="AF61" s="51">
        <f>AF57-AF60</f>
        <v>1721.1999999999985</v>
      </c>
      <c r="AG61" s="51">
        <f>AG57-AG60</f>
        <v>1611.3000000000002</v>
      </c>
      <c r="AH61" s="51">
        <f>AH57-AH60</f>
        <v>1236.9000000000005</v>
      </c>
      <c r="AI61" s="51">
        <f>+AI57-AI60</f>
        <v>1405.5</v>
      </c>
      <c r="AJ61" s="51">
        <f>+AJ57-AJ60</f>
        <v>1201.9999999999991</v>
      </c>
      <c r="AK61" s="51">
        <f>+AK57-AK60</f>
        <v>1138.6999999999998</v>
      </c>
      <c r="AL61" s="51">
        <f>+AL57-AL60</f>
        <v>810.80000000000018</v>
      </c>
      <c r="AM61" s="51">
        <f t="shared" ref="AM61:AP61" si="148">+AM57-AM60</f>
        <v>1329.2999999999993</v>
      </c>
      <c r="AN61" s="51">
        <f t="shared" si="148"/>
        <v>1109.6999999999998</v>
      </c>
      <c r="AO61" s="51">
        <f t="shared" si="148"/>
        <v>1178.6999999999998</v>
      </c>
      <c r="AP61" s="51">
        <f t="shared" si="148"/>
        <v>850.80000000000018</v>
      </c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>
        <f t="shared" ref="BK61:BW61" si="149">BK57-BK60</f>
        <v>1334.0000000000005</v>
      </c>
      <c r="BL61" s="51">
        <f t="shared" si="149"/>
        <v>1574.9000000000005</v>
      </c>
      <c r="BM61" s="51">
        <f t="shared" si="149"/>
        <v>1565.1999999999998</v>
      </c>
      <c r="BN61" s="51">
        <f t="shared" si="149"/>
        <v>1605.3999999999996</v>
      </c>
      <c r="BO61" s="51">
        <f t="shared" si="149"/>
        <v>1761.5999999999976</v>
      </c>
      <c r="BP61" s="51">
        <f t="shared" si="149"/>
        <v>1541.3999999999987</v>
      </c>
      <c r="BQ61" s="51">
        <f t="shared" si="149"/>
        <v>1506.1999999999989</v>
      </c>
      <c r="BR61" s="51">
        <f t="shared" si="149"/>
        <v>2328.3999999999992</v>
      </c>
      <c r="BS61" s="51">
        <f t="shared" si="149"/>
        <v>1886.1000000000008</v>
      </c>
      <c r="BT61" s="51">
        <f t="shared" si="149"/>
        <v>1983.4999999999973</v>
      </c>
      <c r="BU61" s="51">
        <f t="shared" si="149"/>
        <v>2064.3999999999978</v>
      </c>
      <c r="BV61" s="51">
        <f t="shared" si="149"/>
        <v>2398.2999999999997</v>
      </c>
      <c r="BW61" s="51">
        <f t="shared" si="149"/>
        <v>2774.6000000000004</v>
      </c>
      <c r="BX61" s="51">
        <f t="shared" ref="BX61:CD61" si="150">BX57-BX60</f>
        <v>2250.0066450000013</v>
      </c>
      <c r="BY61" s="51">
        <f t="shared" si="150"/>
        <v>2216.1131218750006</v>
      </c>
      <c r="BZ61" s="51">
        <f t="shared" si="150"/>
        <v>2234.322018671874</v>
      </c>
      <c r="CA61" s="51">
        <f t="shared" si="150"/>
        <v>2154.4430740167973</v>
      </c>
      <c r="CB61" s="51">
        <f t="shared" si="150"/>
        <v>2205.0725082821391</v>
      </c>
      <c r="CC61" s="51">
        <f t="shared" si="150"/>
        <v>2351.0532525841036</v>
      </c>
      <c r="CD61" s="51">
        <f t="shared" si="150"/>
        <v>2585.7815684872144</v>
      </c>
      <c r="CE61" s="51"/>
      <c r="CF61" s="51"/>
      <c r="CH61" s="51">
        <f t="shared" ref="CH61:CP61" si="151">CH57-CH58-CH59</f>
        <v>3817</v>
      </c>
      <c r="CI61" s="51">
        <f t="shared" si="151"/>
        <v>3327</v>
      </c>
      <c r="CJ61" s="51">
        <f t="shared" si="151"/>
        <v>3505</v>
      </c>
      <c r="CK61" s="51">
        <f t="shared" si="151"/>
        <v>3660</v>
      </c>
      <c r="CL61" s="51">
        <f t="shared" si="151"/>
        <v>3653</v>
      </c>
      <c r="CM61" s="51">
        <f t="shared" si="151"/>
        <v>4400.4999999999982</v>
      </c>
      <c r="CN61" s="51">
        <f t="shared" si="151"/>
        <v>6336.8340000000007</v>
      </c>
      <c r="CO61" s="51">
        <f>CO57-CO58-CO59</f>
        <v>10149.599999999999</v>
      </c>
      <c r="CP61" s="51">
        <f t="shared" si="151"/>
        <v>6035.2999999999993</v>
      </c>
      <c r="CQ61" s="51">
        <f>CQ57-CQ58-CQ59</f>
        <v>5589.9999999999964</v>
      </c>
      <c r="CR61" s="51">
        <f>CR57-CR58-CR59</f>
        <v>5908.7000000000016</v>
      </c>
      <c r="CS61" s="51">
        <f>CS57-CS58-CS59</f>
        <v>4556.9999999999973</v>
      </c>
      <c r="CT61" s="51">
        <f t="shared" ref="CT61:CW61" si="152">CT57-CT58-CT59</f>
        <v>-7095.9299999999994</v>
      </c>
      <c r="CU61" s="51">
        <f t="shared" si="152"/>
        <v>-5676.7439999999997</v>
      </c>
      <c r="CV61" s="51">
        <f t="shared" si="152"/>
        <v>0</v>
      </c>
      <c r="CW61" s="51"/>
      <c r="CX61" s="51">
        <f t="shared" ref="CX61:CZ61" si="153">+CX57-CX60</f>
        <v>4447.8000000000029</v>
      </c>
      <c r="CY61" s="51">
        <f t="shared" si="153"/>
        <v>5784.8999999999978</v>
      </c>
      <c r="CZ61" s="51">
        <f t="shared" si="153"/>
        <v>5789.4000000000051</v>
      </c>
      <c r="DA61" s="51">
        <f>+DA57-DA60</f>
        <v>7137.6</v>
      </c>
      <c r="DB61" s="51">
        <f>+DB57-DB60</f>
        <v>8332.2999999999993</v>
      </c>
      <c r="DC61" s="51">
        <f t="shared" ref="DB61:DD61" si="154">+DC57-DC60</f>
        <v>9475.0417855468786</v>
      </c>
      <c r="DD61" s="51">
        <f t="shared" si="154"/>
        <v>9396.3504033702538</v>
      </c>
      <c r="DE61" s="51">
        <f t="shared" ref="DE61" si="155">+DE57-DE60</f>
        <v>18434.665459095813</v>
      </c>
      <c r="DF61" s="51">
        <f t="shared" ref="DF61" si="156">+DF57-DF60</f>
        <v>21012.466507104051</v>
      </c>
      <c r="DG61" s="51">
        <f t="shared" ref="DG61" si="157">+DG57-DG60</f>
        <v>24478.044196826799</v>
      </c>
      <c r="DH61" s="51">
        <f t="shared" ref="DH61" si="158">+DH57-DH60</f>
        <v>25104.966348816153</v>
      </c>
      <c r="DI61" s="51">
        <f t="shared" ref="DI61" si="159">+DI57-DI60</f>
        <v>24824.431555909829</v>
      </c>
      <c r="DJ61" s="51">
        <f t="shared" ref="DJ61" si="160">+DJ57-DJ60</f>
        <v>23551.863067544797</v>
      </c>
      <c r="DK61" s="51">
        <f t="shared" ref="DK61" si="161">+DK57-DK60</f>
        <v>13968.191389573538</v>
      </c>
    </row>
    <row r="62" spans="2:115" x14ac:dyDescent="0.2">
      <c r="B62" t="s">
        <v>78</v>
      </c>
      <c r="C62" s="51"/>
      <c r="D62" s="51"/>
      <c r="E62" s="51"/>
      <c r="F62" s="51">
        <v>69.099999999999994</v>
      </c>
      <c r="G62" s="51">
        <v>99</v>
      </c>
      <c r="H62" s="51">
        <v>45.4</v>
      </c>
      <c r="I62" s="51">
        <v>85</v>
      </c>
      <c r="J62" s="51">
        <v>85.2</v>
      </c>
      <c r="K62" s="51">
        <v>32</v>
      </c>
      <c r="L62" s="51">
        <v>47</v>
      </c>
      <c r="M62" s="51">
        <v>-4.8</v>
      </c>
      <c r="N62" s="51">
        <v>38.9</v>
      </c>
      <c r="O62" s="51">
        <v>38.299999999999997</v>
      </c>
      <c r="P62" s="51">
        <v>1.8</v>
      </c>
      <c r="Q62" s="51">
        <v>49.8</v>
      </c>
      <c r="R62" s="51">
        <v>32.1</v>
      </c>
      <c r="S62" s="51">
        <v>20.3</v>
      </c>
      <c r="T62" s="51">
        <v>32.299999999999997</v>
      </c>
      <c r="U62" s="51">
        <v>2.5</v>
      </c>
      <c r="V62" s="51">
        <v>-48.2</v>
      </c>
      <c r="W62" s="51">
        <v>-70.7</v>
      </c>
      <c r="X62" s="51">
        <v>-24.1</v>
      </c>
      <c r="Y62" s="51">
        <f>-44-22.9</f>
        <v>-66.900000000000006</v>
      </c>
      <c r="Z62" s="51">
        <v>-67.8</v>
      </c>
      <c r="AA62" s="51">
        <v>74.5</v>
      </c>
      <c r="AB62" s="51">
        <f>-36.5+18.1-18.4</f>
        <v>-36.799999999999997</v>
      </c>
      <c r="AC62" s="51">
        <f>-30.9+9.2-21.7</f>
        <v>-43.4</v>
      </c>
      <c r="AD62" s="51">
        <v>-39.4</v>
      </c>
      <c r="AE62" s="51">
        <v>-11.2</v>
      </c>
      <c r="AF62" s="51">
        <v>-57.6</v>
      </c>
      <c r="AG62" s="51">
        <f>-22.8-60.6</f>
        <v>-83.4</v>
      </c>
      <c r="AH62" s="51">
        <v>-26.8</v>
      </c>
      <c r="AI62" s="51">
        <f>-19.2-26.8</f>
        <v>-46</v>
      </c>
      <c r="AJ62" s="51">
        <f>-15.8-0.7</f>
        <v>-16.5</v>
      </c>
      <c r="AK62" s="51">
        <f>-21.3+22</f>
        <v>0.69999999999999929</v>
      </c>
      <c r="AL62" s="51">
        <f>+AH62</f>
        <v>-26.8</v>
      </c>
      <c r="AM62" s="51">
        <f t="shared" ref="AM62:AP62" si="162">+AI62</f>
        <v>-46</v>
      </c>
      <c r="AN62" s="51">
        <f t="shared" si="162"/>
        <v>-16.5</v>
      </c>
      <c r="AO62" s="51">
        <f t="shared" si="162"/>
        <v>0.69999999999999929</v>
      </c>
      <c r="AP62" s="51">
        <f t="shared" si="162"/>
        <v>-26.8</v>
      </c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>
        <v>55.9</v>
      </c>
      <c r="BL62" s="51">
        <v>91.5</v>
      </c>
      <c r="BM62" s="51">
        <v>90.1</v>
      </c>
      <c r="BN62" s="51">
        <v>82.7</v>
      </c>
      <c r="BO62" s="51">
        <v>78.2</v>
      </c>
      <c r="BP62" s="51">
        <v>81.2</v>
      </c>
      <c r="BQ62" s="51">
        <v>83.8</v>
      </c>
      <c r="BR62" s="51">
        <v>83.4</v>
      </c>
      <c r="BS62" s="51">
        <v>-34.6</v>
      </c>
      <c r="BT62" s="51">
        <v>81.5</v>
      </c>
      <c r="BU62" s="51">
        <v>77.599999999999994</v>
      </c>
      <c r="BV62" s="51">
        <v>77.3</v>
      </c>
      <c r="BW62" s="51">
        <v>-37.700000000000003</v>
      </c>
      <c r="BX62" s="51">
        <v>0</v>
      </c>
      <c r="BY62" s="51">
        <v>0</v>
      </c>
      <c r="BZ62" s="51">
        <v>0</v>
      </c>
      <c r="CA62" s="51">
        <v>0</v>
      </c>
      <c r="CB62" s="51">
        <v>0</v>
      </c>
      <c r="CC62" s="51">
        <v>0</v>
      </c>
      <c r="CD62" s="51">
        <v>0</v>
      </c>
      <c r="CE62" s="51"/>
      <c r="CF62" s="51"/>
      <c r="CH62" s="51">
        <v>134</v>
      </c>
      <c r="CI62" s="51">
        <v>214</v>
      </c>
      <c r="CJ62" s="51">
        <v>85</v>
      </c>
      <c r="CK62" s="51">
        <v>279</v>
      </c>
      <c r="CL62" s="51">
        <v>313</v>
      </c>
      <c r="CM62" s="51">
        <v>201</v>
      </c>
      <c r="CN62" s="51">
        <v>100</v>
      </c>
      <c r="CO62" s="51">
        <f>SUM(S62:V62)</f>
        <v>6.8999999999999915</v>
      </c>
      <c r="CP62" s="51">
        <f>SUM(W62:Z62)</f>
        <v>-229.5</v>
      </c>
      <c r="CQ62" s="51">
        <f>SUM(AA62:AD62)</f>
        <v>-45.099999999999994</v>
      </c>
      <c r="CR62" s="51">
        <f t="shared" ref="CR62" si="163">SUM(AE62:AH62)</f>
        <v>-179</v>
      </c>
      <c r="CS62" s="51">
        <f>SUM(AI62:AL62)</f>
        <v>-88.6</v>
      </c>
      <c r="CT62" s="51"/>
      <c r="CU62" s="51"/>
      <c r="CV62" s="51"/>
      <c r="CW62" s="51"/>
      <c r="CX62" s="51"/>
      <c r="CY62" s="53"/>
      <c r="CZ62" s="53"/>
      <c r="DE62" s="49">
        <f>+DD81*$DM$79</f>
        <v>42.135480103624452</v>
      </c>
      <c r="DF62" s="49">
        <f t="shared" ref="DF62:DK62" si="164">+DE81*$DM$79</f>
        <v>226.90348949561886</v>
      </c>
      <c r="DG62" s="49">
        <f t="shared" si="164"/>
        <v>439.29718946161557</v>
      </c>
      <c r="DH62" s="49">
        <f t="shared" si="164"/>
        <v>688.47060332449973</v>
      </c>
      <c r="DI62" s="49">
        <f t="shared" si="164"/>
        <v>946.40497284590617</v>
      </c>
      <c r="DJ62" s="49">
        <f t="shared" si="164"/>
        <v>1204.1133381334637</v>
      </c>
      <c r="DK62" s="49">
        <f t="shared" si="164"/>
        <v>1451.673102190246</v>
      </c>
    </row>
    <row r="63" spans="2:115" x14ac:dyDescent="0.2">
      <c r="B63" t="s">
        <v>81</v>
      </c>
      <c r="C63" s="51"/>
      <c r="D63" s="51"/>
      <c r="E63" s="51"/>
      <c r="F63" s="51">
        <f t="shared" ref="F63:O63" si="165">F61+F62</f>
        <v>551.90800000000002</v>
      </c>
      <c r="G63" s="51">
        <f t="shared" si="165"/>
        <v>447.83663366336623</v>
      </c>
      <c r="H63" s="51">
        <f t="shared" si="165"/>
        <v>431.20000000000027</v>
      </c>
      <c r="I63" s="51">
        <f t="shared" si="165"/>
        <v>581.5333333333333</v>
      </c>
      <c r="J63" s="51">
        <f t="shared" si="165"/>
        <v>642.30000000000041</v>
      </c>
      <c r="K63" s="51">
        <f t="shared" si="165"/>
        <v>569.20000000000027</v>
      </c>
      <c r="L63" s="51">
        <f t="shared" si="165"/>
        <v>596</v>
      </c>
      <c r="M63" s="51">
        <f t="shared" si="165"/>
        <v>697.60000000000014</v>
      </c>
      <c r="N63" s="51">
        <f t="shared" si="165"/>
        <v>2340.7000000000007</v>
      </c>
      <c r="O63" s="51">
        <f t="shared" si="165"/>
        <v>1180.8</v>
      </c>
      <c r="P63" s="51">
        <f t="shared" ref="P63:W63" si="166">P61+P62</f>
        <v>817.6</v>
      </c>
      <c r="Q63" s="51">
        <f t="shared" si="166"/>
        <v>2572.1999999999989</v>
      </c>
      <c r="R63" s="51">
        <f t="shared" si="166"/>
        <v>2715.6000000000004</v>
      </c>
      <c r="S63" s="51">
        <f t="shared" si="166"/>
        <v>2723.2000000000012</v>
      </c>
      <c r="T63" s="51">
        <f t="shared" si="166"/>
        <v>2883.2999999999988</v>
      </c>
      <c r="U63" s="51">
        <f t="shared" si="166"/>
        <v>3042.0000000000009</v>
      </c>
      <c r="V63" s="51">
        <f t="shared" si="166"/>
        <v>1507.9999999999998</v>
      </c>
      <c r="W63" s="51">
        <f t="shared" si="166"/>
        <v>1528.2</v>
      </c>
      <c r="X63" s="51">
        <f t="shared" ref="X63:AC63" si="167">X61+X62</f>
        <v>1393.4</v>
      </c>
      <c r="Y63" s="51">
        <f t="shared" si="167"/>
        <v>1619.3000000000006</v>
      </c>
      <c r="Z63" s="51">
        <f t="shared" si="167"/>
        <v>1264.8999999999999</v>
      </c>
      <c r="AA63" s="51">
        <f t="shared" si="167"/>
        <v>1784</v>
      </c>
      <c r="AB63" s="51">
        <f t="shared" si="167"/>
        <v>1745.3999999999999</v>
      </c>
      <c r="AC63" s="51">
        <f t="shared" si="167"/>
        <v>1709.1</v>
      </c>
      <c r="AD63" s="51">
        <f>AD61+AD62</f>
        <v>1488.8000000000006</v>
      </c>
      <c r="AE63" s="51">
        <f>AE61+AE62</f>
        <v>1738.2000000000005</v>
      </c>
      <c r="AF63" s="51">
        <f>AF61+AF62</f>
        <v>1663.5999999999985</v>
      </c>
      <c r="AG63" s="51">
        <f>AG61+AG62</f>
        <v>1527.9</v>
      </c>
      <c r="AH63" s="51">
        <f>AH61+AH62</f>
        <v>1210.1000000000006</v>
      </c>
      <c r="AI63" s="51">
        <f>+AI61+AI62</f>
        <v>1359.5</v>
      </c>
      <c r="AJ63" s="51">
        <f>+AJ61+AJ62</f>
        <v>1185.4999999999991</v>
      </c>
      <c r="AK63" s="51">
        <f>+AK61+AK62</f>
        <v>1139.3999999999999</v>
      </c>
      <c r="AL63" s="51">
        <f>+AL61+AL62</f>
        <v>784.00000000000023</v>
      </c>
      <c r="AM63" s="51">
        <f t="shared" ref="AM63:AP63" si="168">+AM61+AM62</f>
        <v>1283.2999999999993</v>
      </c>
      <c r="AN63" s="51">
        <f t="shared" si="168"/>
        <v>1093.1999999999998</v>
      </c>
      <c r="AO63" s="51">
        <f t="shared" si="168"/>
        <v>1179.3999999999999</v>
      </c>
      <c r="AP63" s="51">
        <f t="shared" si="168"/>
        <v>824.00000000000023</v>
      </c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>
        <f t="shared" ref="BK63:CD63" si="169">BK61-BK62</f>
        <v>1278.1000000000004</v>
      </c>
      <c r="BL63" s="51">
        <f t="shared" si="169"/>
        <v>1483.4000000000005</v>
      </c>
      <c r="BM63" s="51">
        <f t="shared" si="169"/>
        <v>1475.1</v>
      </c>
      <c r="BN63" s="51">
        <f t="shared" si="169"/>
        <v>1522.6999999999996</v>
      </c>
      <c r="BO63" s="51">
        <f t="shared" si="169"/>
        <v>1683.3999999999976</v>
      </c>
      <c r="BP63" s="51">
        <f t="shared" si="169"/>
        <v>1460.1999999999987</v>
      </c>
      <c r="BQ63" s="51">
        <f t="shared" si="169"/>
        <v>1422.399999999999</v>
      </c>
      <c r="BR63" s="51">
        <f t="shared" si="169"/>
        <v>2244.9999999999991</v>
      </c>
      <c r="BS63" s="51">
        <f t="shared" si="169"/>
        <v>1920.7000000000007</v>
      </c>
      <c r="BT63" s="51">
        <f t="shared" si="169"/>
        <v>1901.9999999999973</v>
      </c>
      <c r="BU63" s="51">
        <f t="shared" si="169"/>
        <v>1986.7999999999979</v>
      </c>
      <c r="BV63" s="51">
        <f t="shared" si="169"/>
        <v>2320.9999999999995</v>
      </c>
      <c r="BW63" s="51">
        <f t="shared" si="169"/>
        <v>2812.3</v>
      </c>
      <c r="BX63" s="51">
        <f t="shared" si="169"/>
        <v>2250.0066450000013</v>
      </c>
      <c r="BY63" s="51">
        <f t="shared" si="169"/>
        <v>2216.1131218750006</v>
      </c>
      <c r="BZ63" s="51">
        <f t="shared" si="169"/>
        <v>2234.322018671874</v>
      </c>
      <c r="CA63" s="51">
        <f t="shared" si="169"/>
        <v>2154.4430740167973</v>
      </c>
      <c r="CB63" s="51">
        <f t="shared" si="169"/>
        <v>2205.0725082821391</v>
      </c>
      <c r="CC63" s="51">
        <f t="shared" si="169"/>
        <v>2351.0532525841036</v>
      </c>
      <c r="CD63" s="51">
        <f t="shared" si="169"/>
        <v>2585.7815684872144</v>
      </c>
      <c r="CE63" s="51"/>
      <c r="CF63" s="51"/>
      <c r="CH63" s="51">
        <f t="shared" ref="CH63:CM63" si="170">CH61+CH62</f>
        <v>3951</v>
      </c>
      <c r="CI63" s="51">
        <f t="shared" si="170"/>
        <v>3541</v>
      </c>
      <c r="CJ63" s="51">
        <f t="shared" si="170"/>
        <v>3590</v>
      </c>
      <c r="CK63" s="51">
        <f t="shared" si="170"/>
        <v>3939</v>
      </c>
      <c r="CL63" s="51">
        <f t="shared" si="170"/>
        <v>3966</v>
      </c>
      <c r="CM63" s="51">
        <f t="shared" si="170"/>
        <v>4601.4999999999982</v>
      </c>
      <c r="CN63" s="51">
        <f t="shared" ref="CN63" si="171">CN61+CN62</f>
        <v>6436.8340000000007</v>
      </c>
      <c r="CO63" s="51">
        <f t="shared" ref="CO63:CX63" si="172">CO61+CO62</f>
        <v>10156.499999999998</v>
      </c>
      <c r="CP63" s="51">
        <f t="shared" si="172"/>
        <v>5805.7999999999993</v>
      </c>
      <c r="CQ63" s="51">
        <f t="shared" si="172"/>
        <v>5544.899999999996</v>
      </c>
      <c r="CR63" s="51">
        <f t="shared" si="172"/>
        <v>5729.7000000000016</v>
      </c>
      <c r="CS63" s="51">
        <f t="shared" si="172"/>
        <v>4468.3999999999969</v>
      </c>
      <c r="CT63" s="51">
        <f t="shared" si="172"/>
        <v>-7095.9299999999994</v>
      </c>
      <c r="CU63" s="51">
        <f t="shared" si="172"/>
        <v>-5676.7439999999997</v>
      </c>
      <c r="CV63" s="51">
        <f t="shared" si="172"/>
        <v>0</v>
      </c>
      <c r="CW63" s="51">
        <f t="shared" si="172"/>
        <v>0</v>
      </c>
      <c r="CX63" s="51">
        <f t="shared" si="172"/>
        <v>4447.8000000000029</v>
      </c>
      <c r="CY63" s="51">
        <f t="shared" ref="CY63:DK63" si="173">CY61+CY62</f>
        <v>5784.8999999999978</v>
      </c>
      <c r="CZ63" s="51">
        <f t="shared" si="173"/>
        <v>5789.4000000000051</v>
      </c>
      <c r="DA63" s="51">
        <f t="shared" si="173"/>
        <v>7137.6</v>
      </c>
      <c r="DB63" s="51">
        <f t="shared" si="173"/>
        <v>8332.2999999999993</v>
      </c>
      <c r="DC63" s="51">
        <f t="shared" si="173"/>
        <v>9475.0417855468786</v>
      </c>
      <c r="DD63" s="51">
        <f t="shared" si="173"/>
        <v>9396.3504033702538</v>
      </c>
      <c r="DE63" s="51">
        <f t="shared" si="173"/>
        <v>18476.800939199438</v>
      </c>
      <c r="DF63" s="51">
        <f t="shared" si="173"/>
        <v>21239.369996599671</v>
      </c>
      <c r="DG63" s="51">
        <f t="shared" si="173"/>
        <v>24917.341386288415</v>
      </c>
      <c r="DH63" s="51">
        <f t="shared" si="173"/>
        <v>25793.436952140652</v>
      </c>
      <c r="DI63" s="51">
        <f t="shared" si="173"/>
        <v>25770.836528755735</v>
      </c>
      <c r="DJ63" s="51">
        <f t="shared" si="173"/>
        <v>24755.976405678259</v>
      </c>
      <c r="DK63" s="51">
        <f t="shared" si="173"/>
        <v>15419.864491763783</v>
      </c>
    </row>
    <row r="64" spans="2:115" x14ac:dyDescent="0.2">
      <c r="B64" t="s">
        <v>82</v>
      </c>
      <c r="C64" s="51"/>
      <c r="D64" s="51"/>
      <c r="E64" s="51"/>
      <c r="F64" s="51">
        <v>230</v>
      </c>
      <c r="G64" s="51">
        <v>208</v>
      </c>
      <c r="H64" s="51">
        <v>205.3</v>
      </c>
      <c r="I64" s="51">
        <v>224.1</v>
      </c>
      <c r="J64" s="51">
        <v>195</v>
      </c>
      <c r="K64" s="51">
        <v>222</v>
      </c>
      <c r="L64" s="51">
        <v>219</v>
      </c>
      <c r="M64" s="51">
        <v>220.6</v>
      </c>
      <c r="N64" s="51">
        <v>226.6</v>
      </c>
      <c r="O64" s="51">
        <v>257.60000000000002</v>
      </c>
      <c r="P64" s="51">
        <v>263.10000000000002</v>
      </c>
      <c r="Q64" s="51">
        <v>263.3</v>
      </c>
      <c r="R64" s="51">
        <v>197.9</v>
      </c>
      <c r="S64" s="51">
        <v>-8</v>
      </c>
      <c r="T64" s="51">
        <v>247.5</v>
      </c>
      <c r="U64" s="51">
        <v>320</v>
      </c>
      <c r="V64" s="51">
        <v>295.89999999999998</v>
      </c>
      <c r="W64" s="51">
        <v>370.3</v>
      </c>
      <c r="X64" s="51">
        <v>346</v>
      </c>
      <c r="Y64" s="51">
        <v>127.7</v>
      </c>
      <c r="Z64" s="51">
        <v>265.7</v>
      </c>
      <c r="AA64" s="51">
        <v>486.4</v>
      </c>
      <c r="AB64" s="51">
        <v>387.6</v>
      </c>
      <c r="AC64" s="51">
        <v>368.4</v>
      </c>
      <c r="AD64" s="51">
        <v>240</v>
      </c>
      <c r="AE64" s="51">
        <v>363.3</v>
      </c>
      <c r="AF64" s="51">
        <v>334</v>
      </c>
      <c r="AG64" s="51">
        <v>273.89999999999998</v>
      </c>
      <c r="AH64" s="51">
        <v>240.5</v>
      </c>
      <c r="AI64" s="51">
        <v>332.2</v>
      </c>
      <c r="AJ64" s="51">
        <v>262.10000000000002</v>
      </c>
      <c r="AK64" s="51">
        <v>251.9</v>
      </c>
      <c r="AL64" s="51">
        <f>+AL63*0.2</f>
        <v>156.80000000000007</v>
      </c>
      <c r="AM64" s="51">
        <f t="shared" ref="AM64:AP64" si="174">+AM63*0.2</f>
        <v>256.65999999999985</v>
      </c>
      <c r="AN64" s="51">
        <f t="shared" si="174"/>
        <v>218.64</v>
      </c>
      <c r="AO64" s="51">
        <f t="shared" si="174"/>
        <v>235.88</v>
      </c>
      <c r="AP64" s="51">
        <f t="shared" si="174"/>
        <v>164.80000000000007</v>
      </c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>
        <v>183.4</v>
      </c>
      <c r="BL64" s="51">
        <v>154.5</v>
      </c>
      <c r="BM64" s="51">
        <v>180.1</v>
      </c>
      <c r="BN64" s="51">
        <v>167.4</v>
      </c>
      <c r="BO64" s="51">
        <v>251.9</v>
      </c>
      <c r="BP64" s="51">
        <v>231.7</v>
      </c>
      <c r="BQ64" s="51">
        <v>258.2</v>
      </c>
      <c r="BR64" s="51">
        <v>352.3</v>
      </c>
      <c r="BS64" s="51">
        <v>143.19999999999999</v>
      </c>
      <c r="BT64" s="51">
        <v>203.7</v>
      </c>
      <c r="BU64" s="51">
        <v>293.2</v>
      </c>
      <c r="BV64" s="51">
        <v>113.8</v>
      </c>
      <c r="BW64" s="51">
        <v>273.8</v>
      </c>
      <c r="BX64" s="51">
        <f>+BX63*0.1</f>
        <v>225.00066450000014</v>
      </c>
      <c r="BY64" s="51">
        <f t="shared" ref="BY64:CD64" si="175">+BY63*0.1</f>
        <v>221.61131218750006</v>
      </c>
      <c r="BZ64" s="51">
        <f t="shared" si="175"/>
        <v>223.43220186718742</v>
      </c>
      <c r="CA64" s="51">
        <f t="shared" si="175"/>
        <v>215.44430740167974</v>
      </c>
      <c r="CB64" s="51">
        <f t="shared" si="175"/>
        <v>220.50725082821393</v>
      </c>
      <c r="CC64" s="51">
        <f t="shared" si="175"/>
        <v>235.10532525841037</v>
      </c>
      <c r="CD64" s="51">
        <f t="shared" si="175"/>
        <v>258.57815684872145</v>
      </c>
      <c r="CE64" s="51"/>
      <c r="CF64" s="51"/>
      <c r="CH64" s="51">
        <v>850</v>
      </c>
      <c r="CI64" s="51">
        <v>779</v>
      </c>
      <c r="CJ64" s="51">
        <v>788</v>
      </c>
      <c r="CK64" s="51">
        <v>866</v>
      </c>
      <c r="CL64" s="51">
        <v>832</v>
      </c>
      <c r="CM64" s="51">
        <v>912</v>
      </c>
      <c r="CN64" s="51">
        <f>CN63*0.22</f>
        <v>1416.1034800000002</v>
      </c>
      <c r="CO64" s="51">
        <f>SUM(S64:V64)</f>
        <v>855.4</v>
      </c>
      <c r="CP64" s="51">
        <f>SUM(W64:Z64)</f>
        <v>1109.7</v>
      </c>
      <c r="CQ64" s="51">
        <f>SUM(AA64:AD64)</f>
        <v>1482.4</v>
      </c>
      <c r="CR64" s="51">
        <f>SUM(AE64:AH64)</f>
        <v>1211.6999999999998</v>
      </c>
      <c r="CS64" s="51">
        <f>SUM(AI64:AL64)</f>
        <v>1003</v>
      </c>
      <c r="CT64" s="51">
        <f t="shared" ref="CT64:CW64" si="176">CT63*0.28</f>
        <v>-1986.8604</v>
      </c>
      <c r="CU64" s="51">
        <f t="shared" si="176"/>
        <v>-1589.4883200000002</v>
      </c>
      <c r="CV64" s="51">
        <f t="shared" si="176"/>
        <v>0</v>
      </c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51"/>
      <c r="DH64" s="51"/>
      <c r="DI64" s="51"/>
      <c r="DJ64" s="51"/>
      <c r="DK64" s="51"/>
    </row>
    <row r="65" spans="2:193" x14ac:dyDescent="0.2">
      <c r="B65" t="s">
        <v>83</v>
      </c>
      <c r="C65" s="51"/>
      <c r="D65" s="51"/>
      <c r="E65" s="51"/>
      <c r="F65" s="51">
        <f t="shared" ref="F65:P65" si="177">F63-F64</f>
        <v>321.90800000000002</v>
      </c>
      <c r="G65" s="51">
        <f t="shared" si="177"/>
        <v>239.83663366336623</v>
      </c>
      <c r="H65" s="51">
        <f t="shared" si="177"/>
        <v>225.90000000000026</v>
      </c>
      <c r="I65" s="51">
        <f t="shared" si="177"/>
        <v>357.43333333333328</v>
      </c>
      <c r="J65" s="51">
        <f t="shared" si="177"/>
        <v>447.30000000000041</v>
      </c>
      <c r="K65" s="51">
        <f t="shared" si="177"/>
        <v>347.20000000000027</v>
      </c>
      <c r="L65" s="51">
        <f t="shared" si="177"/>
        <v>377</v>
      </c>
      <c r="M65" s="51">
        <f t="shared" si="177"/>
        <v>477.00000000000011</v>
      </c>
      <c r="N65" s="51">
        <f t="shared" si="177"/>
        <v>2114.1000000000008</v>
      </c>
      <c r="O65" s="51">
        <f t="shared" si="177"/>
        <v>923.19999999999993</v>
      </c>
      <c r="P65" s="51">
        <f t="shared" si="177"/>
        <v>554.5</v>
      </c>
      <c r="Q65" s="51">
        <f t="shared" ref="Q65:V65" si="178">Q63-Q64</f>
        <v>2308.8999999999987</v>
      </c>
      <c r="R65" s="51">
        <f t="shared" si="178"/>
        <v>2517.7000000000003</v>
      </c>
      <c r="S65" s="51">
        <f t="shared" si="178"/>
        <v>2731.2000000000012</v>
      </c>
      <c r="T65" s="51">
        <f t="shared" si="178"/>
        <v>2635.7999999999988</v>
      </c>
      <c r="U65" s="51">
        <f t="shared" si="178"/>
        <v>2722.0000000000009</v>
      </c>
      <c r="V65" s="51">
        <f t="shared" si="178"/>
        <v>1212.0999999999999</v>
      </c>
      <c r="W65" s="51">
        <f t="shared" ref="W65:AB65" si="179">W63-W64</f>
        <v>1157.9000000000001</v>
      </c>
      <c r="X65" s="51">
        <f t="shared" si="179"/>
        <v>1047.4000000000001</v>
      </c>
      <c r="Y65" s="51">
        <f t="shared" si="179"/>
        <v>1491.6000000000006</v>
      </c>
      <c r="Z65" s="51">
        <f t="shared" si="179"/>
        <v>999.19999999999982</v>
      </c>
      <c r="AA65" s="51">
        <f t="shared" si="179"/>
        <v>1297.5999999999999</v>
      </c>
      <c r="AB65" s="51">
        <f t="shared" si="179"/>
        <v>1357.7999999999997</v>
      </c>
      <c r="AC65" s="51">
        <f t="shared" ref="AC65:AI65" si="180">AC63-AC64</f>
        <v>1340.6999999999998</v>
      </c>
      <c r="AD65" s="51">
        <f t="shared" si="180"/>
        <v>1248.8000000000006</v>
      </c>
      <c r="AE65" s="51">
        <f>AE63-AE64</f>
        <v>1374.9000000000005</v>
      </c>
      <c r="AF65" s="51">
        <f>AF63-AF64</f>
        <v>1329.5999999999985</v>
      </c>
      <c r="AG65" s="51">
        <f>AG63-AG64</f>
        <v>1254</v>
      </c>
      <c r="AH65" s="51">
        <f t="shared" si="180"/>
        <v>969.60000000000059</v>
      </c>
      <c r="AI65" s="51">
        <f t="shared" si="180"/>
        <v>1027.3</v>
      </c>
      <c r="AJ65" s="51">
        <f t="shared" ref="AJ65:AL65" si="181">AJ63-AJ64</f>
        <v>923.39999999999907</v>
      </c>
      <c r="AK65" s="51">
        <f t="shared" si="181"/>
        <v>887.49999999999989</v>
      </c>
      <c r="AL65" s="51">
        <f t="shared" si="181"/>
        <v>627.20000000000016</v>
      </c>
      <c r="AM65" s="51">
        <f t="shared" ref="AM65:AP65" si="182">AM63-AM64</f>
        <v>1026.6399999999994</v>
      </c>
      <c r="AN65" s="51">
        <f t="shared" si="182"/>
        <v>874.55999999999983</v>
      </c>
      <c r="AO65" s="51">
        <f t="shared" si="182"/>
        <v>943.51999999999987</v>
      </c>
      <c r="AP65" s="51">
        <f t="shared" si="182"/>
        <v>659.20000000000016</v>
      </c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>
        <f t="shared" ref="BK65:BW65" si="183">BK63-BK64</f>
        <v>1094.7000000000003</v>
      </c>
      <c r="BL65" s="51">
        <f t="shared" si="183"/>
        <v>1328.9000000000005</v>
      </c>
      <c r="BM65" s="51">
        <f t="shared" si="183"/>
        <v>1295</v>
      </c>
      <c r="BN65" s="51">
        <f t="shared" si="183"/>
        <v>1355.2999999999995</v>
      </c>
      <c r="BO65" s="51">
        <f t="shared" si="183"/>
        <v>1431.4999999999975</v>
      </c>
      <c r="BP65" s="51">
        <f t="shared" si="183"/>
        <v>1228.4999999999986</v>
      </c>
      <c r="BQ65" s="51">
        <f t="shared" si="183"/>
        <v>1164.1999999999989</v>
      </c>
      <c r="BR65" s="51">
        <f t="shared" si="183"/>
        <v>1892.6999999999991</v>
      </c>
      <c r="BS65" s="51">
        <f t="shared" si="183"/>
        <v>1777.5000000000007</v>
      </c>
      <c r="BT65" s="51">
        <f t="shared" si="183"/>
        <v>1698.2999999999972</v>
      </c>
      <c r="BU65" s="51">
        <f t="shared" si="183"/>
        <v>1693.5999999999979</v>
      </c>
      <c r="BV65" s="51">
        <f t="shared" si="183"/>
        <v>2207.1999999999994</v>
      </c>
      <c r="BW65" s="51">
        <f t="shared" si="183"/>
        <v>2538.5</v>
      </c>
      <c r="BX65" s="51">
        <f>+BX63-BX64</f>
        <v>2025.0059805000012</v>
      </c>
      <c r="BY65" s="51">
        <f t="shared" ref="BY65:CD65" si="184">+BY63-BY64</f>
        <v>1994.5018096875006</v>
      </c>
      <c r="BZ65" s="51">
        <f t="shared" si="184"/>
        <v>2010.8898168046867</v>
      </c>
      <c r="CA65" s="51">
        <f t="shared" si="184"/>
        <v>1938.9987666151176</v>
      </c>
      <c r="CB65" s="51">
        <f t="shared" si="184"/>
        <v>1984.5652574539251</v>
      </c>
      <c r="CC65" s="51">
        <f t="shared" si="184"/>
        <v>2115.9479273256934</v>
      </c>
      <c r="CD65" s="51">
        <f t="shared" si="184"/>
        <v>2327.203411638493</v>
      </c>
      <c r="CE65" s="51"/>
      <c r="CF65" s="51"/>
      <c r="CH65" s="51">
        <f t="shared" ref="CH65:CN65" si="185">CH63-CH64</f>
        <v>3101</v>
      </c>
      <c r="CI65" s="51">
        <f t="shared" si="185"/>
        <v>2762</v>
      </c>
      <c r="CJ65" s="51">
        <f t="shared" si="185"/>
        <v>2802</v>
      </c>
      <c r="CK65" s="51">
        <f t="shared" si="185"/>
        <v>3073</v>
      </c>
      <c r="CL65" s="51">
        <f t="shared" si="185"/>
        <v>3134</v>
      </c>
      <c r="CM65" s="51">
        <f t="shared" si="185"/>
        <v>3689.4999999999982</v>
      </c>
      <c r="CN65" s="51">
        <f t="shared" si="185"/>
        <v>5020.730520000001</v>
      </c>
      <c r="CO65" s="51">
        <f>CO63-CO64</f>
        <v>9301.0999999999985</v>
      </c>
      <c r="CP65" s="51">
        <f>CP63-CP64</f>
        <v>4696.0999999999995</v>
      </c>
      <c r="CQ65" s="51">
        <f>CQ63-CQ64</f>
        <v>4062.4999999999959</v>
      </c>
      <c r="CR65" s="51">
        <f>CR63-CR64</f>
        <v>4518.0000000000018</v>
      </c>
      <c r="CS65" s="51">
        <f t="shared" ref="CS65:CV65" si="186">CS63-CS64</f>
        <v>3465.3999999999969</v>
      </c>
      <c r="CT65" s="51">
        <f t="shared" si="186"/>
        <v>-5109.0695999999989</v>
      </c>
      <c r="CU65" s="51">
        <f t="shared" si="186"/>
        <v>-4087.2556799999993</v>
      </c>
      <c r="CV65" s="51">
        <f t="shared" si="186"/>
        <v>0</v>
      </c>
      <c r="CW65" s="51">
        <f>CW63-CW64</f>
        <v>0</v>
      </c>
      <c r="CX65" s="51">
        <f>CX63-CX64</f>
        <v>4447.8000000000029</v>
      </c>
      <c r="CY65" s="51">
        <f t="shared" ref="CY65:DB65" si="187">CY63-CY64</f>
        <v>5784.8999999999978</v>
      </c>
      <c r="CZ65" s="51">
        <f t="shared" si="187"/>
        <v>5789.4000000000051</v>
      </c>
      <c r="DA65" s="51">
        <f t="shared" si="187"/>
        <v>7137.6</v>
      </c>
      <c r="DB65" s="51">
        <f t="shared" si="187"/>
        <v>8332.2999999999993</v>
      </c>
      <c r="DC65" s="51">
        <f>+DC63-DC64</f>
        <v>9475.0417855468786</v>
      </c>
      <c r="DD65" s="51">
        <f t="shared" ref="DD65:DI65" si="188">+DD63-DD64</f>
        <v>9396.3504033702538</v>
      </c>
      <c r="DE65" s="51">
        <f t="shared" si="188"/>
        <v>18476.800939199438</v>
      </c>
      <c r="DF65" s="51">
        <f t="shared" si="188"/>
        <v>21239.369996599671</v>
      </c>
      <c r="DG65" s="51">
        <f t="shared" si="188"/>
        <v>24917.341386288415</v>
      </c>
      <c r="DH65" s="51">
        <f t="shared" si="188"/>
        <v>25793.436952140652</v>
      </c>
      <c r="DI65" s="51">
        <f t="shared" si="188"/>
        <v>25770.836528755735</v>
      </c>
      <c r="DJ65" s="51">
        <f>+DJ63-DJ64</f>
        <v>24755.976405678259</v>
      </c>
      <c r="DK65" s="51">
        <f>+DK63-DK64</f>
        <v>15419.864491763783</v>
      </c>
      <c r="DL65" s="54">
        <f>+DK65*(1+$DM$80)</f>
        <v>15265.665846846145</v>
      </c>
      <c r="DM65" s="54">
        <f t="shared" ref="DM65:FX65" si="189">+DL65*(1+$DM$80)</f>
        <v>15113.009188377682</v>
      </c>
      <c r="DN65" s="54">
        <f t="shared" si="189"/>
        <v>14961.879096493905</v>
      </c>
      <c r="DO65" s="54">
        <f t="shared" si="189"/>
        <v>14812.260305528966</v>
      </c>
      <c r="DP65" s="54">
        <f t="shared" si="189"/>
        <v>14664.137702473676</v>
      </c>
      <c r="DQ65" s="54">
        <f t="shared" si="189"/>
        <v>14517.496325448939</v>
      </c>
      <c r="DR65" s="54">
        <f t="shared" si="189"/>
        <v>14372.321362194451</v>
      </c>
      <c r="DS65" s="54">
        <f t="shared" si="189"/>
        <v>14228.598148572506</v>
      </c>
      <c r="DT65" s="54">
        <f t="shared" si="189"/>
        <v>14086.31216708678</v>
      </c>
      <c r="DU65" s="54">
        <f t="shared" si="189"/>
        <v>13945.449045415913</v>
      </c>
      <c r="DV65" s="54">
        <f t="shared" si="189"/>
        <v>13805.994554961753</v>
      </c>
      <c r="DW65" s="54">
        <f t="shared" si="189"/>
        <v>13667.934609412136</v>
      </c>
      <c r="DX65" s="54">
        <f t="shared" si="189"/>
        <v>13531.255263318015</v>
      </c>
      <c r="DY65" s="54">
        <f t="shared" si="189"/>
        <v>13395.942710684834</v>
      </c>
      <c r="DZ65" s="54">
        <f t="shared" si="189"/>
        <v>13261.983283577985</v>
      </c>
      <c r="EA65" s="54">
        <f t="shared" si="189"/>
        <v>13129.363450742205</v>
      </c>
      <c r="EB65" s="54">
        <f t="shared" si="189"/>
        <v>12998.069816234784</v>
      </c>
      <c r="EC65" s="54">
        <f t="shared" si="189"/>
        <v>12868.089118072436</v>
      </c>
      <c r="ED65" s="54">
        <f t="shared" si="189"/>
        <v>12739.408226891712</v>
      </c>
      <c r="EE65" s="54">
        <f t="shared" si="189"/>
        <v>12612.014144622795</v>
      </c>
      <c r="EF65" s="54">
        <f t="shared" si="189"/>
        <v>12485.894003176567</v>
      </c>
      <c r="EG65" s="54">
        <f t="shared" si="189"/>
        <v>12361.035063144802</v>
      </c>
      <c r="EH65" s="54">
        <f t="shared" si="189"/>
        <v>12237.424712513353</v>
      </c>
      <c r="EI65" s="54">
        <f t="shared" si="189"/>
        <v>12115.05046538822</v>
      </c>
      <c r="EJ65" s="54">
        <f t="shared" si="189"/>
        <v>11993.899960734338</v>
      </c>
      <c r="EK65" s="54">
        <f t="shared" si="189"/>
        <v>11873.960961126993</v>
      </c>
      <c r="EL65" s="54">
        <f t="shared" si="189"/>
        <v>11755.221351515724</v>
      </c>
      <c r="EM65" s="54">
        <f t="shared" si="189"/>
        <v>11637.669138000567</v>
      </c>
      <c r="EN65" s="54">
        <f t="shared" si="189"/>
        <v>11521.29244662056</v>
      </c>
      <c r="EO65" s="54">
        <f t="shared" si="189"/>
        <v>11406.079522154354</v>
      </c>
      <c r="EP65" s="54">
        <f t="shared" si="189"/>
        <v>11292.018726932811</v>
      </c>
      <c r="EQ65" s="54">
        <f t="shared" si="189"/>
        <v>11179.098539663482</v>
      </c>
      <c r="ER65" s="54">
        <f t="shared" si="189"/>
        <v>11067.307554266847</v>
      </c>
      <c r="ES65" s="54">
        <f t="shared" si="189"/>
        <v>10956.634478724178</v>
      </c>
      <c r="ET65" s="54">
        <f t="shared" si="189"/>
        <v>10847.068133936937</v>
      </c>
      <c r="EU65" s="54">
        <f t="shared" si="189"/>
        <v>10738.597452597567</v>
      </c>
      <c r="EV65" s="54">
        <f t="shared" si="189"/>
        <v>10631.211478071591</v>
      </c>
      <c r="EW65" s="54">
        <f t="shared" si="189"/>
        <v>10524.899363290875</v>
      </c>
      <c r="EX65" s="54">
        <f t="shared" si="189"/>
        <v>10419.650369657966</v>
      </c>
      <c r="EY65" s="54">
        <f t="shared" si="189"/>
        <v>10315.453865961386</v>
      </c>
      <c r="EZ65" s="54">
        <f t="shared" si="189"/>
        <v>10212.299327301773</v>
      </c>
      <c r="FA65" s="54">
        <f t="shared" si="189"/>
        <v>10110.176334028754</v>
      </c>
      <c r="FB65" s="54">
        <f t="shared" si="189"/>
        <v>10009.074570688466</v>
      </c>
      <c r="FC65" s="54">
        <f t="shared" si="189"/>
        <v>9908.9838249815821</v>
      </c>
      <c r="FD65" s="54">
        <f t="shared" si="189"/>
        <v>9809.8939867317658</v>
      </c>
      <c r="FE65" s="54">
        <f t="shared" si="189"/>
        <v>9711.7950468644485</v>
      </c>
      <c r="FF65" s="54">
        <f t="shared" si="189"/>
        <v>9614.6770963958043</v>
      </c>
      <c r="FG65" s="54">
        <f t="shared" si="189"/>
        <v>9518.530325431846</v>
      </c>
      <c r="FH65" s="54">
        <f t="shared" si="189"/>
        <v>9423.3450221775274</v>
      </c>
      <c r="FI65" s="54">
        <f t="shared" si="189"/>
        <v>9329.1115719557529</v>
      </c>
      <c r="FJ65" s="54">
        <f t="shared" si="189"/>
        <v>9235.8204562361952</v>
      </c>
      <c r="FK65" s="54">
        <f t="shared" si="189"/>
        <v>9143.4622516738327</v>
      </c>
      <c r="FL65" s="54">
        <f t="shared" si="189"/>
        <v>9052.0276291570935</v>
      </c>
      <c r="FM65" s="54">
        <f t="shared" si="189"/>
        <v>8961.507352865523</v>
      </c>
      <c r="FN65" s="54">
        <f t="shared" si="189"/>
        <v>8871.8922793368674</v>
      </c>
      <c r="FO65" s="54">
        <f t="shared" si="189"/>
        <v>8783.1733565434988</v>
      </c>
      <c r="FP65" s="54">
        <f t="shared" si="189"/>
        <v>8695.3416229780632</v>
      </c>
      <c r="FQ65" s="54">
        <f t="shared" si="189"/>
        <v>8608.3882067482828</v>
      </c>
      <c r="FR65" s="54">
        <f t="shared" si="189"/>
        <v>8522.3043246807993</v>
      </c>
      <c r="FS65" s="54">
        <f t="shared" si="189"/>
        <v>8437.0812814339915</v>
      </c>
      <c r="FT65" s="54">
        <f t="shared" si="189"/>
        <v>8352.7104686196508</v>
      </c>
      <c r="FU65" s="54">
        <f t="shared" si="189"/>
        <v>8269.1833639334545</v>
      </c>
      <c r="FV65" s="54">
        <f t="shared" si="189"/>
        <v>8186.4915302941199</v>
      </c>
      <c r="FW65" s="54">
        <f t="shared" si="189"/>
        <v>8104.6266149911789</v>
      </c>
      <c r="FX65" s="54">
        <f t="shared" si="189"/>
        <v>8023.5803488412666</v>
      </c>
      <c r="FY65" s="54">
        <f t="shared" ref="FY65:GK65" si="190">+FX65*(1+$DM$80)</f>
        <v>7943.3445453528539</v>
      </c>
      <c r="FZ65" s="54">
        <f t="shared" si="190"/>
        <v>7863.9110998993256</v>
      </c>
      <c r="GA65" s="54">
        <f t="shared" si="190"/>
        <v>7785.271988900332</v>
      </c>
      <c r="GB65" s="54">
        <f t="shared" si="190"/>
        <v>7707.4192690113287</v>
      </c>
      <c r="GC65" s="54">
        <f t="shared" si="190"/>
        <v>7630.3450763212149</v>
      </c>
      <c r="GD65" s="54">
        <f t="shared" si="190"/>
        <v>7554.041625558003</v>
      </c>
      <c r="GE65" s="54">
        <f t="shared" si="190"/>
        <v>7478.5012093024234</v>
      </c>
      <c r="GF65" s="54">
        <f t="shared" si="190"/>
        <v>7403.7161972093991</v>
      </c>
      <c r="GG65" s="54">
        <f t="shared" si="190"/>
        <v>7329.6790352373046</v>
      </c>
      <c r="GH65" s="54">
        <f t="shared" si="190"/>
        <v>7256.3822448849314</v>
      </c>
      <c r="GI65" s="54">
        <f t="shared" si="190"/>
        <v>7183.8184224360821</v>
      </c>
      <c r="GJ65" s="54">
        <f t="shared" si="190"/>
        <v>7111.9802382117214</v>
      </c>
      <c r="GK65" s="54">
        <f t="shared" si="190"/>
        <v>7040.8604358296043</v>
      </c>
    </row>
    <row r="66" spans="2:193" s="58" customFormat="1" x14ac:dyDescent="0.2">
      <c r="B66" s="58" t="s">
        <v>56</v>
      </c>
      <c r="C66" s="59"/>
      <c r="D66" s="59"/>
      <c r="E66" s="59"/>
      <c r="F66" s="59">
        <f t="shared" ref="F66:O66" si="191">F65/F67</f>
        <v>0.29554535438854207</v>
      </c>
      <c r="G66" s="59">
        <f t="shared" si="191"/>
        <v>0.22023565992962923</v>
      </c>
      <c r="H66" s="59">
        <f t="shared" si="191"/>
        <v>0.20724770642201859</v>
      </c>
      <c r="I66" s="59">
        <f t="shared" si="191"/>
        <v>0.32761992056217532</v>
      </c>
      <c r="J66" s="59">
        <f t="shared" si="191"/>
        <v>0.40905349794238721</v>
      </c>
      <c r="K66" s="59">
        <f t="shared" si="191"/>
        <v>0.31941122355105822</v>
      </c>
      <c r="L66" s="59">
        <f t="shared" si="191"/>
        <v>0.34736939095181057</v>
      </c>
      <c r="M66" s="59">
        <f t="shared" si="191"/>
        <v>0.43905995147329013</v>
      </c>
      <c r="N66" s="59">
        <f t="shared" si="191"/>
        <v>1.9411494109340131</v>
      </c>
      <c r="O66" s="59">
        <f t="shared" si="191"/>
        <v>0.84706650921799576</v>
      </c>
      <c r="P66" s="59">
        <f t="shared" ref="P66:V66" si="192">P65/P67</f>
        <v>0.50877207469820052</v>
      </c>
      <c r="Q66" s="59">
        <f t="shared" si="192"/>
        <v>2.117813888471034</v>
      </c>
      <c r="R66" s="59">
        <f t="shared" si="192"/>
        <v>2.3042440483381479</v>
      </c>
      <c r="S66" s="59">
        <f t="shared" si="192"/>
        <v>2.4963987218204564</v>
      </c>
      <c r="T66" s="59">
        <f t="shared" si="192"/>
        <v>2.4096936275406082</v>
      </c>
      <c r="U66" s="59">
        <f t="shared" si="192"/>
        <v>2.4881693125175399</v>
      </c>
      <c r="V66" s="59">
        <f t="shared" si="192"/>
        <v>1.1054354299305693</v>
      </c>
      <c r="W66" s="59">
        <f t="shared" ref="W66:AB66" si="193">W65/W67</f>
        <v>1.0552687795737732</v>
      </c>
      <c r="X66" s="59">
        <f t="shared" si="193"/>
        <v>0.95460042854031091</v>
      </c>
      <c r="Y66" s="59">
        <f t="shared" si="193"/>
        <v>1.3588746375286636</v>
      </c>
      <c r="Z66" s="59">
        <f t="shared" si="193"/>
        <v>0.90717029507547786</v>
      </c>
      <c r="AA66" s="59">
        <f t="shared" si="193"/>
        <v>1.1759950553105565</v>
      </c>
      <c r="AB66" s="59">
        <f t="shared" si="193"/>
        <v>1.2301063501137424</v>
      </c>
      <c r="AC66" s="59">
        <f>AC65/AC67</f>
        <v>1.2130858000104956</v>
      </c>
      <c r="AD66" s="59">
        <f>AD65/AD67</f>
        <v>1.1256930791689996</v>
      </c>
      <c r="AE66" s="59">
        <f>+AE65/AE67</f>
        <v>1.236420863309353</v>
      </c>
      <c r="AF66" s="59">
        <f t="shared" ref="AF66:AL66" si="194">AF65/AF67</f>
        <v>1.1491789109766626</v>
      </c>
      <c r="AG66" s="59">
        <f t="shared" si="194"/>
        <v>1.125833938596263</v>
      </c>
      <c r="AH66" s="59">
        <f t="shared" si="194"/>
        <v>0.86959641255605435</v>
      </c>
      <c r="AI66" s="59">
        <f t="shared" si="194"/>
        <v>0.91970961062075252</v>
      </c>
      <c r="AJ66" s="59">
        <f t="shared" si="194"/>
        <v>0.82593917710196696</v>
      </c>
      <c r="AK66" s="59">
        <f t="shared" si="194"/>
        <v>0.79266479166089832</v>
      </c>
      <c r="AL66" s="59">
        <f t="shared" si="194"/>
        <v>0.56017955755460913</v>
      </c>
      <c r="AM66" s="59">
        <f t="shared" ref="AM66:AP66" si="195">AM65/AM67</f>
        <v>0.91693676812478231</v>
      </c>
      <c r="AN66" s="59">
        <f t="shared" si="195"/>
        <v>0.78110751571262549</v>
      </c>
      <c r="AO66" s="59">
        <f t="shared" si="195"/>
        <v>0.8426986864539614</v>
      </c>
      <c r="AP66" s="59">
        <f t="shared" si="195"/>
        <v>0.58876014722576264</v>
      </c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59"/>
      <c r="BK66" s="59">
        <f t="shared" ref="BK66:CD66" si="196">BK65/BK67</f>
        <v>1.1124988694117184</v>
      </c>
      <c r="BL66" s="59">
        <f t="shared" si="196"/>
        <v>1.4372235380638747</v>
      </c>
      <c r="BM66" s="59">
        <f t="shared" si="196"/>
        <v>1.4099780718468209</v>
      </c>
      <c r="BN66" s="59">
        <f t="shared" si="196"/>
        <v>1.481723622958024</v>
      </c>
      <c r="BO66" s="59">
        <f t="shared" si="196"/>
        <v>1.5701212991368967</v>
      </c>
      <c r="BP66" s="59">
        <f t="shared" si="196"/>
        <v>1.3486809603794077</v>
      </c>
      <c r="BQ66" s="59">
        <f t="shared" si="196"/>
        <v>1.2773432314084667</v>
      </c>
      <c r="BR66" s="59">
        <f t="shared" si="196"/>
        <v>2.0739849505419174</v>
      </c>
      <c r="BS66" s="59">
        <f t="shared" si="196"/>
        <v>1.9481587023235432</v>
      </c>
      <c r="BT66" s="59">
        <f t="shared" si="196"/>
        <v>1.8654765461607379</v>
      </c>
      <c r="BU66" s="59">
        <f t="shared" si="196"/>
        <v>1.8595642497235774</v>
      </c>
      <c r="BV66" s="59">
        <f t="shared" si="196"/>
        <v>2.4266811792579883</v>
      </c>
      <c r="BW66" s="59">
        <f t="shared" si="196"/>
        <v>2.8006398940864963</v>
      </c>
      <c r="BX66" s="59">
        <f t="shared" si="196"/>
        <v>2.2341195724845555</v>
      </c>
      <c r="BY66" s="59">
        <f t="shared" si="196"/>
        <v>2.2004653681459625</v>
      </c>
      <c r="BZ66" s="59">
        <f t="shared" si="196"/>
        <v>2.2185456937386219</v>
      </c>
      <c r="CA66" s="59">
        <f t="shared" si="196"/>
        <v>2.1392307663450105</v>
      </c>
      <c r="CB66" s="59">
        <f t="shared" si="196"/>
        <v>2.1895027112245424</v>
      </c>
      <c r="CC66" s="59">
        <f t="shared" si="196"/>
        <v>2.3344527000504121</v>
      </c>
      <c r="CD66" s="59">
        <f t="shared" si="196"/>
        <v>2.5675236227256102</v>
      </c>
      <c r="CE66" s="59"/>
      <c r="CF66" s="59"/>
      <c r="CH66" s="59">
        <f t="shared" ref="CH66:CM66" si="197">CH65/CH67</f>
        <v>2.842346471127406</v>
      </c>
      <c r="CI66" s="59">
        <f t="shared" si="197"/>
        <v>2.5456221198156683</v>
      </c>
      <c r="CJ66" s="59">
        <f t="shared" si="197"/>
        <v>2.5920444033302497</v>
      </c>
      <c r="CK66" s="59">
        <f t="shared" si="197"/>
        <v>2.8218549127640036</v>
      </c>
      <c r="CL66" s="59">
        <f t="shared" si="197"/>
        <v>2.8752293577981654</v>
      </c>
      <c r="CM66" s="59">
        <f t="shared" si="197"/>
        <v>3.3973296500920793</v>
      </c>
      <c r="CN66" s="59">
        <f>CN65/CN67</f>
        <v>4.6034064101817682</v>
      </c>
      <c r="CO66" s="59">
        <f>CO65/CO67</f>
        <v>8.4973446654406342</v>
      </c>
      <c r="CP66" s="59">
        <f>CP65/CP67</f>
        <v>4.275411286763509</v>
      </c>
      <c r="CQ66" s="59">
        <f>CQ65/CQ67</f>
        <v>3.6749972635404955</v>
      </c>
      <c r="CR66" s="59">
        <f>CR65/CR67</f>
        <v>4.0179277124291426</v>
      </c>
      <c r="CS66" s="59">
        <f t="shared" ref="CS66:CX66" si="198">CS65/CS67</f>
        <v>3.0980730913345513</v>
      </c>
      <c r="CT66" s="59">
        <f t="shared" si="198"/>
        <v>-4.5675163183226726</v>
      </c>
      <c r="CU66" s="59">
        <f t="shared" si="198"/>
        <v>-3.6540130546581384</v>
      </c>
      <c r="CV66" s="59">
        <f t="shared" si="198"/>
        <v>0</v>
      </c>
      <c r="CW66" s="59">
        <f t="shared" si="198"/>
        <v>0</v>
      </c>
      <c r="CX66" s="59">
        <f t="shared" si="198"/>
        <v>4.2278543339831955</v>
      </c>
      <c r="CY66" s="59">
        <f t="shared" ref="CY66:DK66" si="199">CY65/CY67</f>
        <v>5.5964832001021589</v>
      </c>
      <c r="CZ66" s="59">
        <f t="shared" si="199"/>
        <v>6.1873453003364443</v>
      </c>
      <c r="DA66" s="59" t="e">
        <f t="shared" si="199"/>
        <v>#DIV/0!</v>
      </c>
      <c r="DB66" s="59">
        <f t="shared" si="199"/>
        <v>9.1486073635293117</v>
      </c>
      <c r="DC66" s="59">
        <f t="shared" si="199"/>
        <v>10.453488289438305</v>
      </c>
      <c r="DD66" s="59">
        <f t="shared" si="199"/>
        <v>10.36667078924344</v>
      </c>
      <c r="DE66" s="59">
        <f t="shared" si="199"/>
        <v>20.384820100617208</v>
      </c>
      <c r="DF66" s="59">
        <f t="shared" si="199"/>
        <v>23.432667692629824</v>
      </c>
      <c r="DG66" s="59">
        <f t="shared" si="199"/>
        <v>27.490447248773627</v>
      </c>
      <c r="DH66" s="59">
        <f t="shared" si="199"/>
        <v>28.457013407039554</v>
      </c>
      <c r="DI66" s="59">
        <f t="shared" si="199"/>
        <v>28.432079135873494</v>
      </c>
      <c r="DJ66" s="59">
        <f t="shared" si="199"/>
        <v>27.312418805911584</v>
      </c>
      <c r="DK66" s="59">
        <f t="shared" si="199"/>
        <v>17.012207073878844</v>
      </c>
    </row>
    <row r="67" spans="2:193" x14ac:dyDescent="0.2">
      <c r="B67" t="s">
        <v>84</v>
      </c>
      <c r="C67" s="51"/>
      <c r="D67" s="51"/>
      <c r="E67" s="51"/>
      <c r="F67" s="51">
        <v>1089.2</v>
      </c>
      <c r="G67" s="51">
        <v>1089</v>
      </c>
      <c r="H67" s="51">
        <v>1090</v>
      </c>
      <c r="I67" s="51">
        <v>1091</v>
      </c>
      <c r="J67" s="51">
        <v>1093.5</v>
      </c>
      <c r="K67" s="51">
        <v>1087</v>
      </c>
      <c r="L67" s="51">
        <v>1085.3</v>
      </c>
      <c r="M67" s="51">
        <v>1086.412</v>
      </c>
      <c r="N67" s="51">
        <v>1089.097</v>
      </c>
      <c r="O67" s="51">
        <v>1089.8789999999999</v>
      </c>
      <c r="P67" s="51">
        <f>O67</f>
        <v>1089.8789999999999</v>
      </c>
      <c r="Q67" s="51">
        <v>1090.2280000000001</v>
      </c>
      <c r="R67" s="51">
        <v>1092.636</v>
      </c>
      <c r="S67" s="51">
        <v>1094.056</v>
      </c>
      <c r="T67" s="51">
        <v>1093.8320000000001</v>
      </c>
      <c r="U67" s="51">
        <v>1093.9770000000001</v>
      </c>
      <c r="V67" s="51">
        <v>1096.491</v>
      </c>
      <c r="W67" s="51">
        <v>1097.2560000000001</v>
      </c>
      <c r="X67" s="51">
        <v>1097.213</v>
      </c>
      <c r="Y67" s="51">
        <v>1097.673</v>
      </c>
      <c r="Z67" s="51">
        <v>1101.4469999999999</v>
      </c>
      <c r="AA67" s="51">
        <v>1103.4059999999999</v>
      </c>
      <c r="AB67" s="51">
        <v>1103.807</v>
      </c>
      <c r="AC67" s="51">
        <v>1105.1980000000001</v>
      </c>
      <c r="AD67" s="51">
        <v>1109.3610000000001</v>
      </c>
      <c r="AE67" s="51">
        <v>1112</v>
      </c>
      <c r="AF67" s="51">
        <v>1157</v>
      </c>
      <c r="AG67" s="51">
        <v>1113.8409999999999</v>
      </c>
      <c r="AH67" s="51">
        <v>1115</v>
      </c>
      <c r="AI67" s="51">
        <v>1116.9829999999999</v>
      </c>
      <c r="AJ67" s="51">
        <v>1118</v>
      </c>
      <c r="AK67" s="51">
        <v>1119.6410000000001</v>
      </c>
      <c r="AL67" s="51">
        <f>+AK67</f>
        <v>1119.6410000000001</v>
      </c>
      <c r="AM67" s="51">
        <f t="shared" ref="AM67:AP67" si="200">+AL67</f>
        <v>1119.6410000000001</v>
      </c>
      <c r="AN67" s="51">
        <f t="shared" si="200"/>
        <v>1119.6410000000001</v>
      </c>
      <c r="AO67" s="51">
        <f t="shared" si="200"/>
        <v>1119.6410000000001</v>
      </c>
      <c r="AP67" s="51">
        <f t="shared" si="200"/>
        <v>1119.6410000000001</v>
      </c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>
        <v>984.00099999999998</v>
      </c>
      <c r="BL67" s="51">
        <v>924.63</v>
      </c>
      <c r="BM67" s="51">
        <v>918.45399999999995</v>
      </c>
      <c r="BN67" s="51">
        <v>914.678</v>
      </c>
      <c r="BO67" s="51">
        <v>911.71299999999997</v>
      </c>
      <c r="BP67" s="51">
        <v>910.89</v>
      </c>
      <c r="BQ67" s="51">
        <v>911.423</v>
      </c>
      <c r="BR67" s="51">
        <v>912.59100000000001</v>
      </c>
      <c r="BS67" s="51">
        <v>912.4</v>
      </c>
      <c r="BT67" s="51">
        <v>910.38400000000001</v>
      </c>
      <c r="BU67" s="51">
        <v>910.75099999999998</v>
      </c>
      <c r="BV67" s="51">
        <v>909.55499999999995</v>
      </c>
      <c r="BW67" s="51">
        <v>906.4</v>
      </c>
      <c r="BX67" s="51">
        <f>+BW67</f>
        <v>906.4</v>
      </c>
      <c r="BY67" s="51">
        <f t="shared" ref="BY67:CD67" si="201">+BX67</f>
        <v>906.4</v>
      </c>
      <c r="BZ67" s="51">
        <f t="shared" si="201"/>
        <v>906.4</v>
      </c>
      <c r="CA67" s="51">
        <f t="shared" si="201"/>
        <v>906.4</v>
      </c>
      <c r="CB67" s="51">
        <f t="shared" si="201"/>
        <v>906.4</v>
      </c>
      <c r="CC67" s="51">
        <f t="shared" si="201"/>
        <v>906.4</v>
      </c>
      <c r="CD67" s="51">
        <f t="shared" si="201"/>
        <v>906.4</v>
      </c>
      <c r="CE67" s="51"/>
      <c r="CF67" s="51"/>
      <c r="CH67" s="51">
        <v>1091</v>
      </c>
      <c r="CI67" s="51">
        <v>1085</v>
      </c>
      <c r="CJ67" s="51">
        <v>1081</v>
      </c>
      <c r="CK67" s="51">
        <v>1089</v>
      </c>
      <c r="CL67" s="51">
        <v>1090</v>
      </c>
      <c r="CM67" s="51">
        <v>1086</v>
      </c>
      <c r="CN67" s="51">
        <f>AVERAGE(O67:R67)</f>
        <v>1090.6554999999998</v>
      </c>
      <c r="CO67" s="51">
        <f>AVERAGE(S67:V67)</f>
        <v>1094.5889999999999</v>
      </c>
      <c r="CP67" s="51">
        <f>AVERAGE(W67:Z67)</f>
        <v>1098.39725</v>
      </c>
      <c r="CQ67" s="51">
        <f>AVERAGE(AA67:AD67)</f>
        <v>1105.443</v>
      </c>
      <c r="CR67" s="51">
        <f>AVERAGE(AE67:AH67)</f>
        <v>1124.4602500000001</v>
      </c>
      <c r="CS67" s="51">
        <f>AVERAGE(AI67:AL67)</f>
        <v>1118.5662500000001</v>
      </c>
      <c r="CT67" s="51">
        <f t="shared" ref="CT67:CX67" si="202">CS67</f>
        <v>1118.5662500000001</v>
      </c>
      <c r="CU67" s="51">
        <f t="shared" si="202"/>
        <v>1118.5662500000001</v>
      </c>
      <c r="CV67" s="51">
        <f t="shared" si="202"/>
        <v>1118.5662500000001</v>
      </c>
      <c r="CW67" s="51">
        <f t="shared" si="202"/>
        <v>1118.5662500000001</v>
      </c>
      <c r="CX67" s="51">
        <v>1052.0229999999999</v>
      </c>
      <c r="CY67" s="51">
        <v>1033.6669999999999</v>
      </c>
      <c r="CZ67" s="51">
        <v>935.68399999999997</v>
      </c>
      <c r="DA67" s="51"/>
      <c r="DB67" s="51">
        <f>AVERAGE(BS67:BV67)</f>
        <v>910.77249999999992</v>
      </c>
      <c r="DC67" s="49">
        <f>AVERAGE(BW67:BZ67)</f>
        <v>906.4</v>
      </c>
      <c r="DD67" s="49">
        <f>AVERAGE(CA67:CD67)</f>
        <v>906.4</v>
      </c>
      <c r="DE67" s="49">
        <f>+DD67</f>
        <v>906.4</v>
      </c>
      <c r="DF67" s="49">
        <f t="shared" ref="DF67:DK67" si="203">+DE67</f>
        <v>906.4</v>
      </c>
      <c r="DG67" s="49">
        <f t="shared" si="203"/>
        <v>906.4</v>
      </c>
      <c r="DH67" s="49">
        <f t="shared" si="203"/>
        <v>906.4</v>
      </c>
      <c r="DI67" s="49">
        <f t="shared" si="203"/>
        <v>906.4</v>
      </c>
      <c r="DJ67" s="49">
        <f t="shared" si="203"/>
        <v>906.4</v>
      </c>
      <c r="DK67" s="49">
        <f t="shared" si="203"/>
        <v>906.4</v>
      </c>
    </row>
    <row r="68" spans="2:193" x14ac:dyDescent="0.2">
      <c r="M68" s="51"/>
    </row>
    <row r="69" spans="2:193" s="55" customFormat="1" x14ac:dyDescent="0.2">
      <c r="B69" s="55" t="s">
        <v>384</v>
      </c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1">
        <f t="shared" ref="T69:AL69" si="204">T55/P55-1</f>
        <v>0.59843101721588976</v>
      </c>
      <c r="U69" s="61">
        <f t="shared" si="204"/>
        <v>0.15215364534775344</v>
      </c>
      <c r="V69" s="61">
        <f t="shared" si="204"/>
        <v>-0.21831165519000262</v>
      </c>
      <c r="W69" s="61">
        <f t="shared" si="204"/>
        <v>-0.21628376429876006</v>
      </c>
      <c r="X69" s="61">
        <f t="shared" si="204"/>
        <v>-0.23718952785858127</v>
      </c>
      <c r="Y69" s="61">
        <f t="shared" si="204"/>
        <v>-0.18168576851211593</v>
      </c>
      <c r="Z69" s="61">
        <f t="shared" si="204"/>
        <v>0.13885423663755869</v>
      </c>
      <c r="AA69" s="61">
        <f t="shared" si="204"/>
        <v>0.12136636820802149</v>
      </c>
      <c r="AB69" s="61">
        <f t="shared" si="204"/>
        <v>0.12422020142759349</v>
      </c>
      <c r="AC69" s="61">
        <f t="shared" si="204"/>
        <v>1.6684645810859378E-2</v>
      </c>
      <c r="AD69" s="61">
        <f t="shared" si="204"/>
        <v>4.2669362992922233E-2</v>
      </c>
      <c r="AE69" s="61">
        <f t="shared" si="204"/>
        <v>6.4479081214109835E-2</v>
      </c>
      <c r="AF69" s="61">
        <f t="shared" si="204"/>
        <v>8.768939064484127E-2</v>
      </c>
      <c r="AG69" s="61">
        <f t="shared" si="204"/>
        <v>8.7235622833698789E-2</v>
      </c>
      <c r="AH69" s="61">
        <f t="shared" si="204"/>
        <v>-2.2611197310576814E-2</v>
      </c>
      <c r="AI69" s="61">
        <f t="shared" si="204"/>
        <v>-4.0553500479517668E-2</v>
      </c>
      <c r="AJ69" s="61">
        <f t="shared" si="204"/>
        <v>-0.10432126407369491</v>
      </c>
      <c r="AK69" s="61">
        <f t="shared" si="204"/>
        <v>-0.11476716383923491</v>
      </c>
      <c r="AL69" s="61">
        <f t="shared" si="204"/>
        <v>-0.11180196120582742</v>
      </c>
      <c r="AM69" s="61">
        <f t="shared" ref="AM69:AP69" si="205">AM55/AI55-1</f>
        <v>-1.3601313722690356E-2</v>
      </c>
      <c r="AN69" s="61">
        <f t="shared" si="205"/>
        <v>-1.6480671368627631E-2</v>
      </c>
      <c r="AO69" s="61">
        <f t="shared" si="205"/>
        <v>7.3495636196601044E-3</v>
      </c>
      <c r="AP69" s="61">
        <f t="shared" si="205"/>
        <v>7.4471254095918038E-3</v>
      </c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>
        <f t="shared" ref="BO69:BW69" si="206">BO55/BK55-1</f>
        <v>0.15076294652500866</v>
      </c>
      <c r="BP69" s="61">
        <f t="shared" si="206"/>
        <v>-2.4358223783419675E-2</v>
      </c>
      <c r="BQ69" s="61">
        <f t="shared" si="206"/>
        <v>4.8166812737364673E-2</v>
      </c>
      <c r="BR69" s="61">
        <f t="shared" si="206"/>
        <v>0.21683594197209821</v>
      </c>
      <c r="BS69" s="61">
        <f t="shared" si="206"/>
        <v>0.16140482610328055</v>
      </c>
      <c r="BT69" s="61">
        <f t="shared" si="206"/>
        <v>0.22558824599047145</v>
      </c>
      <c r="BU69" s="61">
        <f t="shared" si="206"/>
        <v>0.17984182838030871</v>
      </c>
      <c r="BV69" s="61">
        <f t="shared" si="206"/>
        <v>7.5240924181126712E-2</v>
      </c>
      <c r="BW69" s="61">
        <f t="shared" si="206"/>
        <v>0.14759903608792757</v>
      </c>
      <c r="BX69" s="61">
        <f t="shared" ref="BX69" si="207">BX55/BT55-1</f>
        <v>5.3319807121662288E-2</v>
      </c>
      <c r="BY69" s="61">
        <f t="shared" ref="BY69" si="208">BY55/BU55-1</f>
        <v>2.8453095009597362E-2</v>
      </c>
      <c r="BZ69" s="61">
        <f t="shared" ref="BZ69" si="209">BZ55/BV55-1</f>
        <v>-8.4526211851085664E-2</v>
      </c>
      <c r="CA69" s="61">
        <f t="shared" ref="CA69" si="210">CA55/BW55-1</f>
        <v>-0.13736447498171434</v>
      </c>
      <c r="CB69" s="61">
        <f t="shared" ref="CB69" si="211">CB55/BX55-1</f>
        <v>-8.0117827368397787E-3</v>
      </c>
      <c r="CC69" s="61">
        <f t="shared" ref="CC69" si="212">CC55/BY55-1</f>
        <v>2.4521581155387162E-2</v>
      </c>
      <c r="CD69" s="61">
        <f t="shared" ref="CD69" si="213">CD55/BZ55-1</f>
        <v>6.0746013839084956E-2</v>
      </c>
      <c r="CE69" s="61"/>
      <c r="CF69" s="61"/>
      <c r="CG69" s="61"/>
      <c r="CH69" s="60"/>
      <c r="CI69" s="60"/>
      <c r="CJ69" s="60"/>
      <c r="CK69" s="60"/>
      <c r="CL69" s="62">
        <f t="shared" ref="CL69:CX69" si="214">CL55/CK55-1</f>
        <v>5.7074825023450515E-2</v>
      </c>
      <c r="CM69" s="62">
        <f t="shared" si="214"/>
        <v>7.7372013651876959E-2</v>
      </c>
      <c r="CN69" s="62">
        <f t="shared" si="214"/>
        <v>0.17162226375645462</v>
      </c>
      <c r="CO69" s="62">
        <f t="shared" si="214"/>
        <v>6.0167880685474406E-2</v>
      </c>
      <c r="CP69" s="62">
        <f t="shared" si="214"/>
        <v>6.985394754409513E-2</v>
      </c>
      <c r="CQ69" s="62">
        <f t="shared" si="214"/>
        <v>4.383313819191037E-2</v>
      </c>
      <c r="CR69" s="62">
        <f t="shared" si="214"/>
        <v>9.0596424558550881E-2</v>
      </c>
      <c r="CS69" s="62">
        <f t="shared" si="214"/>
        <v>-7.7927571375323024E-2</v>
      </c>
      <c r="CT69" s="62">
        <f t="shared" si="214"/>
        <v>-1.0816293160615165E-2</v>
      </c>
      <c r="CU69" s="62">
        <f t="shared" si="214"/>
        <v>-0.17066237597494249</v>
      </c>
      <c r="CV69" s="62">
        <f t="shared" si="214"/>
        <v>-0.64973215283974128</v>
      </c>
      <c r="CW69" s="62">
        <f t="shared" si="214"/>
        <v>-1</v>
      </c>
      <c r="CX69" s="62" t="e">
        <f t="shared" si="214"/>
        <v>#DIV/0!</v>
      </c>
      <c r="CY69" s="62">
        <f t="shared" ref="CY69:DA69" si="215">CY55/CX55-1</f>
        <v>7.6038469818414667E-2</v>
      </c>
      <c r="CZ69" s="62">
        <f t="shared" si="215"/>
        <v>3.845455941264353E-2</v>
      </c>
      <c r="DA69" s="62">
        <f t="shared" si="215"/>
        <v>9.9487441418675715E-2</v>
      </c>
      <c r="DB69" s="62">
        <f t="shared" ref="DB69" si="216">DB55/DA55-1</f>
        <v>0.15397780757052804</v>
      </c>
      <c r="DC69" s="62">
        <f t="shared" ref="DC69:DK69" si="217">DC55/DB55-1</f>
        <v>3.108876071516864E-2</v>
      </c>
      <c r="DD69" s="62">
        <f t="shared" si="217"/>
        <v>-1.4179072681734795E-2</v>
      </c>
      <c r="DE69" s="62">
        <f t="shared" si="217"/>
        <v>6.7396828000690245E-2</v>
      </c>
      <c r="DF69" s="62">
        <f t="shared" si="217"/>
        <v>4.7686721578972691E-2</v>
      </c>
      <c r="DG69" s="62">
        <f t="shared" si="217"/>
        <v>8.1470628807172929E-2</v>
      </c>
      <c r="DH69" s="62">
        <f t="shared" si="217"/>
        <v>4.4256757385075396E-2</v>
      </c>
      <c r="DI69" s="62">
        <f t="shared" si="217"/>
        <v>6.9556851192520197E-2</v>
      </c>
      <c r="DJ69" s="62">
        <f t="shared" si="217"/>
        <v>4.8091998122456792E-2</v>
      </c>
      <c r="DK69" s="62">
        <f t="shared" si="217"/>
        <v>-0.20807813671709841</v>
      </c>
    </row>
    <row r="70" spans="2:193" s="38" customFormat="1" x14ac:dyDescent="0.2">
      <c r="B70" s="38" t="s">
        <v>382</v>
      </c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6">
        <f>+BO3/BK3-1</f>
        <v>0.39752188245992959</v>
      </c>
      <c r="BP70" s="66">
        <f>+BP3/BL3-1</f>
        <v>0.19572192513368969</v>
      </c>
      <c r="BQ70" s="66">
        <f>+BQ3/BM3-1</f>
        <v>9.4018783984181731E-2</v>
      </c>
      <c r="BR70" s="66">
        <f>+BR3/BN3-1</f>
        <v>0.24360566178296517</v>
      </c>
      <c r="BS70" s="66">
        <f>+BS3/BO3-1</f>
        <v>0.18138929559134542</v>
      </c>
      <c r="BT70" s="66">
        <f>+BT3/BP3-1</f>
        <v>0.24865831842576025</v>
      </c>
      <c r="BU70" s="66">
        <f>+BU3/BQ3-1</f>
        <v>0.44596060003614668</v>
      </c>
      <c r="BV70" s="66">
        <f>+BV3/BR3-1</f>
        <v>0.25379392971246006</v>
      </c>
      <c r="BW70" s="66">
        <f>+BW3/BS3-1</f>
        <v>0.19891214541448621</v>
      </c>
      <c r="BX70" s="66">
        <f>+BX3/BT3-1</f>
        <v>0.22500000000000009</v>
      </c>
      <c r="BY70" s="66">
        <f>+BY3/BU3-1</f>
        <v>0.19999999999999996</v>
      </c>
      <c r="BZ70" s="66">
        <f>+BZ3/BV3-1</f>
        <v>0.19999999999999996</v>
      </c>
      <c r="CA70" s="66">
        <f>+CA3/BW3-1</f>
        <v>0.14999999999999991</v>
      </c>
      <c r="CB70" s="66">
        <f>+CB3/BX3-1</f>
        <v>0.14999999999999991</v>
      </c>
      <c r="CC70" s="66">
        <f>+CC3/BY3-1</f>
        <v>0.15000000000000013</v>
      </c>
      <c r="CD70" s="66">
        <f>+CD3/BZ3-1</f>
        <v>0.14999999999999991</v>
      </c>
      <c r="CE70" s="66"/>
      <c r="CF70" s="66"/>
      <c r="CG70" s="66"/>
      <c r="CH70" s="48"/>
      <c r="CI70" s="48"/>
      <c r="CJ70" s="48"/>
      <c r="CK70" s="48"/>
      <c r="CL70" s="67"/>
      <c r="CM70" s="67"/>
      <c r="CN70" s="67"/>
      <c r="CO70" s="67"/>
      <c r="CP70" s="67"/>
      <c r="CQ70" s="67"/>
      <c r="CR70" s="67"/>
      <c r="CS70" s="67"/>
      <c r="CT70" s="67"/>
      <c r="CU70" s="67"/>
      <c r="CV70" s="67"/>
      <c r="CW70" s="67"/>
      <c r="CX70" s="67"/>
      <c r="CY70" s="67"/>
      <c r="CZ70" s="67"/>
      <c r="DA70" s="67"/>
      <c r="DB70" s="67"/>
    </row>
    <row r="71" spans="2:193" s="38" customFormat="1" x14ac:dyDescent="0.2">
      <c r="B71" s="38" t="s">
        <v>500</v>
      </c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66">
        <f>+BO7/BK7-1</f>
        <v>0.75643564356435644</v>
      </c>
      <c r="BP71" s="66">
        <f>+BP7/BL7-1</f>
        <v>0.11701526286037311</v>
      </c>
      <c r="BQ71" s="66">
        <f>+BQ7/BM7-1</f>
        <v>0.33676470588235285</v>
      </c>
      <c r="BR71" s="66">
        <f>+BR7/BN7-1</f>
        <v>0.17900499880980725</v>
      </c>
      <c r="BS71" s="66">
        <f>+BS7/BO7-1</f>
        <v>-9.0868094701240132E-2</v>
      </c>
      <c r="BT71" s="66">
        <f>+BT7/BP7-1</f>
        <v>0.44003036437246967</v>
      </c>
      <c r="BU71" s="66">
        <f>+BU7/BQ7-1</f>
        <v>0.304950495049505</v>
      </c>
      <c r="BV71" s="66">
        <f>+BV7/BR7-1</f>
        <v>0.30708661417322825</v>
      </c>
      <c r="BW71" s="66">
        <f>+BW7/BS7-1</f>
        <v>0.21056547619047628</v>
      </c>
      <c r="BX71" s="66">
        <f>+BX7/BT7-1</f>
        <v>0.19999999999999996</v>
      </c>
      <c r="BY71" s="66">
        <f>+BY7/BU7-1</f>
        <v>0.19999999999999996</v>
      </c>
      <c r="BZ71" s="66">
        <f>+BZ7/BV7-1</f>
        <v>0.19999999999999996</v>
      </c>
      <c r="CA71" s="66">
        <f>+CA7/BW7-1</f>
        <v>0.19999999999999996</v>
      </c>
      <c r="CB71" s="66">
        <f>+CB7/BX7-1</f>
        <v>0.19999999999999996</v>
      </c>
      <c r="CC71" s="66">
        <f>+CC7/BY7-1</f>
        <v>0.19999999999999996</v>
      </c>
      <c r="CD71" s="66">
        <f>+CD7/BZ7-1</f>
        <v>0.19999999999999996</v>
      </c>
      <c r="CE71" s="66"/>
      <c r="CF71" s="66"/>
      <c r="CG71" s="66"/>
      <c r="CH71" s="48"/>
      <c r="CI71" s="48"/>
      <c r="CJ71" s="48"/>
      <c r="CK71" s="48"/>
      <c r="CL71" s="67"/>
      <c r="CM71" s="67"/>
      <c r="CN71" s="67"/>
      <c r="CO71" s="67"/>
      <c r="CP71" s="67"/>
      <c r="CQ71" s="67"/>
      <c r="CR71" s="67"/>
      <c r="CS71" s="67"/>
      <c r="CT71" s="67"/>
      <c r="CU71" s="67"/>
      <c r="CV71" s="67"/>
      <c r="CW71" s="67"/>
      <c r="CX71" s="67"/>
      <c r="CY71" s="67"/>
      <c r="CZ71" s="67"/>
      <c r="DA71" s="67"/>
      <c r="DB71" s="67"/>
    </row>
    <row r="72" spans="2:193" s="38" customFormat="1" x14ac:dyDescent="0.2">
      <c r="B72" s="38" t="s">
        <v>501</v>
      </c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6"/>
      <c r="BM72" s="66"/>
      <c r="BN72" s="66"/>
      <c r="BO72" s="66">
        <f>+BO8/BK8-1</f>
        <v>0.71846435100548445</v>
      </c>
      <c r="BP72" s="66">
        <f>+BP8/BL8-1</f>
        <v>0.55787901418969366</v>
      </c>
      <c r="BQ72" s="66">
        <f>+BQ8/BM8-1</f>
        <v>0.49109414758269732</v>
      </c>
      <c r="BR72" s="66">
        <f>+BR8/BN8-1</f>
        <v>0.57230597431602481</v>
      </c>
      <c r="BS72" s="66">
        <f>+BS8/BO8-1</f>
        <v>0.43085106382978733</v>
      </c>
      <c r="BT72" s="66">
        <f>+BT8/BP8-1</f>
        <v>0.63614573346116976</v>
      </c>
      <c r="BU72" s="66">
        <f>+BU8/BQ8-1</f>
        <v>0.43131399317406149</v>
      </c>
      <c r="BV72" s="66">
        <f>+BV8/BR8-1</f>
        <v>0.43501420454545459</v>
      </c>
      <c r="BW72" s="66">
        <f>+BW8/BS8-1</f>
        <v>0.7449814126394052</v>
      </c>
      <c r="BX72" s="66">
        <f>+BX8/BT8-1</f>
        <v>0.30000000000000004</v>
      </c>
      <c r="BY72" s="66">
        <f>+BY8/BU8-1</f>
        <v>0.30000000000000004</v>
      </c>
      <c r="BZ72" s="66">
        <f>+BZ8/BV8-1</f>
        <v>0.19999999999999996</v>
      </c>
      <c r="CA72" s="66">
        <f>+CA8/BW8-1</f>
        <v>0.19999999999999996</v>
      </c>
      <c r="CB72" s="66">
        <f>+CB8/BX8-1</f>
        <v>0.19999999999999996</v>
      </c>
      <c r="CC72" s="66">
        <f>+CC8/BY8-1</f>
        <v>0.14999999999999991</v>
      </c>
      <c r="CD72" s="66">
        <f>+CD8/BZ8-1</f>
        <v>0.14999999999999991</v>
      </c>
      <c r="CE72" s="66"/>
      <c r="CF72" s="66"/>
      <c r="CG72" s="66"/>
      <c r="CH72" s="48"/>
      <c r="CI72" s="48"/>
      <c r="CJ72" s="48"/>
      <c r="CK72" s="48"/>
      <c r="CL72" s="67"/>
      <c r="CM72" s="67"/>
      <c r="CN72" s="67"/>
      <c r="CO72" s="67"/>
      <c r="CP72" s="67"/>
      <c r="CQ72" s="67"/>
      <c r="CR72" s="67"/>
      <c r="CS72" s="67"/>
      <c r="CT72" s="67"/>
      <c r="CU72" s="67"/>
      <c r="CV72" s="67"/>
      <c r="CW72" s="67"/>
      <c r="CX72" s="67"/>
      <c r="CY72" s="67"/>
      <c r="CZ72" s="67"/>
      <c r="DA72" s="67"/>
      <c r="DB72" s="67"/>
    </row>
    <row r="73" spans="2:193" s="38" customFormat="1" x14ac:dyDescent="0.2">
      <c r="B73" s="38" t="s">
        <v>502</v>
      </c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>
        <f>+BO9/BK9-1</f>
        <v>0.31385068762278978</v>
      </c>
      <c r="BP73" s="66">
        <f>+BP9/BL9-1</f>
        <v>0.1297973264338077</v>
      </c>
      <c r="BQ73" s="66">
        <f>+BQ9/BM9-1</f>
        <v>0.29123390112172842</v>
      </c>
      <c r="BR73" s="66">
        <f>+BR9/BN9-1</f>
        <v>0.17014925373134338</v>
      </c>
      <c r="BS73" s="66">
        <f>+BS9/BO9-1</f>
        <v>0.16635514018691588</v>
      </c>
      <c r="BT73" s="66">
        <f>+BT9/BP9-1</f>
        <v>0.36068702290076327</v>
      </c>
      <c r="BU73" s="66">
        <f>+BU9/BQ9-1</f>
        <v>0.25611325611325597</v>
      </c>
      <c r="BV73" s="66">
        <f>+BV9/BR9-1</f>
        <v>0.37723214285714279</v>
      </c>
      <c r="BW73" s="66">
        <f>+BW9/BS9-1</f>
        <v>0.34423076923076912</v>
      </c>
      <c r="BX73" s="66">
        <f>+BX9/BT9-1</f>
        <v>0.19999999999999996</v>
      </c>
      <c r="BY73" s="66">
        <f>+BY9/BU9-1</f>
        <v>0.19999999999999996</v>
      </c>
      <c r="BZ73" s="66">
        <f>+BZ9/BV9-1</f>
        <v>0.19999999999999996</v>
      </c>
      <c r="CA73" s="66">
        <f>+CA9/BW9-1</f>
        <v>0.19999999999999996</v>
      </c>
      <c r="CB73" s="66">
        <f>+CB9/BX9-1</f>
        <v>0.19999999999999996</v>
      </c>
      <c r="CC73" s="66">
        <f>+CC9/BY9-1</f>
        <v>0.19999999999999996</v>
      </c>
      <c r="CD73" s="66">
        <f>+CD9/BZ9-1</f>
        <v>0.19999999999999996</v>
      </c>
      <c r="CE73" s="66"/>
      <c r="CF73" s="66"/>
      <c r="CG73" s="66"/>
      <c r="CH73" s="48"/>
      <c r="CI73" s="48"/>
      <c r="CJ73" s="48"/>
      <c r="CK73" s="48"/>
      <c r="CL73" s="67"/>
      <c r="CM73" s="67"/>
      <c r="CN73" s="67"/>
      <c r="CO73" s="67"/>
      <c r="CP73" s="67"/>
      <c r="CQ73" s="67"/>
      <c r="CR73" s="67"/>
      <c r="CS73" s="67"/>
      <c r="CT73" s="67"/>
      <c r="CU73" s="67"/>
      <c r="CV73" s="67"/>
      <c r="CW73" s="67"/>
      <c r="CX73" s="67"/>
      <c r="CY73" s="67"/>
      <c r="CZ73" s="67"/>
      <c r="DA73" s="67"/>
      <c r="DB73" s="67"/>
    </row>
    <row r="74" spans="2:193" s="38" customFormat="1" x14ac:dyDescent="0.2">
      <c r="B74" s="38" t="s">
        <v>56</v>
      </c>
      <c r="C74" s="48"/>
      <c r="D74" s="48"/>
      <c r="E74" s="48"/>
      <c r="F74" s="48"/>
      <c r="G74" s="48"/>
      <c r="H74" s="48"/>
      <c r="I74" s="48"/>
      <c r="J74" s="48"/>
      <c r="K74" s="66">
        <f t="shared" ref="K74:AP74" si="218">K66/G66-1</f>
        <v>0.45031564667192425</v>
      </c>
      <c r="L74" s="66">
        <f t="shared" si="218"/>
        <v>0.67610728701847322</v>
      </c>
      <c r="M74" s="66">
        <f t="shared" si="218"/>
        <v>0.34015035080861589</v>
      </c>
      <c r="N74" s="66">
        <f t="shared" si="218"/>
        <v>3.7454658637521607</v>
      </c>
      <c r="O74" s="66">
        <f t="shared" si="218"/>
        <v>1.6519622566819141</v>
      </c>
      <c r="P74" s="66">
        <f t="shared" si="218"/>
        <v>0.46464279222800253</v>
      </c>
      <c r="Q74" s="66">
        <f t="shared" si="218"/>
        <v>3.8235187048251413</v>
      </c>
      <c r="R74" s="66">
        <f t="shared" si="218"/>
        <v>0.1870513600647703</v>
      </c>
      <c r="S74" s="66">
        <f t="shared" si="218"/>
        <v>1.9471106396652482</v>
      </c>
      <c r="T74" s="66">
        <f t="shared" si="218"/>
        <v>3.7362930227057349</v>
      </c>
      <c r="U74" s="66">
        <f t="shared" si="218"/>
        <v>0.17487628448498183</v>
      </c>
      <c r="V74" s="66">
        <f t="shared" si="218"/>
        <v>-0.52026113261404561</v>
      </c>
      <c r="W74" s="66">
        <f t="shared" si="218"/>
        <v>-0.57728356037442752</v>
      </c>
      <c r="X74" s="66">
        <f t="shared" si="218"/>
        <v>-0.60384987633693532</v>
      </c>
      <c r="Y74" s="66">
        <f t="shared" si="218"/>
        <v>-0.45386568723743781</v>
      </c>
      <c r="Z74" s="66">
        <f t="shared" si="218"/>
        <v>-0.17935478589422826</v>
      </c>
      <c r="AA74" s="66">
        <f t="shared" si="218"/>
        <v>0.1144033426114861</v>
      </c>
      <c r="AB74" s="66">
        <f t="shared" si="218"/>
        <v>0.28860862968049394</v>
      </c>
      <c r="AC74" s="66">
        <f t="shared" si="218"/>
        <v>-0.10728645122357194</v>
      </c>
      <c r="AD74" s="66">
        <f t="shared" si="218"/>
        <v>0.24088397214917667</v>
      </c>
      <c r="AE74" s="66">
        <f t="shared" si="218"/>
        <v>5.1382705842108578E-2</v>
      </c>
      <c r="AF74" s="66">
        <f t="shared" si="218"/>
        <v>-6.5788977619371525E-2</v>
      </c>
      <c r="AG74" s="66">
        <f t="shared" si="218"/>
        <v>-7.1925548393590666E-2</v>
      </c>
      <c r="AH74" s="66">
        <f t="shared" si="218"/>
        <v>-0.22750132460794636</v>
      </c>
      <c r="AI74" s="66">
        <f t="shared" si="218"/>
        <v>-0.25615165684029639</v>
      </c>
      <c r="AJ74" s="66">
        <f t="shared" si="218"/>
        <v>-0.28127885987742418</v>
      </c>
      <c r="AK74" s="66">
        <f t="shared" si="218"/>
        <v>-0.29593098547977148</v>
      </c>
      <c r="AL74" s="66">
        <f t="shared" si="218"/>
        <v>-0.35581661852992075</v>
      </c>
      <c r="AM74" s="66">
        <f t="shared" si="218"/>
        <v>-3.0149108631133403E-3</v>
      </c>
      <c r="AN74" s="66">
        <f t="shared" si="218"/>
        <v>-5.4279616020450283E-2</v>
      </c>
      <c r="AO74" s="66">
        <f t="shared" si="218"/>
        <v>6.3121126760563362E-2</v>
      </c>
      <c r="AP74" s="66">
        <f t="shared" si="218"/>
        <v>5.1020408163265252E-2</v>
      </c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  <c r="BO74" s="66">
        <f t="shared" ref="BO74:BV74" si="219">+BO66/BK66-1</f>
        <v>0.41134642228190832</v>
      </c>
      <c r="BP74" s="66">
        <f t="shared" si="219"/>
        <v>-6.1606684930686106E-2</v>
      </c>
      <c r="BQ74" s="66">
        <f t="shared" si="219"/>
        <v>-9.406872566792901E-2</v>
      </c>
      <c r="BR74" s="66">
        <f t="shared" si="219"/>
        <v>0.39971106514556243</v>
      </c>
      <c r="BS74" s="66">
        <f t="shared" si="219"/>
        <v>0.24076955289661717</v>
      </c>
      <c r="BT74" s="66">
        <f t="shared" si="219"/>
        <v>0.38318594312768117</v>
      </c>
      <c r="BU74" s="66">
        <f t="shared" si="219"/>
        <v>0.45580624220564636</v>
      </c>
      <c r="BV74" s="66">
        <f t="shared" si="219"/>
        <v>0.17005727482444555</v>
      </c>
      <c r="BW74" s="66">
        <f>+BW66/BS66-1</f>
        <v>0.43758303199129012</v>
      </c>
      <c r="BX74" s="66">
        <f t="shared" ref="BX74:CD74" si="220">+BX66/BT66-1</f>
        <v>0.19761332678371479</v>
      </c>
      <c r="BY74" s="66">
        <f t="shared" si="220"/>
        <v>0.18332311909796051</v>
      </c>
      <c r="BZ74" s="66">
        <f t="shared" si="220"/>
        <v>-8.5769604717092829E-2</v>
      </c>
      <c r="CA74" s="66">
        <f t="shared" si="220"/>
        <v>-0.23616357430958546</v>
      </c>
      <c r="CB74" s="66">
        <f t="shared" si="220"/>
        <v>-1.9970668450120077E-2</v>
      </c>
      <c r="CC74" s="66">
        <f t="shared" si="220"/>
        <v>6.0890452467035505E-2</v>
      </c>
      <c r="CD74" s="66">
        <f t="shared" si="220"/>
        <v>0.15730031162842617</v>
      </c>
      <c r="CE74" s="66"/>
      <c r="CF74" s="66"/>
      <c r="CG74" s="66"/>
      <c r="CH74" s="48"/>
      <c r="CI74" s="67">
        <f t="shared" ref="CI74:DB74" si="221">CI66/CH66-1</f>
        <v>-0.10439415262209151</v>
      </c>
      <c r="CJ74" s="67">
        <f t="shared" si="221"/>
        <v>1.8236125131542602E-2</v>
      </c>
      <c r="CK74" s="67">
        <f t="shared" si="221"/>
        <v>8.8659943146997877E-2</v>
      </c>
      <c r="CL74" s="67">
        <f t="shared" si="221"/>
        <v>1.8914666658705448E-2</v>
      </c>
      <c r="CM74" s="67">
        <f t="shared" si="221"/>
        <v>0.18158561537982321</v>
      </c>
      <c r="CN74" s="67">
        <f t="shared" si="221"/>
        <v>0.355007280514271</v>
      </c>
      <c r="CO74" s="67">
        <f t="shared" si="221"/>
        <v>0.84588192053742906</v>
      </c>
      <c r="CP74" s="67">
        <f t="shared" si="221"/>
        <v>-0.49685325768272748</v>
      </c>
      <c r="CQ74" s="67">
        <f t="shared" si="221"/>
        <v>-0.14043421391571609</v>
      </c>
      <c r="CR74" s="67">
        <f t="shared" si="221"/>
        <v>9.3314477344200064E-2</v>
      </c>
      <c r="CS74" s="67">
        <f t="shared" si="221"/>
        <v>-0.22893757352803867</v>
      </c>
      <c r="CT74" s="67">
        <f t="shared" si="221"/>
        <v>-2.4743087666647439</v>
      </c>
      <c r="CU74" s="67">
        <f t="shared" si="221"/>
        <v>-0.19999999999999996</v>
      </c>
      <c r="CV74" s="67">
        <f t="shared" si="221"/>
        <v>-1</v>
      </c>
      <c r="CW74" s="67" t="e">
        <f t="shared" si="221"/>
        <v>#DIV/0!</v>
      </c>
      <c r="CX74" s="67" t="e">
        <f t="shared" si="221"/>
        <v>#DIV/0!</v>
      </c>
      <c r="CY74" s="67">
        <f t="shared" si="221"/>
        <v>0.32371712883247206</v>
      </c>
      <c r="CZ74" s="67">
        <f t="shared" si="221"/>
        <v>0.10557739192775561</v>
      </c>
      <c r="DA74" s="67" t="e">
        <f t="shared" si="221"/>
        <v>#DIV/0!</v>
      </c>
      <c r="DB74" s="67" t="e">
        <f t="shared" si="221"/>
        <v>#DIV/0!</v>
      </c>
    </row>
    <row r="75" spans="2:193" x14ac:dyDescent="0.2">
      <c r="CY75" s="47"/>
      <c r="CZ75" s="47"/>
      <c r="DA75" s="47"/>
      <c r="DB75" s="47"/>
    </row>
    <row r="76" spans="2:193" x14ac:dyDescent="0.2">
      <c r="B76" t="s">
        <v>123</v>
      </c>
      <c r="F76" s="64">
        <f t="shared" ref="F76:R76" si="222">F57/F55</f>
        <v>0.72539324245965431</v>
      </c>
      <c r="G76" s="64">
        <f t="shared" si="222"/>
        <v>0.71365107340828793</v>
      </c>
      <c r="H76" s="64">
        <f t="shared" si="222"/>
        <v>0.72475991913065463</v>
      </c>
      <c r="I76" s="64">
        <f t="shared" si="222"/>
        <v>0.73272302052168059</v>
      </c>
      <c r="J76" s="64">
        <f t="shared" si="222"/>
        <v>0.74005151506381495</v>
      </c>
      <c r="K76" s="64">
        <f t="shared" si="222"/>
        <v>0.75013167270812031</v>
      </c>
      <c r="L76" s="64">
        <f t="shared" si="222"/>
        <v>0.74846625766871167</v>
      </c>
      <c r="M76" s="64">
        <f t="shared" si="222"/>
        <v>0.75506122118009567</v>
      </c>
      <c r="N76" s="64">
        <f t="shared" si="222"/>
        <v>0.81222054008379396</v>
      </c>
      <c r="O76" s="64">
        <f t="shared" si="222"/>
        <v>0.78222379603399439</v>
      </c>
      <c r="P76" s="64">
        <f t="shared" si="222"/>
        <v>0.76181506032714963</v>
      </c>
      <c r="Q76" s="64">
        <f t="shared" si="222"/>
        <v>0.82123302764734796</v>
      </c>
      <c r="R76" s="64">
        <f t="shared" si="222"/>
        <v>0.80905231258532484</v>
      </c>
      <c r="S76" s="64">
        <v>0.75800000000000001</v>
      </c>
      <c r="T76" s="64">
        <v>0.75800000000000001</v>
      </c>
      <c r="U76" s="64">
        <v>0.75800000000000001</v>
      </c>
      <c r="V76" s="64">
        <v>0.75800000000000001</v>
      </c>
      <c r="W76" s="64">
        <f t="shared" ref="W76:AP76" si="223">W57/W55</f>
        <v>0.83310846723087617</v>
      </c>
      <c r="X76" s="64">
        <f t="shared" si="223"/>
        <v>0.81472572601936055</v>
      </c>
      <c r="Y76" s="64">
        <f t="shared" si="223"/>
        <v>0.81087738223660555</v>
      </c>
      <c r="Z76" s="64">
        <f t="shared" si="223"/>
        <v>0.75879676440849342</v>
      </c>
      <c r="AA76" s="64">
        <f t="shared" si="223"/>
        <v>0.79536961079208823</v>
      </c>
      <c r="AB76" s="64">
        <f t="shared" si="223"/>
        <v>0.82189016647241986</v>
      </c>
      <c r="AC76" s="64">
        <f t="shared" si="223"/>
        <v>0.82535191341868852</v>
      </c>
      <c r="AD76" s="64">
        <f t="shared" si="223"/>
        <v>0.80084690974915962</v>
      </c>
      <c r="AE76" s="64">
        <f t="shared" si="223"/>
        <v>0.79790039731470075</v>
      </c>
      <c r="AF76" s="64">
        <f t="shared" si="223"/>
        <v>0.80360798362333674</v>
      </c>
      <c r="AG76" s="64">
        <f t="shared" si="223"/>
        <v>0.78235552447097467</v>
      </c>
      <c r="AH76" s="64">
        <f t="shared" si="223"/>
        <v>0.78143965075322874</v>
      </c>
      <c r="AI76" s="64">
        <f t="shared" si="223"/>
        <v>0.78618092246180205</v>
      </c>
      <c r="AJ76" s="64">
        <f t="shared" si="223"/>
        <v>0.79525042406927948</v>
      </c>
      <c r="AK76" s="64">
        <f t="shared" si="223"/>
        <v>0.77885163068442809</v>
      </c>
      <c r="AL76" s="64">
        <f t="shared" si="223"/>
        <v>0.75392835865355978</v>
      </c>
      <c r="AM76" s="64">
        <f t="shared" si="223"/>
        <v>0.78323260106402215</v>
      </c>
      <c r="AN76" s="64">
        <f t="shared" si="223"/>
        <v>0.79181946915507795</v>
      </c>
      <c r="AO76" s="64">
        <f t="shared" si="223"/>
        <v>0.78046511627906967</v>
      </c>
      <c r="AP76" s="64">
        <f t="shared" si="223"/>
        <v>0.75574733885274992</v>
      </c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  <c r="BG76" s="64"/>
      <c r="BH76" s="64"/>
      <c r="BI76" s="64"/>
      <c r="BJ76" s="64"/>
      <c r="BK76" s="64">
        <f t="shared" ref="BK76" si="224">BK57/BK55</f>
        <v>0.80155535044480664</v>
      </c>
      <c r="BL76" s="64">
        <f t="shared" ref="BL76:BM76" si="225">BL57/BL55</f>
        <v>0.80958716979793144</v>
      </c>
      <c r="BM76" s="64">
        <f t="shared" si="225"/>
        <v>0.79579316389132326</v>
      </c>
      <c r="BN76" s="64">
        <f t="shared" ref="BN76:BO76" si="226">BN57/BN55</f>
        <v>0.79893037633089647</v>
      </c>
      <c r="BO76" s="64">
        <f t="shared" si="226"/>
        <v>0.80263831530086338</v>
      </c>
      <c r="BP76" s="64">
        <f t="shared" ref="BP76:BV76" si="227">BP57/BP55</f>
        <v>0.79648688947885227</v>
      </c>
      <c r="BQ76" s="64">
        <f t="shared" si="227"/>
        <v>0.79098003692993768</v>
      </c>
      <c r="BR76" s="64">
        <f t="shared" si="227"/>
        <v>0.76884719291407366</v>
      </c>
      <c r="BS76" s="64">
        <f t="shared" si="227"/>
        <v>0.75440813447748922</v>
      </c>
      <c r="BT76" s="64">
        <f t="shared" si="227"/>
        <v>0.7925816023738872</v>
      </c>
      <c r="BU76" s="64">
        <f t="shared" si="227"/>
        <v>0.79007825188247449</v>
      </c>
      <c r="BV76" s="64">
        <f t="shared" si="227"/>
        <v>0.74372179652245651</v>
      </c>
      <c r="BW76" s="64">
        <f>BW57/BW55</f>
        <v>0.76088654434642322</v>
      </c>
      <c r="BX76" s="64">
        <f t="shared" ref="BX76:CD76" si="228">BX57/BX55</f>
        <v>0.79</v>
      </c>
      <c r="BY76" s="64">
        <f t="shared" si="228"/>
        <v>0.79</v>
      </c>
      <c r="BZ76" s="64">
        <f t="shared" si="228"/>
        <v>0.79</v>
      </c>
      <c r="CA76" s="64">
        <f t="shared" si="228"/>
        <v>0.79</v>
      </c>
      <c r="CB76" s="64">
        <f t="shared" si="228"/>
        <v>0.79000000000000015</v>
      </c>
      <c r="CC76" s="64">
        <f t="shared" si="228"/>
        <v>0.79</v>
      </c>
      <c r="CD76" s="64">
        <f t="shared" si="228"/>
        <v>0.79</v>
      </c>
      <c r="CE76" s="64"/>
      <c r="CF76" s="64"/>
      <c r="CL76" s="64">
        <f>CL57/CL55</f>
        <v>0.76286689419795217</v>
      </c>
      <c r="CM76" s="64">
        <f>CM57/CM55</f>
        <v>0.77818608040041815</v>
      </c>
      <c r="CN76" s="64">
        <v>0.78</v>
      </c>
      <c r="CO76" s="64">
        <f>CO57/CO55</f>
        <v>1.0500260329761233</v>
      </c>
      <c r="CP76" s="64">
        <f>CP57/CP55</f>
        <v>0.82263518056731488</v>
      </c>
      <c r="CQ76" s="64">
        <f>CQ57/CQ55</f>
        <v>0.80057367839296967</v>
      </c>
      <c r="CR76" s="64">
        <f>CR57/CR55</f>
        <v>0.78775238406352488</v>
      </c>
      <c r="CS76" s="64">
        <f>CS57/CS55</f>
        <v>0.77880780865347043</v>
      </c>
      <c r="CT76" s="64"/>
      <c r="CU76" s="64"/>
      <c r="CV76" s="64"/>
      <c r="CW76" s="64"/>
      <c r="CX76" s="64"/>
      <c r="CY76" s="64"/>
      <c r="CZ76" s="64"/>
      <c r="DA76" s="64">
        <f t="shared" ref="DA76:DK76" si="229">DA57/DA55</f>
        <v>0.78828764583392763</v>
      </c>
      <c r="DB76" s="64">
        <f t="shared" si="229"/>
        <v>0.76900612673693869</v>
      </c>
      <c r="DC76" s="64">
        <f t="shared" si="229"/>
        <v>0.78221275114176581</v>
      </c>
      <c r="DD76" s="64">
        <f t="shared" si="229"/>
        <v>0.79072954983413501</v>
      </c>
      <c r="DE76" s="64">
        <f t="shared" si="229"/>
        <v>0.84999139406994118</v>
      </c>
      <c r="DF76" s="64">
        <f t="shared" si="229"/>
        <v>0.90276273737270119</v>
      </c>
      <c r="DG76" s="64">
        <f t="shared" si="229"/>
        <v>0.95313757405068622</v>
      </c>
      <c r="DH76" s="64">
        <f t="shared" si="229"/>
        <v>0.94058309189622968</v>
      </c>
      <c r="DI76" s="64">
        <f t="shared" si="229"/>
        <v>0.88845712208045557</v>
      </c>
      <c r="DJ76" s="64">
        <f t="shared" si="229"/>
        <v>0.82793405439692491</v>
      </c>
      <c r="DK76" s="64">
        <f t="shared" si="229"/>
        <v>0.68282352934512702</v>
      </c>
    </row>
    <row r="77" spans="2:193" x14ac:dyDescent="0.2">
      <c r="B77" t="s">
        <v>59</v>
      </c>
      <c r="F77" s="64">
        <f t="shared" ref="F77:AP77" si="230">F58/F55</f>
        <v>0.34829412011008376</v>
      </c>
      <c r="G77" s="64">
        <f t="shared" si="230"/>
        <v>0.36335311988936692</v>
      </c>
      <c r="H77" s="64">
        <f t="shared" si="230"/>
        <v>0.36204826889057362</v>
      </c>
      <c r="I77" s="64">
        <f t="shared" si="230"/>
        <v>0.33844970713412842</v>
      </c>
      <c r="J77" s="64">
        <f t="shared" si="230"/>
        <v>0.3443984603362949</v>
      </c>
      <c r="K77" s="64">
        <f t="shared" si="230"/>
        <v>0.35412213030950829</v>
      </c>
      <c r="L77" s="64">
        <f t="shared" si="230"/>
        <v>0.36167104878761319</v>
      </c>
      <c r="M77" s="64">
        <f t="shared" si="230"/>
        <v>0.35200151363624077</v>
      </c>
      <c r="N77" s="64">
        <f t="shared" si="230"/>
        <v>0.25034327359785935</v>
      </c>
      <c r="O77" s="64">
        <f t="shared" si="230"/>
        <v>0.31558073654390933</v>
      </c>
      <c r="P77" s="64">
        <f t="shared" si="230"/>
        <v>0.36356049406266394</v>
      </c>
      <c r="Q77" s="64">
        <f t="shared" si="230"/>
        <v>0.25050429711999733</v>
      </c>
      <c r="R77" s="64">
        <f t="shared" si="230"/>
        <v>0.26340819418815725</v>
      </c>
      <c r="S77" s="64">
        <f t="shared" si="230"/>
        <v>0.24840590855202022</v>
      </c>
      <c r="T77" s="64">
        <f t="shared" si="230"/>
        <v>0.25361378384426048</v>
      </c>
      <c r="U77" s="64">
        <f t="shared" si="230"/>
        <v>0.24264002707116478</v>
      </c>
      <c r="V77" s="64">
        <f t="shared" si="230"/>
        <v>0.32983398906055078</v>
      </c>
      <c r="W77" s="64">
        <f t="shared" si="230"/>
        <v>0.31260476716137209</v>
      </c>
      <c r="X77" s="64">
        <f t="shared" si="230"/>
        <v>0.33405690818421824</v>
      </c>
      <c r="Y77" s="64">
        <f t="shared" si="230"/>
        <v>0.30596907587198846</v>
      </c>
      <c r="Z77" s="64">
        <f t="shared" si="230"/>
        <v>0.32917087967644082</v>
      </c>
      <c r="AA77" s="64">
        <f t="shared" si="230"/>
        <v>0.29430316288396685</v>
      </c>
      <c r="AB77" s="64">
        <f t="shared" si="230"/>
        <v>0.3053559935289718</v>
      </c>
      <c r="AC77" s="64">
        <f t="shared" si="230"/>
        <v>0.2997276649925727</v>
      </c>
      <c r="AD77" s="64">
        <f t="shared" si="230"/>
        <v>0.32142164468580292</v>
      </c>
      <c r="AE77" s="64">
        <f t="shared" si="230"/>
        <v>0.30581244006028224</v>
      </c>
      <c r="AF77" s="64">
        <f t="shared" si="230"/>
        <v>0.32673362333674522</v>
      </c>
      <c r="AG77" s="64">
        <f t="shared" si="230"/>
        <v>0.31193376815601565</v>
      </c>
      <c r="AH77" s="64">
        <f t="shared" si="230"/>
        <v>0.35278554065450696</v>
      </c>
      <c r="AI77" s="64">
        <f t="shared" si="230"/>
        <v>0.32976938454947874</v>
      </c>
      <c r="AJ77" s="64">
        <f t="shared" si="230"/>
        <v>0.34480849924113921</v>
      </c>
      <c r="AK77" s="64">
        <f t="shared" si="230"/>
        <v>0.32290307762976572</v>
      </c>
      <c r="AL77" s="64">
        <f t="shared" si="230"/>
        <v>0.35995680667262442</v>
      </c>
      <c r="AM77" s="64">
        <f t="shared" si="230"/>
        <v>0.33431652853678839</v>
      </c>
      <c r="AN77" s="64">
        <f t="shared" si="230"/>
        <v>0.35058639846047712</v>
      </c>
      <c r="AO77" s="64">
        <f t="shared" si="230"/>
        <v>0.32054719562243505</v>
      </c>
      <c r="AP77" s="64">
        <f t="shared" si="230"/>
        <v>0.35729597871082203</v>
      </c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  <c r="BG77" s="64"/>
      <c r="BH77" s="64"/>
      <c r="BI77" s="64"/>
      <c r="BJ77" s="64"/>
      <c r="BK77" s="64">
        <f t="shared" ref="BK77" si="231">BK58/BK55</f>
        <v>0.29793209088588202</v>
      </c>
      <c r="BL77" s="64">
        <f t="shared" ref="BL77:BM77" si="232">BL58/BL55</f>
        <v>0.28142352795075126</v>
      </c>
      <c r="BM77" s="64">
        <f t="shared" si="232"/>
        <v>0.25786955886649138</v>
      </c>
      <c r="BN77" s="64">
        <f t="shared" ref="BN77:BO77" si="233">BN58/BN55</f>
        <v>0.27772598662152659</v>
      </c>
      <c r="BO77" s="64">
        <f t="shared" si="233"/>
        <v>0.26444588552510334</v>
      </c>
      <c r="BP77" s="64">
        <f t="shared" ref="BP77:BV77" si="234">BP58/BP55</f>
        <v>0.26341055387860496</v>
      </c>
      <c r="BQ77" s="64">
        <f t="shared" si="234"/>
        <v>0.27333379786085082</v>
      </c>
      <c r="BR77" s="64">
        <f t="shared" si="234"/>
        <v>0.20885471969462779</v>
      </c>
      <c r="BS77" s="64">
        <f t="shared" si="234"/>
        <v>0.23157399788409544</v>
      </c>
      <c r="BT77" s="64">
        <f t="shared" si="234"/>
        <v>0.25010385756676567</v>
      </c>
      <c r="BU77" s="64">
        <f t="shared" si="234"/>
        <v>0.23296914218219408</v>
      </c>
      <c r="BV77" s="64">
        <f t="shared" si="234"/>
        <v>0.19900248753109415</v>
      </c>
      <c r="BW77" s="64">
        <f>BW58/BW55</f>
        <v>0.19947247794522477</v>
      </c>
      <c r="BX77" s="64">
        <f t="shared" ref="BX77:CD77" si="235">BX58/BX55</f>
        <v>0.23744342019942455</v>
      </c>
      <c r="BY77" s="64">
        <f t="shared" si="235"/>
        <v>0.22652383790047328</v>
      </c>
      <c r="BZ77" s="64">
        <f t="shared" si="235"/>
        <v>0.21737649958659841</v>
      </c>
      <c r="CA77" s="64">
        <f t="shared" si="235"/>
        <v>0.23123610396290656</v>
      </c>
      <c r="CB77" s="64">
        <f t="shared" si="235"/>
        <v>0.23936112956514508</v>
      </c>
      <c r="CC77" s="64">
        <f t="shared" si="235"/>
        <v>0.22110206565391702</v>
      </c>
      <c r="CD77" s="64">
        <f t="shared" si="235"/>
        <v>0.20492794387212696</v>
      </c>
      <c r="CE77" s="64"/>
      <c r="CF77" s="64"/>
      <c r="CH77" s="64">
        <f t="shared" ref="CH77:DA77" si="236">CH58/CH55</f>
        <v>0.29383437956832059</v>
      </c>
      <c r="CI77" s="64">
        <f t="shared" si="236"/>
        <v>0.30910896452107972</v>
      </c>
      <c r="CJ77" s="64">
        <f t="shared" si="236"/>
        <v>0.32220897894318634</v>
      </c>
      <c r="CK77" s="64">
        <f t="shared" si="236"/>
        <v>0.30911321163143085</v>
      </c>
      <c r="CL77" s="64">
        <f t="shared" si="236"/>
        <v>0.30696245733788396</v>
      </c>
      <c r="CM77" s="64">
        <f t="shared" si="236"/>
        <v>0.30107390629454817</v>
      </c>
      <c r="CN77" s="64">
        <f t="shared" si="236"/>
        <v>0.26468097532486495</v>
      </c>
      <c r="CO77" s="64">
        <f t="shared" si="236"/>
        <v>0.33758834028714957</v>
      </c>
      <c r="CP77" s="64">
        <f t="shared" si="236"/>
        <v>0.32861448926124026</v>
      </c>
      <c r="CQ77" s="64">
        <f t="shared" si="236"/>
        <v>0.32216426568252204</v>
      </c>
      <c r="CR77" s="64">
        <f t="shared" si="236"/>
        <v>0.33001637538582668</v>
      </c>
      <c r="CS77" s="64">
        <f t="shared" si="236"/>
        <v>0.33926219307249983</v>
      </c>
      <c r="CT77" s="64">
        <f t="shared" si="236"/>
        <v>0.32582328357254975</v>
      </c>
      <c r="CU77" s="64">
        <f t="shared" si="236"/>
        <v>0.31429736130018421</v>
      </c>
      <c r="CV77" s="64">
        <f t="shared" si="236"/>
        <v>0</v>
      </c>
      <c r="CW77" s="64" t="e">
        <f t="shared" si="236"/>
        <v>#DIV/0!</v>
      </c>
      <c r="CX77" s="64">
        <f t="shared" si="236"/>
        <v>0.29950786268217339</v>
      </c>
      <c r="CY77" s="64">
        <f t="shared" si="236"/>
        <v>0.27800343369205649</v>
      </c>
      <c r="CZ77" s="64">
        <f t="shared" si="236"/>
        <v>0.27840354131383455</v>
      </c>
      <c r="DA77" s="64">
        <f t="shared" si="236"/>
        <v>0.24943866926923092</v>
      </c>
      <c r="DB77" s="64">
        <f>DB58/DB55</f>
        <v>0.22711654925225561</v>
      </c>
      <c r="DC77" s="64">
        <f t="shared" ref="DC77:DK77" si="237">DC58/DC55</f>
        <v>0.21964878265928234</v>
      </c>
      <c r="DD77" s="64">
        <f t="shared" si="237"/>
        <v>0.22280799339165408</v>
      </c>
      <c r="DE77" s="64">
        <f t="shared" si="237"/>
        <v>0.25</v>
      </c>
      <c r="DF77" s="64">
        <f t="shared" si="237"/>
        <v>0.25</v>
      </c>
      <c r="DG77" s="64">
        <f t="shared" si="237"/>
        <v>0.25</v>
      </c>
      <c r="DH77" s="64">
        <f t="shared" si="237"/>
        <v>0.25</v>
      </c>
      <c r="DI77" s="64">
        <f t="shared" si="237"/>
        <v>0.25</v>
      </c>
      <c r="DJ77" s="64">
        <f t="shared" si="237"/>
        <v>0.25</v>
      </c>
      <c r="DK77" s="64">
        <f t="shared" si="237"/>
        <v>0.25</v>
      </c>
    </row>
    <row r="78" spans="2:193" x14ac:dyDescent="0.2">
      <c r="B78" t="s">
        <v>60</v>
      </c>
      <c r="F78" s="64">
        <f t="shared" ref="F78:AP78" si="238">F59/F55</f>
        <v>0.22394867832214857</v>
      </c>
      <c r="G78" s="64">
        <f t="shared" si="238"/>
        <v>0.23401274326819779</v>
      </c>
      <c r="H78" s="64">
        <f t="shared" si="238"/>
        <v>0.24083901945918626</v>
      </c>
      <c r="I78" s="64">
        <f t="shared" si="238"/>
        <v>0.23734777295520629</v>
      </c>
      <c r="J78" s="64">
        <f t="shared" si="238"/>
        <v>0.23442248140537719</v>
      </c>
      <c r="K78" s="64">
        <f t="shared" si="238"/>
        <v>0.22957523933451063</v>
      </c>
      <c r="L78" s="64">
        <f t="shared" si="238"/>
        <v>0.22640958223780311</v>
      </c>
      <c r="M78" s="64">
        <f t="shared" si="238"/>
        <v>0.21320647620077304</v>
      </c>
      <c r="N78" s="64">
        <f t="shared" si="238"/>
        <v>0.15667359081787136</v>
      </c>
      <c r="O78" s="64">
        <f t="shared" si="238"/>
        <v>0.19693106704438151</v>
      </c>
      <c r="P78" s="64">
        <f t="shared" si="238"/>
        <v>0.20372931470265629</v>
      </c>
      <c r="Q78" s="64">
        <f t="shared" si="238"/>
        <v>0.14315257742444021</v>
      </c>
      <c r="R78" s="64">
        <f t="shared" si="238"/>
        <v>0.14306074380785214</v>
      </c>
      <c r="S78" s="64">
        <f t="shared" si="238"/>
        <v>0.14052036271588322</v>
      </c>
      <c r="T78" s="64">
        <f t="shared" si="238"/>
        <v>0.14194077720593723</v>
      </c>
      <c r="U78" s="64">
        <f t="shared" si="238"/>
        <v>0.14021097853433181</v>
      </c>
      <c r="V78" s="64">
        <f t="shared" si="238"/>
        <v>0.19884847903272238</v>
      </c>
      <c r="W78" s="64">
        <f t="shared" si="238"/>
        <v>0.19365059896152745</v>
      </c>
      <c r="X78" s="64">
        <f t="shared" si="238"/>
        <v>0.20346142563801703</v>
      </c>
      <c r="Y78" s="64">
        <f t="shared" si="238"/>
        <v>0.20174397698669541</v>
      </c>
      <c r="Z78" s="64">
        <f t="shared" si="238"/>
        <v>0.2050387596899225</v>
      </c>
      <c r="AA78" s="64">
        <f t="shared" si="238"/>
        <v>0.1894266703126424</v>
      </c>
      <c r="AB78" s="64">
        <f t="shared" si="238"/>
        <v>0.20651625584914851</v>
      </c>
      <c r="AC78" s="64">
        <f t="shared" si="238"/>
        <v>0.2157105467921058</v>
      </c>
      <c r="AD78" s="64">
        <f t="shared" si="238"/>
        <v>0.23243147142487713</v>
      </c>
      <c r="AE78" s="64">
        <f t="shared" si="238"/>
        <v>0.19249212220852172</v>
      </c>
      <c r="AF78" s="64">
        <f t="shared" si="238"/>
        <v>0.20160568065506657</v>
      </c>
      <c r="AG78" s="64">
        <f t="shared" si="238"/>
        <v>0.20834078821099203</v>
      </c>
      <c r="AH78" s="64">
        <f t="shared" si="238"/>
        <v>0.22411654788087243</v>
      </c>
      <c r="AI78" s="64">
        <f t="shared" si="238"/>
        <v>0.20553691275167782</v>
      </c>
      <c r="AJ78" s="64">
        <f t="shared" si="238"/>
        <v>0.23581823051513262</v>
      </c>
      <c r="AK78" s="64">
        <f t="shared" si="238"/>
        <v>0.24672485071198896</v>
      </c>
      <c r="AL78" s="64">
        <f t="shared" si="238"/>
        <v>0.24301831992850759</v>
      </c>
      <c r="AM78" s="64">
        <f t="shared" si="238"/>
        <v>0.20837103253591982</v>
      </c>
      <c r="AN78" s="64">
        <f t="shared" si="238"/>
        <v>0.23976979775607277</v>
      </c>
      <c r="AO78" s="64">
        <f t="shared" si="238"/>
        <v>0.24492476060191518</v>
      </c>
      <c r="AP78" s="64">
        <f t="shared" si="238"/>
        <v>0.24122191011235955</v>
      </c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  <c r="BG78" s="64"/>
      <c r="BH78" s="64"/>
      <c r="BI78" s="64"/>
      <c r="BJ78" s="64"/>
      <c r="BK78" s="64">
        <f t="shared" ref="BK78" si="239">BK59/BK55</f>
        <v>0.24164882857760059</v>
      </c>
      <c r="BL78" s="64">
        <f t="shared" ref="BL78:BM78" si="240">BL59/BL55</f>
        <v>0.24876257384639947</v>
      </c>
      <c r="BM78" s="64">
        <f t="shared" si="240"/>
        <v>0.25213628396143734</v>
      </c>
      <c r="BN78" s="64">
        <f t="shared" ref="BN78:BO78" si="241">BN59/BN55</f>
        <v>0.25863958261779768</v>
      </c>
      <c r="BO78" s="64">
        <f t="shared" si="241"/>
        <v>0.23756783507969564</v>
      </c>
      <c r="BP78" s="64">
        <f t="shared" ref="BP78:BV78" si="242">BP59/BP55</f>
        <v>0.25279121358693685</v>
      </c>
      <c r="BQ78" s="64">
        <f t="shared" si="242"/>
        <v>0.25526948402606009</v>
      </c>
      <c r="BR78" s="64">
        <f t="shared" si="242"/>
        <v>0.24703969032674294</v>
      </c>
      <c r="BS78" s="64">
        <f t="shared" si="242"/>
        <v>0.24569472199365225</v>
      </c>
      <c r="BT78" s="64">
        <f t="shared" si="242"/>
        <v>0.24818991097922857</v>
      </c>
      <c r="BU78" s="64">
        <f t="shared" si="242"/>
        <v>0.25231064520891783</v>
      </c>
      <c r="BV78" s="64">
        <f t="shared" si="242"/>
        <v>0.24492806160077002</v>
      </c>
      <c r="BW78" s="64">
        <f>BW59/BW55</f>
        <v>0.20615613116349341</v>
      </c>
      <c r="BX78" s="64">
        <f t="shared" ref="BX78:CD78" si="243">BX59/BX55</f>
        <v>0.23562635896636255</v>
      </c>
      <c r="BY78" s="64">
        <f t="shared" si="243"/>
        <v>0.24533024056538361</v>
      </c>
      <c r="BZ78" s="64">
        <f t="shared" si="243"/>
        <v>0.2675424078454654</v>
      </c>
      <c r="CA78" s="64">
        <f t="shared" si="243"/>
        <v>0.23898404967627948</v>
      </c>
      <c r="CB78" s="64">
        <f t="shared" si="243"/>
        <v>0.23752939285553457</v>
      </c>
      <c r="CC78" s="64">
        <f t="shared" si="243"/>
        <v>0.23945834336521882</v>
      </c>
      <c r="CD78" s="64">
        <f t="shared" si="243"/>
        <v>0.25222098820543065</v>
      </c>
      <c r="CE78" s="64"/>
      <c r="CF78" s="64"/>
      <c r="CY78" s="53"/>
      <c r="CZ78" s="53"/>
    </row>
    <row r="79" spans="2:193" x14ac:dyDescent="0.2">
      <c r="B79" t="s">
        <v>207</v>
      </c>
      <c r="F79" s="64">
        <f t="shared" ref="F79:R79" si="244">F64/F63</f>
        <v>0.41673612268711452</v>
      </c>
      <c r="G79" s="64">
        <f t="shared" si="244"/>
        <v>0.46445508108287376</v>
      </c>
      <c r="H79" s="64">
        <f t="shared" si="244"/>
        <v>0.47611317254174368</v>
      </c>
      <c r="I79" s="64">
        <f t="shared" si="244"/>
        <v>0.38536054109824602</v>
      </c>
      <c r="J79" s="64">
        <f t="shared" si="244"/>
        <v>0.30359645025688908</v>
      </c>
      <c r="K79" s="64">
        <f t="shared" si="244"/>
        <v>0.3900210822206604</v>
      </c>
      <c r="L79" s="64">
        <f t="shared" si="244"/>
        <v>0.3674496644295302</v>
      </c>
      <c r="M79" s="64">
        <f t="shared" si="244"/>
        <v>0.31622706422018343</v>
      </c>
      <c r="N79" s="64">
        <f t="shared" si="244"/>
        <v>9.6808646985944338E-2</v>
      </c>
      <c r="O79" s="64">
        <f t="shared" si="244"/>
        <v>0.21815718157181574</v>
      </c>
      <c r="P79" s="64">
        <f t="shared" si="244"/>
        <v>0.32179549902152643</v>
      </c>
      <c r="Q79" s="64">
        <f t="shared" si="244"/>
        <v>0.10236373532384734</v>
      </c>
      <c r="R79" s="64">
        <f t="shared" si="244"/>
        <v>7.2875239357784644E-2</v>
      </c>
      <c r="S79" s="64">
        <v>0.22</v>
      </c>
      <c r="T79" s="64">
        <v>0.22</v>
      </c>
      <c r="U79" s="64">
        <v>0.22</v>
      </c>
      <c r="V79" s="64">
        <v>0.22</v>
      </c>
      <c r="W79" s="64">
        <f t="shared" ref="W79:AP79" si="245">W64/W63</f>
        <v>0.24231121580944903</v>
      </c>
      <c r="X79" s="64">
        <f t="shared" si="245"/>
        <v>0.24831347782402755</v>
      </c>
      <c r="Y79" s="64">
        <f t="shared" si="245"/>
        <v>7.8861236336688664E-2</v>
      </c>
      <c r="Z79" s="64">
        <f t="shared" si="245"/>
        <v>0.21005613091944028</v>
      </c>
      <c r="AA79" s="64">
        <f t="shared" si="245"/>
        <v>0.27264573991031388</v>
      </c>
      <c r="AB79" s="64">
        <f t="shared" si="245"/>
        <v>0.22206943966998971</v>
      </c>
      <c r="AC79" s="64">
        <f t="shared" si="245"/>
        <v>0.21555204493593119</v>
      </c>
      <c r="AD79" s="64">
        <f t="shared" si="245"/>
        <v>0.16120365394948946</v>
      </c>
      <c r="AE79" s="64">
        <f t="shared" si="245"/>
        <v>0.20900931998619257</v>
      </c>
      <c r="AF79" s="64">
        <f t="shared" si="245"/>
        <v>0.20076941572493406</v>
      </c>
      <c r="AG79" s="64">
        <f t="shared" si="245"/>
        <v>0.17926565874730019</v>
      </c>
      <c r="AH79" s="64">
        <f t="shared" si="245"/>
        <v>0.19874390546235837</v>
      </c>
      <c r="AI79" s="64">
        <f t="shared" si="245"/>
        <v>0.24435454211107024</v>
      </c>
      <c r="AJ79" s="64">
        <f t="shared" si="245"/>
        <v>0.22108814846056535</v>
      </c>
      <c r="AK79" s="64">
        <f t="shared" si="245"/>
        <v>0.22108127084430404</v>
      </c>
      <c r="AL79" s="64">
        <f t="shared" si="245"/>
        <v>0.20000000000000004</v>
      </c>
      <c r="AM79" s="64">
        <f t="shared" si="245"/>
        <v>0.2</v>
      </c>
      <c r="AN79" s="64">
        <f t="shared" si="245"/>
        <v>0.2</v>
      </c>
      <c r="AO79" s="64">
        <f t="shared" si="245"/>
        <v>0.2</v>
      </c>
      <c r="AP79" s="64">
        <f t="shared" si="245"/>
        <v>0.20000000000000004</v>
      </c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>
        <f t="shared" ref="BK79" si="246">BK64/BK63</f>
        <v>0.14349424927626941</v>
      </c>
      <c r="BL79" s="64">
        <f t="shared" ref="BL79:BM79" si="247">BL64/BL63</f>
        <v>0.10415262235405147</v>
      </c>
      <c r="BM79" s="64">
        <f t="shared" si="247"/>
        <v>0.12209341739543082</v>
      </c>
      <c r="BN79" s="64">
        <f t="shared" ref="BN79:BO79" si="248">BN64/BN63</f>
        <v>0.10993629736652002</v>
      </c>
      <c r="BO79" s="64">
        <f t="shared" si="248"/>
        <v>0.14963763811334227</v>
      </c>
      <c r="BP79" s="64">
        <f t="shared" ref="BP79:BV79" si="249">BP64/BP63</f>
        <v>0.15867689357622258</v>
      </c>
      <c r="BQ79" s="64">
        <f t="shared" si="249"/>
        <v>0.18152418447694052</v>
      </c>
      <c r="BR79" s="64">
        <f t="shared" si="249"/>
        <v>0.15692650334075731</v>
      </c>
      <c r="BS79" s="64">
        <f t="shared" si="249"/>
        <v>7.4556151403134235E-2</v>
      </c>
      <c r="BT79" s="64">
        <f t="shared" si="249"/>
        <v>0.1070977917981074</v>
      </c>
      <c r="BU79" s="64">
        <f t="shared" si="249"/>
        <v>0.1475739883229315</v>
      </c>
      <c r="BV79" s="64">
        <f t="shared" si="249"/>
        <v>4.903059026281776E-2</v>
      </c>
      <c r="BW79" s="64">
        <f>BW64/BW63</f>
        <v>9.7358034349109265E-2</v>
      </c>
      <c r="BX79" s="64">
        <f t="shared" ref="BX79:CD79" si="250">BX64/BX63</f>
        <v>0.1</v>
      </c>
      <c r="BY79" s="64">
        <f t="shared" si="250"/>
        <v>0.1</v>
      </c>
      <c r="BZ79" s="64">
        <f t="shared" si="250"/>
        <v>0.1</v>
      </c>
      <c r="CA79" s="64">
        <f t="shared" si="250"/>
        <v>0.1</v>
      </c>
      <c r="CB79" s="64">
        <f t="shared" si="250"/>
        <v>0.1</v>
      </c>
      <c r="CC79" s="64">
        <f t="shared" si="250"/>
        <v>0.1</v>
      </c>
      <c r="CD79" s="64">
        <f t="shared" si="250"/>
        <v>0.1</v>
      </c>
      <c r="CE79" s="64"/>
      <c r="CF79" s="64"/>
      <c r="CY79" s="53"/>
      <c r="CZ79" s="53"/>
      <c r="DC79" s="79">
        <f>+DC64/DC63</f>
        <v>0</v>
      </c>
      <c r="DD79" s="79">
        <f t="shared" ref="DD79:DK79" si="251">+DD64/DD63</f>
        <v>0</v>
      </c>
      <c r="DE79" s="79">
        <f t="shared" si="251"/>
        <v>0</v>
      </c>
      <c r="DF79" s="79">
        <f t="shared" si="251"/>
        <v>0</v>
      </c>
      <c r="DG79" s="79">
        <f t="shared" si="251"/>
        <v>0</v>
      </c>
      <c r="DH79" s="79">
        <f t="shared" si="251"/>
        <v>0</v>
      </c>
      <c r="DI79" s="79">
        <f t="shared" si="251"/>
        <v>0</v>
      </c>
      <c r="DJ79" s="79">
        <f t="shared" si="251"/>
        <v>0</v>
      </c>
      <c r="DK79" s="79">
        <f t="shared" si="251"/>
        <v>0</v>
      </c>
      <c r="DL79" s="52" t="s">
        <v>272</v>
      </c>
      <c r="DM79" s="66">
        <v>0.01</v>
      </c>
    </row>
    <row r="80" spans="2:193" x14ac:dyDescent="0.2">
      <c r="DL80" s="47" t="s">
        <v>244</v>
      </c>
      <c r="DM80" s="63">
        <v>-0.01</v>
      </c>
    </row>
    <row r="81" spans="2:117" x14ac:dyDescent="0.2">
      <c r="B81" t="s">
        <v>188</v>
      </c>
      <c r="Z81" s="51">
        <f>4498-6662+1155.8</f>
        <v>-1008.2</v>
      </c>
      <c r="AA81" s="51">
        <f>+Z81+AA65</f>
        <v>289.39999999999986</v>
      </c>
      <c r="AE81" s="51">
        <f>+AE83-AE96</f>
        <v>1939.5</v>
      </c>
      <c r="AF81" s="51">
        <f t="shared" ref="AF81" si="252">+AF83-AF96</f>
        <v>2544.1999999999989</v>
      </c>
      <c r="AG81" s="51">
        <f t="shared" ref="AG81" si="253">+AG83-AG96</f>
        <v>2923.8999999999996</v>
      </c>
      <c r="AH81" s="51">
        <f>+AH83-AH96</f>
        <v>3939.9000000000015</v>
      </c>
      <c r="AI81" s="51">
        <f>+AI83-AI96</f>
        <v>4031.9000000000005</v>
      </c>
      <c r="AJ81" s="51">
        <f>+AJ83-AJ96</f>
        <v>4299.8</v>
      </c>
      <c r="AK81" s="51">
        <f>+AK83-AK96</f>
        <v>6604.2000000000007</v>
      </c>
      <c r="AL81" s="51">
        <f>+AK81+AL65</f>
        <v>7231.4000000000005</v>
      </c>
      <c r="AM81" s="51">
        <f>+AL81+AM65</f>
        <v>8258.0400000000009</v>
      </c>
      <c r="AN81" s="51">
        <f>+AM81+AN65</f>
        <v>9132.6</v>
      </c>
      <c r="AO81" s="51">
        <f>+AN81+AO65</f>
        <v>10076.120000000001</v>
      </c>
      <c r="AP81" s="51">
        <f>+AO81+AP65</f>
        <v>10735.320000000002</v>
      </c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>
        <f t="shared" ref="BS81" si="254">+BS83-BS96</f>
        <v>-9920.7000000000007</v>
      </c>
      <c r="BT81" s="51">
        <f t="shared" ref="BT81" si="255">+BT83-BT96</f>
        <v>-9768.9999999999982</v>
      </c>
      <c r="BU81" s="51">
        <f>+BU83-BU96</f>
        <v>-9909.6000000000022</v>
      </c>
      <c r="BV81" s="51">
        <f>+BV83-BV96</f>
        <v>-9763.5</v>
      </c>
      <c r="BW81" s="51">
        <f>+BW83-BW96</f>
        <v>-11213.199999999999</v>
      </c>
      <c r="BX81" s="51">
        <f>+BW81+BX65</f>
        <v>-9188.194019499997</v>
      </c>
      <c r="BY81" s="51">
        <f t="shared" ref="BY81:CD81" si="256">+BX81+BY65</f>
        <v>-7193.692209812496</v>
      </c>
      <c r="BZ81" s="51">
        <f t="shared" si="256"/>
        <v>-5182.8023930078089</v>
      </c>
      <c r="CA81" s="51">
        <f t="shared" si="256"/>
        <v>-3243.8036263926915</v>
      </c>
      <c r="CB81" s="51">
        <f t="shared" si="256"/>
        <v>-1259.2383689387664</v>
      </c>
      <c r="CC81" s="51">
        <f t="shared" si="256"/>
        <v>856.70955838692703</v>
      </c>
      <c r="CD81" s="51">
        <f t="shared" si="256"/>
        <v>3183.9129700254198</v>
      </c>
      <c r="CE81" s="51"/>
      <c r="CF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  <c r="DC81" s="49">
        <f>+BZ81</f>
        <v>-5182.8023930078089</v>
      </c>
      <c r="DD81" s="49">
        <f>+DC81+DD65</f>
        <v>4213.548010362445</v>
      </c>
      <c r="DE81" s="49">
        <f t="shared" ref="DE81:DK81" si="257">+DD81+DE65</f>
        <v>22690.348949561885</v>
      </c>
      <c r="DF81" s="49">
        <f t="shared" si="257"/>
        <v>43929.718946161556</v>
      </c>
      <c r="DG81" s="49">
        <f t="shared" si="257"/>
        <v>68847.060332449968</v>
      </c>
      <c r="DH81" s="49">
        <f t="shared" si="257"/>
        <v>94640.497284590616</v>
      </c>
      <c r="DI81" s="49">
        <f t="shared" si="257"/>
        <v>120411.33381334635</v>
      </c>
      <c r="DJ81" s="49">
        <f t="shared" si="257"/>
        <v>145167.3102190246</v>
      </c>
      <c r="DK81" s="49">
        <f t="shared" si="257"/>
        <v>160587.17471078839</v>
      </c>
      <c r="DL81" s="47" t="s">
        <v>243</v>
      </c>
      <c r="DM81" s="63">
        <v>7.0000000000000007E-2</v>
      </c>
    </row>
    <row r="82" spans="2:117" x14ac:dyDescent="0.2">
      <c r="DL82" s="47" t="s">
        <v>245</v>
      </c>
      <c r="DM82" s="51">
        <f>NPV(DM81,DD65:GK65)+Main!J5-Main!J6</f>
        <v>220808.13861340296</v>
      </c>
    </row>
    <row r="83" spans="2:117" s="49" customFormat="1" x14ac:dyDescent="0.2">
      <c r="B83" s="49" t="s">
        <v>175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>
        <f>5993.2+733.8+1779.5</f>
        <v>8506.5</v>
      </c>
      <c r="AE83" s="51">
        <f>6506.4+206.7+1898.7</f>
        <v>8611.7999999999993</v>
      </c>
      <c r="AF83" s="51">
        <f>6113.5+216.3+2943</f>
        <v>9272.7999999999993</v>
      </c>
      <c r="AG83" s="51">
        <f>6597.7+186.6+3219.6</f>
        <v>10003.9</v>
      </c>
      <c r="AH83" s="51">
        <f>5922.5+974.6+4029.8</f>
        <v>10926.900000000001</v>
      </c>
      <c r="AI83" s="51">
        <f>4122.2+802.4+4521.1</f>
        <v>9445.7000000000007</v>
      </c>
      <c r="AJ83" s="51">
        <f>4345.8+915.7+4547.6</f>
        <v>9809.1</v>
      </c>
      <c r="AK83" s="51">
        <f>5319.2+1580.7+5224.3</f>
        <v>12124.2</v>
      </c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>
        <f>3002.4+49+3232.4</f>
        <v>6283.8</v>
      </c>
      <c r="BT83" s="51">
        <f>3220+51.2+3474.9</f>
        <v>6746.1</v>
      </c>
      <c r="BU83" s="51">
        <f>3788.2+37.1+3350.5</f>
        <v>7175.7999999999993</v>
      </c>
      <c r="BV83" s="51">
        <f>3818.5+90.1+3212.6</f>
        <v>7121.2</v>
      </c>
      <c r="BW83" s="51">
        <f>2459.2+109.1+2727.3</f>
        <v>5295.6</v>
      </c>
      <c r="BX83" s="51"/>
      <c r="BY83" s="51"/>
      <c r="BZ83" s="51"/>
      <c r="CA83" s="51"/>
      <c r="CB83" s="51"/>
      <c r="CC83" s="51"/>
      <c r="CD83" s="51"/>
      <c r="CE83" s="51"/>
      <c r="CF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  <c r="DL83" s="60" t="s">
        <v>267</v>
      </c>
      <c r="DM83" s="65">
        <f>+DM82/Main!J3</f>
        <v>232.39058800375966</v>
      </c>
    </row>
    <row r="84" spans="2:117" s="49" customFormat="1" x14ac:dyDescent="0.2">
      <c r="B84" s="50" t="s">
        <v>288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>
        <v>3493.8</v>
      </c>
      <c r="AE84" s="51">
        <v>3694.3</v>
      </c>
      <c r="AF84" s="51">
        <v>3833.6</v>
      </c>
      <c r="AG84" s="51">
        <v>3533.2</v>
      </c>
      <c r="AH84" s="51">
        <v>3597.7</v>
      </c>
      <c r="AI84" s="51">
        <v>3402.1</v>
      </c>
      <c r="AJ84" s="51">
        <v>3181.7</v>
      </c>
      <c r="AK84" s="51">
        <v>3268.2</v>
      </c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>
        <v>5592.8</v>
      </c>
      <c r="BT84" s="51">
        <v>5829.4</v>
      </c>
      <c r="BU84" s="51">
        <v>5914.3</v>
      </c>
      <c r="BV84" s="51">
        <v>6672.8</v>
      </c>
      <c r="BW84" s="51">
        <v>6322.5</v>
      </c>
      <c r="BX84" s="51"/>
      <c r="BY84" s="51"/>
      <c r="BZ84" s="51"/>
      <c r="CA84" s="51"/>
      <c r="CB84" s="51"/>
      <c r="CC84" s="51"/>
      <c r="CD84" s="51"/>
      <c r="CE84" s="51"/>
      <c r="CF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</row>
    <row r="85" spans="2:117" s="49" customFormat="1" x14ac:dyDescent="0.2">
      <c r="B85" s="50" t="s">
        <v>289</v>
      </c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>
        <v>664.3</v>
      </c>
      <c r="AE85" s="51">
        <v>488.8</v>
      </c>
      <c r="AF85" s="51">
        <v>612.9</v>
      </c>
      <c r="AG85" s="51">
        <v>564.4</v>
      </c>
      <c r="AH85" s="51">
        <v>640.20000000000005</v>
      </c>
      <c r="AI85" s="51">
        <v>529.20000000000005</v>
      </c>
      <c r="AJ85" s="51">
        <v>590</v>
      </c>
      <c r="AK85" s="51">
        <v>527.29999999999995</v>
      </c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>
        <v>1065.8</v>
      </c>
      <c r="BT85" s="51">
        <v>1073.4000000000001</v>
      </c>
      <c r="BU85" s="51">
        <v>1110.7</v>
      </c>
      <c r="BV85" s="51">
        <v>1454.4</v>
      </c>
      <c r="BW85" s="51">
        <v>1483.2</v>
      </c>
      <c r="BX85" s="51"/>
      <c r="BY85" s="51"/>
      <c r="BZ85" s="51"/>
      <c r="CA85" s="51"/>
      <c r="CB85" s="51"/>
      <c r="CC85" s="51"/>
      <c r="CD85" s="51"/>
      <c r="CE85" s="51"/>
      <c r="CF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</row>
    <row r="86" spans="2:117" s="49" customFormat="1" x14ac:dyDescent="0.2">
      <c r="B86" s="50" t="s">
        <v>290</v>
      </c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>
        <v>2517.6999999999998</v>
      </c>
      <c r="AE86" s="51">
        <v>2767.2</v>
      </c>
      <c r="AF86" s="51">
        <v>2870.2</v>
      </c>
      <c r="AG86" s="51">
        <v>2513.3000000000002</v>
      </c>
      <c r="AH86" s="51">
        <v>2299.8000000000002</v>
      </c>
      <c r="AI86" s="51">
        <v>2424.1999999999998</v>
      </c>
      <c r="AJ86" s="51">
        <v>2320.8000000000002</v>
      </c>
      <c r="AK86" s="51">
        <v>2553.4</v>
      </c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>
        <v>3660.8</v>
      </c>
      <c r="BT86" s="51">
        <v>3824.9</v>
      </c>
      <c r="BU86" s="51">
        <v>3907.4</v>
      </c>
      <c r="BV86" s="51">
        <v>3886</v>
      </c>
      <c r="BW86" s="51">
        <v>3893</v>
      </c>
      <c r="BX86" s="51"/>
      <c r="BY86" s="51"/>
      <c r="BZ86" s="51"/>
      <c r="CA86" s="51"/>
      <c r="CB86" s="51"/>
      <c r="CC86" s="51"/>
      <c r="CD86" s="51"/>
      <c r="CE86" s="51"/>
      <c r="CF86" s="51"/>
      <c r="CH86" s="51"/>
      <c r="CI86" s="51"/>
      <c r="CJ86" s="51"/>
      <c r="CK86" s="51"/>
      <c r="CL86" s="51"/>
      <c r="CM86" s="51"/>
      <c r="CN86" s="51"/>
      <c r="CO86" s="51"/>
      <c r="CP86" s="51"/>
      <c r="CQ86" s="51"/>
      <c r="CR86" s="51"/>
      <c r="CS86" s="51"/>
      <c r="CT86" s="51"/>
      <c r="CU86" s="51"/>
      <c r="CV86" s="51"/>
      <c r="CW86" s="51"/>
      <c r="CX86" s="51"/>
    </row>
    <row r="87" spans="2:117" s="49" customFormat="1" x14ac:dyDescent="0.2">
      <c r="B87" s="50" t="s">
        <v>291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>
        <v>828.3</v>
      </c>
      <c r="AE87" s="51">
        <v>550.1</v>
      </c>
      <c r="AF87" s="51">
        <v>436.5</v>
      </c>
      <c r="AG87" s="51">
        <v>378.4</v>
      </c>
      <c r="AH87" s="51">
        <v>158.5</v>
      </c>
      <c r="AI87" s="51">
        <v>324</v>
      </c>
      <c r="AJ87" s="51">
        <v>0</v>
      </c>
      <c r="AK87" s="51">
        <v>0</v>
      </c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>
        <v>3233.7</v>
      </c>
      <c r="BT87" s="51">
        <v>3296.6</v>
      </c>
      <c r="BU87" s="51">
        <v>3050.6</v>
      </c>
      <c r="BV87" s="51">
        <v>2530.6</v>
      </c>
      <c r="BW87" s="51">
        <v>2697.7</v>
      </c>
      <c r="BX87" s="51"/>
      <c r="BY87" s="51"/>
      <c r="BZ87" s="51"/>
      <c r="CA87" s="51"/>
      <c r="CB87" s="51"/>
      <c r="CC87" s="51"/>
      <c r="CD87" s="51"/>
      <c r="CE87" s="51"/>
      <c r="CF87" s="51"/>
      <c r="CH87" s="51"/>
      <c r="CI87" s="51"/>
      <c r="CJ87" s="51"/>
      <c r="CK87" s="51"/>
      <c r="CL87" s="51"/>
      <c r="CM87" s="51"/>
      <c r="CN87" s="51"/>
      <c r="CO87" s="51"/>
      <c r="CP87" s="51"/>
      <c r="CQ87" s="51"/>
      <c r="CR87" s="51"/>
      <c r="CS87" s="51"/>
      <c r="CT87" s="51"/>
      <c r="CU87" s="51"/>
      <c r="CV87" s="51"/>
      <c r="CW87" s="51"/>
      <c r="CX87" s="51"/>
    </row>
    <row r="88" spans="2:117" s="49" customFormat="1" x14ac:dyDescent="0.2">
      <c r="B88" s="50" t="s">
        <v>292</v>
      </c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>
        <v>608.9</v>
      </c>
      <c r="AE88" s="51">
        <v>1140.8</v>
      </c>
      <c r="AF88" s="51">
        <v>867.3</v>
      </c>
      <c r="AG88" s="51">
        <v>799.1</v>
      </c>
      <c r="AH88" s="51">
        <v>654.9</v>
      </c>
      <c r="AI88" s="51">
        <v>998.5</v>
      </c>
      <c r="AJ88" s="51">
        <v>953.3</v>
      </c>
      <c r="AK88" s="51">
        <v>790.1</v>
      </c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51"/>
      <c r="BW88" s="51"/>
      <c r="BX88" s="51"/>
      <c r="BY88" s="51"/>
      <c r="BZ88" s="51"/>
      <c r="CA88" s="51"/>
      <c r="CB88" s="51"/>
      <c r="CC88" s="51"/>
      <c r="CD88" s="51"/>
      <c r="CE88" s="51"/>
      <c r="CF88" s="51"/>
      <c r="CH88" s="51"/>
      <c r="CI88" s="51"/>
      <c r="CJ88" s="51"/>
      <c r="CK88" s="51"/>
      <c r="CL88" s="51"/>
      <c r="CM88" s="51"/>
      <c r="CN88" s="51"/>
      <c r="CO88" s="51"/>
      <c r="CP88" s="51"/>
      <c r="CQ88" s="51"/>
      <c r="CR88" s="51"/>
      <c r="CS88" s="51"/>
      <c r="CT88" s="51"/>
      <c r="CU88" s="51"/>
      <c r="CV88" s="51"/>
      <c r="CW88" s="51"/>
      <c r="CX88" s="51"/>
    </row>
    <row r="89" spans="2:117" s="49" customFormat="1" x14ac:dyDescent="0.2">
      <c r="B89" s="50" t="s">
        <v>293</v>
      </c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>
        <v>4818.8</v>
      </c>
      <c r="AE89" s="51">
        <v>4731.3</v>
      </c>
      <c r="AF89" s="51">
        <v>4955.3999999999996</v>
      </c>
      <c r="AG89" s="51">
        <v>5221.8999999999996</v>
      </c>
      <c r="AH89" s="51">
        <v>5128.1000000000004</v>
      </c>
      <c r="AI89" s="51">
        <v>5266.7</v>
      </c>
      <c r="AJ89" s="51">
        <v>5142.8</v>
      </c>
      <c r="AK89" s="51">
        <v>5031.1000000000004</v>
      </c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>
        <f>3877.4+8087.8</f>
        <v>11965.2</v>
      </c>
      <c r="BT89" s="51">
        <f>3884.2+7985.4</f>
        <v>11869.599999999999</v>
      </c>
      <c r="BU89" s="51">
        <f>3884.1+7887.7</f>
        <v>11771.8</v>
      </c>
      <c r="BV89" s="51">
        <f>3892+7691.9</f>
        <v>11583.9</v>
      </c>
      <c r="BW89" s="51">
        <f>3892+7482.4</f>
        <v>11374.4</v>
      </c>
      <c r="BX89" s="51"/>
      <c r="BY89" s="51"/>
      <c r="BZ89" s="51"/>
      <c r="CA89" s="51"/>
      <c r="CB89" s="51"/>
      <c r="CC89" s="51"/>
      <c r="CD89" s="51"/>
      <c r="CE89" s="51"/>
      <c r="CF89" s="51"/>
      <c r="CH89" s="51"/>
      <c r="CI89" s="51"/>
      <c r="CJ89" s="51"/>
      <c r="CK89" s="51"/>
      <c r="CL89" s="51"/>
      <c r="CM89" s="51"/>
      <c r="CN89" s="51"/>
      <c r="CO89" s="51"/>
      <c r="CP89" s="51"/>
      <c r="CQ89" s="51"/>
      <c r="CR89" s="51"/>
      <c r="CS89" s="51"/>
      <c r="CT89" s="51"/>
      <c r="CU89" s="51"/>
      <c r="CV89" s="51"/>
      <c r="CW89" s="51"/>
      <c r="CX89" s="51"/>
    </row>
    <row r="90" spans="2:117" s="49" customFormat="1" x14ac:dyDescent="0.2">
      <c r="B90" s="50" t="s">
        <v>389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>
        <v>2649.9</v>
      </c>
      <c r="BT90" s="51">
        <v>2674.9</v>
      </c>
      <c r="BU90" s="51">
        <v>2625.6</v>
      </c>
      <c r="BV90" s="51">
        <v>2489.3000000000002</v>
      </c>
      <c r="BW90" s="51">
        <v>2464.9</v>
      </c>
      <c r="BX90" s="51"/>
      <c r="BY90" s="51"/>
      <c r="BZ90" s="51"/>
      <c r="CA90" s="51"/>
      <c r="CB90" s="51"/>
      <c r="CC90" s="51"/>
      <c r="CD90" s="51"/>
      <c r="CE90" s="51"/>
      <c r="CF90" s="51"/>
      <c r="CH90" s="51"/>
      <c r="CI90" s="51"/>
      <c r="CJ90" s="51"/>
      <c r="CK90" s="51"/>
      <c r="CL90" s="51"/>
      <c r="CM90" s="51"/>
      <c r="CN90" s="51"/>
      <c r="CO90" s="51"/>
      <c r="CP90" s="51"/>
      <c r="CQ90" s="51"/>
      <c r="CR90" s="51"/>
      <c r="CS90" s="51"/>
      <c r="CT90" s="51"/>
      <c r="CU90" s="51"/>
      <c r="CV90" s="51"/>
      <c r="CW90" s="51"/>
      <c r="CX90" s="51"/>
    </row>
    <row r="91" spans="2:117" s="49" customFormat="1" x14ac:dyDescent="0.2">
      <c r="B91" s="50" t="s">
        <v>294</v>
      </c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>
        <v>1622.4</v>
      </c>
      <c r="AE91" s="51">
        <v>1743.3</v>
      </c>
      <c r="AF91" s="51">
        <v>1976.9</v>
      </c>
      <c r="AG91" s="51">
        <v>2215.8000000000002</v>
      </c>
      <c r="AH91" s="51">
        <v>2493.4</v>
      </c>
      <c r="AI91" s="51">
        <v>2093.1999999999998</v>
      </c>
      <c r="AJ91" s="51">
        <v>2195</v>
      </c>
      <c r="AK91" s="51">
        <v>2387.8000000000002</v>
      </c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>
        <v>0</v>
      </c>
      <c r="BT91" s="51">
        <v>0</v>
      </c>
      <c r="BU91" s="51">
        <v>0</v>
      </c>
      <c r="BV91" s="51">
        <v>0</v>
      </c>
      <c r="BW91" s="51">
        <v>0</v>
      </c>
      <c r="BX91" s="51"/>
      <c r="BY91" s="51"/>
      <c r="BZ91" s="51"/>
      <c r="CA91" s="51"/>
      <c r="CB91" s="51"/>
      <c r="CC91" s="51"/>
      <c r="CD91" s="51"/>
      <c r="CE91" s="51"/>
      <c r="CF91" s="51"/>
      <c r="CH91" s="51"/>
      <c r="CI91" s="51"/>
      <c r="CJ91" s="51"/>
      <c r="CK91" s="51"/>
      <c r="CL91" s="51"/>
      <c r="CM91" s="51"/>
      <c r="CN91" s="51"/>
      <c r="CO91" s="51"/>
      <c r="CP91" s="51"/>
      <c r="CQ91" s="51"/>
      <c r="CR91" s="51"/>
      <c r="CS91" s="51"/>
      <c r="CT91" s="51"/>
      <c r="CU91" s="51"/>
      <c r="CV91" s="51"/>
      <c r="CW91" s="51"/>
      <c r="CX91" s="51"/>
    </row>
    <row r="92" spans="2:117" s="49" customFormat="1" x14ac:dyDescent="0.2">
      <c r="B92" s="50" t="s">
        <v>295</v>
      </c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>
        <v>7940.7</v>
      </c>
      <c r="AE92" s="51">
        <v>7967.7</v>
      </c>
      <c r="AF92" s="51">
        <v>7953.7</v>
      </c>
      <c r="AG92" s="51">
        <v>7812.2</v>
      </c>
      <c r="AH92" s="51">
        <v>7760.3</v>
      </c>
      <c r="AI92" s="51">
        <v>7754.6</v>
      </c>
      <c r="AJ92" s="51">
        <v>7619.9</v>
      </c>
      <c r="AK92" s="51">
        <v>7638.9</v>
      </c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>
        <v>8630.1</v>
      </c>
      <c r="BT92" s="51">
        <v>8855.5</v>
      </c>
      <c r="BU92" s="51">
        <v>8920.4</v>
      </c>
      <c r="BV92" s="51">
        <v>8985.1</v>
      </c>
      <c r="BW92" s="51">
        <v>9102.7000000000007</v>
      </c>
      <c r="BX92" s="51"/>
      <c r="BY92" s="51"/>
      <c r="BZ92" s="51"/>
      <c r="CA92" s="51"/>
      <c r="CB92" s="51"/>
      <c r="CC92" s="51"/>
      <c r="CD92" s="51"/>
      <c r="CE92" s="51"/>
      <c r="CF92" s="51"/>
      <c r="CH92" s="51"/>
      <c r="CI92" s="51"/>
      <c r="CJ92" s="51"/>
      <c r="CK92" s="51"/>
      <c r="CL92" s="51"/>
      <c r="CM92" s="51"/>
      <c r="CN92" s="51"/>
      <c r="CO92" s="51"/>
      <c r="CP92" s="51"/>
      <c r="CQ92" s="51"/>
      <c r="CR92" s="51"/>
      <c r="CS92" s="51"/>
      <c r="CT92" s="51"/>
      <c r="CU92" s="51"/>
      <c r="CV92" s="51"/>
      <c r="CW92" s="51"/>
      <c r="CX92" s="51"/>
    </row>
    <row r="93" spans="2:117" s="49" customFormat="1" x14ac:dyDescent="0.2">
      <c r="B93" s="50" t="s">
        <v>390</v>
      </c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>
        <v>3756.2</v>
      </c>
      <c r="BT93" s="51">
        <v>3638.6</v>
      </c>
      <c r="BU93" s="51">
        <v>3710.4</v>
      </c>
      <c r="BV93" s="51">
        <v>4082.7</v>
      </c>
      <c r="BW93" s="51">
        <v>4285.3</v>
      </c>
      <c r="BX93" s="51"/>
      <c r="BY93" s="51"/>
      <c r="BZ93" s="51"/>
      <c r="CA93" s="51"/>
      <c r="CB93" s="51"/>
      <c r="CC93" s="51"/>
      <c r="CD93" s="51"/>
      <c r="CE93" s="51"/>
      <c r="CF93" s="51"/>
      <c r="CH93" s="51"/>
      <c r="CI93" s="51"/>
      <c r="CJ93" s="51"/>
      <c r="CK93" s="51"/>
      <c r="CL93" s="51"/>
      <c r="CM93" s="51"/>
      <c r="CN93" s="51"/>
      <c r="CO93" s="51"/>
      <c r="CP93" s="51"/>
      <c r="CQ93" s="51"/>
      <c r="CR93" s="51"/>
      <c r="CS93" s="51"/>
      <c r="CT93" s="51"/>
      <c r="CU93" s="51"/>
      <c r="CV93" s="51"/>
      <c r="CW93" s="51"/>
      <c r="CX93" s="51"/>
    </row>
    <row r="94" spans="2:117" s="49" customFormat="1" x14ac:dyDescent="0.2">
      <c r="B94" s="50" t="s">
        <v>296</v>
      </c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>
        <f>SUM(AD83:AD92)</f>
        <v>31001.4</v>
      </c>
      <c r="AE94" s="51">
        <f>SUM(AE83:AE92)</f>
        <v>31695.3</v>
      </c>
      <c r="AF94" s="51">
        <f t="shared" ref="AF94" si="258">SUM(AF83:AF92)</f>
        <v>32779.299999999996</v>
      </c>
      <c r="AG94" s="51">
        <f>SUM(AG83:AG92)</f>
        <v>33042.199999999997</v>
      </c>
      <c r="AH94" s="51">
        <f>SUM(AH83:AH92)</f>
        <v>33659.80000000001</v>
      </c>
      <c r="AI94" s="51">
        <f>SUM(AI83:AI92)</f>
        <v>32238.200000000004</v>
      </c>
      <c r="AJ94" s="51">
        <f>SUM(AJ83:AJ92)</f>
        <v>31812.6</v>
      </c>
      <c r="AK94" s="51">
        <f>SUM(AK83:AK92)</f>
        <v>34321</v>
      </c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>
        <f t="shared" ref="BS94" si="259">SUM(BS83:BS93)</f>
        <v>46838.299999999996</v>
      </c>
      <c r="BT94" s="51">
        <f t="shared" ref="BT94" si="260">SUM(BT83:BT93)</f>
        <v>47808.999999999993</v>
      </c>
      <c r="BU94" s="51">
        <f>SUM(BU83:BU93)</f>
        <v>48187</v>
      </c>
      <c r="BV94" s="51">
        <f>SUM(BV83:BV93)</f>
        <v>48806</v>
      </c>
      <c r="BW94" s="51">
        <f>SUM(BW83:BW93)</f>
        <v>46919.3</v>
      </c>
      <c r="BX94" s="51"/>
      <c r="BY94" s="51"/>
      <c r="BZ94" s="51"/>
      <c r="CA94" s="51"/>
      <c r="CB94" s="51"/>
      <c r="CC94" s="51"/>
      <c r="CD94" s="51"/>
      <c r="CE94" s="51"/>
      <c r="CF94" s="51"/>
      <c r="CH94" s="51"/>
      <c r="CI94" s="51"/>
      <c r="CJ94" s="51"/>
      <c r="CK94" s="51"/>
      <c r="CL94" s="51"/>
      <c r="CM94" s="51"/>
      <c r="CN94" s="51"/>
      <c r="CO94" s="51"/>
      <c r="CP94" s="51"/>
      <c r="CQ94" s="51"/>
      <c r="CR94" s="51"/>
      <c r="CS94" s="51"/>
      <c r="CT94" s="51"/>
      <c r="CU94" s="51"/>
      <c r="CV94" s="51"/>
      <c r="CW94" s="51"/>
      <c r="CX94" s="51"/>
    </row>
    <row r="96" spans="2:117" s="49" customFormat="1" x14ac:dyDescent="0.2">
      <c r="B96" s="50" t="s">
        <v>176</v>
      </c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>
        <f>156+6770.5</f>
        <v>6926.5</v>
      </c>
      <c r="AE96" s="51">
        <f>1539.9+5132.4</f>
        <v>6672.2999999999993</v>
      </c>
      <c r="AF96" s="51">
        <f>1528.5+5200.1</f>
        <v>6728.6</v>
      </c>
      <c r="AG96" s="51">
        <f>1628.7+5451.3</f>
        <v>7080</v>
      </c>
      <c r="AH96" s="51">
        <f>1522.3+5464.7</f>
        <v>6987</v>
      </c>
      <c r="AI96" s="51">
        <f>10.6+5403.2</f>
        <v>5413.8</v>
      </c>
      <c r="AJ96" s="51">
        <f>9.1+5500.2</f>
        <v>5509.3</v>
      </c>
      <c r="AK96" s="51">
        <f>9.1+5510.9</f>
        <v>5520</v>
      </c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>
        <f>4.9+16199.6</f>
        <v>16204.5</v>
      </c>
      <c r="BT96" s="51">
        <f>1778.5+14736.6</f>
        <v>16515.099999999999</v>
      </c>
      <c r="BU96" s="51">
        <f>1563+15522.4</f>
        <v>17085.400000000001</v>
      </c>
      <c r="BV96" s="51">
        <f>1538.3+15346.4</f>
        <v>16884.7</v>
      </c>
      <c r="BW96" s="51">
        <f>1355.9+15152.9</f>
        <v>16508.8</v>
      </c>
      <c r="BX96" s="51"/>
      <c r="BY96" s="51"/>
      <c r="BZ96" s="51"/>
      <c r="CA96" s="51"/>
      <c r="CB96" s="51"/>
      <c r="CC96" s="51"/>
      <c r="CD96" s="51"/>
      <c r="CE96" s="51"/>
      <c r="CF96" s="51"/>
      <c r="CH96" s="51"/>
      <c r="CI96" s="51"/>
      <c r="CJ96" s="51"/>
      <c r="CK96" s="51"/>
      <c r="CL96" s="51"/>
      <c r="CM96" s="51"/>
      <c r="CN96" s="51"/>
      <c r="CO96" s="51"/>
      <c r="CP96" s="51"/>
      <c r="CQ96" s="51"/>
      <c r="CR96" s="51"/>
      <c r="CS96" s="51"/>
      <c r="CT96" s="51"/>
      <c r="CU96" s="51"/>
      <c r="CV96" s="51"/>
      <c r="CW96" s="51"/>
      <c r="CX96" s="51"/>
    </row>
    <row r="97" spans="2:102" s="49" customFormat="1" x14ac:dyDescent="0.2">
      <c r="B97" s="50" t="s">
        <v>297</v>
      </c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>
        <v>1072.2</v>
      </c>
      <c r="AE97" s="51">
        <v>1183.2</v>
      </c>
      <c r="AF97" s="51">
        <v>1187.5999999999999</v>
      </c>
      <c r="AG97" s="51">
        <v>1154.3</v>
      </c>
      <c r="AH97" s="51">
        <v>1125.2</v>
      </c>
      <c r="AI97" s="51">
        <v>1246.3</v>
      </c>
      <c r="AJ97" s="51">
        <v>1201.5999999999999</v>
      </c>
      <c r="AK97" s="51">
        <v>1328.7</v>
      </c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>
        <v>1639.6</v>
      </c>
      <c r="BT97" s="51">
        <v>1597.8</v>
      </c>
      <c r="BU97" s="51">
        <v>1566.8</v>
      </c>
      <c r="BV97" s="51">
        <v>1670.6</v>
      </c>
      <c r="BW97" s="51">
        <v>1433.3</v>
      </c>
      <c r="BX97" s="51"/>
      <c r="BY97" s="51"/>
      <c r="BZ97" s="51"/>
      <c r="CA97" s="51"/>
      <c r="CB97" s="51"/>
      <c r="CC97" s="51"/>
      <c r="CD97" s="51"/>
      <c r="CE97" s="51"/>
      <c r="CF97" s="51"/>
      <c r="CH97" s="51"/>
      <c r="CI97" s="51"/>
      <c r="CJ97" s="51"/>
      <c r="CK97" s="51"/>
      <c r="CL97" s="51"/>
      <c r="CM97" s="51"/>
      <c r="CN97" s="51"/>
      <c r="CO97" s="51"/>
      <c r="CP97" s="51"/>
      <c r="CQ97" s="51"/>
      <c r="CR97" s="51"/>
      <c r="CS97" s="51"/>
      <c r="CT97" s="51"/>
      <c r="CU97" s="51"/>
      <c r="CV97" s="51"/>
      <c r="CW97" s="51"/>
      <c r="CX97" s="51"/>
    </row>
    <row r="98" spans="2:102" s="49" customFormat="1" x14ac:dyDescent="0.2">
      <c r="B98" s="50" t="s">
        <v>298</v>
      </c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>
        <v>851.8</v>
      </c>
      <c r="AE98" s="51">
        <v>524</v>
      </c>
      <c r="AF98" s="51">
        <v>584.70000000000005</v>
      </c>
      <c r="AG98" s="51">
        <v>689.3</v>
      </c>
      <c r="AH98" s="51">
        <v>804.7</v>
      </c>
      <c r="AI98" s="51">
        <v>533.79999999999995</v>
      </c>
      <c r="AJ98" s="51">
        <v>602.9</v>
      </c>
      <c r="AK98" s="51">
        <v>772.7</v>
      </c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>
        <v>649.9</v>
      </c>
      <c r="BT98" s="51">
        <v>755.5</v>
      </c>
      <c r="BU98" s="51">
        <v>836.6</v>
      </c>
      <c r="BV98" s="51">
        <v>958.1</v>
      </c>
      <c r="BW98" s="51">
        <v>693.1</v>
      </c>
      <c r="BX98" s="51"/>
      <c r="BY98" s="51"/>
      <c r="BZ98" s="51"/>
      <c r="CA98" s="51"/>
      <c r="CB98" s="51"/>
      <c r="CC98" s="51"/>
      <c r="CD98" s="51"/>
      <c r="CE98" s="51"/>
      <c r="CF98" s="51"/>
      <c r="CH98" s="51"/>
      <c r="CI98" s="51"/>
      <c r="CJ98" s="51"/>
      <c r="CK98" s="51"/>
      <c r="CL98" s="51"/>
      <c r="CM98" s="51"/>
      <c r="CN98" s="51"/>
      <c r="CO98" s="51"/>
      <c r="CP98" s="51"/>
      <c r="CQ98" s="51"/>
      <c r="CR98" s="51"/>
      <c r="CS98" s="51"/>
      <c r="CT98" s="51"/>
      <c r="CU98" s="51"/>
      <c r="CV98" s="51"/>
      <c r="CW98" s="51"/>
      <c r="CX98" s="51"/>
    </row>
    <row r="99" spans="2:102" s="49" customFormat="1" x14ac:dyDescent="0.2">
      <c r="B99" s="50" t="s">
        <v>299</v>
      </c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>
        <v>1372.6</v>
      </c>
      <c r="AE99" s="51">
        <v>1489.5</v>
      </c>
      <c r="AF99" s="51">
        <v>1807.6</v>
      </c>
      <c r="AG99" s="51">
        <v>1882.3</v>
      </c>
      <c r="AH99" s="51">
        <v>1771.3</v>
      </c>
      <c r="AI99" s="51">
        <v>1619.8</v>
      </c>
      <c r="AJ99" s="51">
        <v>1628.6</v>
      </c>
      <c r="AK99" s="51">
        <v>1695.6</v>
      </c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>
        <v>5821.4</v>
      </c>
      <c r="BT99" s="51">
        <v>7035.8</v>
      </c>
      <c r="BU99" s="51">
        <v>7185.6</v>
      </c>
      <c r="BV99" s="51">
        <v>6845.8</v>
      </c>
      <c r="BW99" s="51">
        <v>6768.7</v>
      </c>
      <c r="BX99" s="51"/>
      <c r="BY99" s="51"/>
      <c r="BZ99" s="51"/>
      <c r="CA99" s="51"/>
      <c r="CB99" s="51"/>
      <c r="CC99" s="51"/>
      <c r="CD99" s="51"/>
      <c r="CE99" s="51"/>
      <c r="CF99" s="51"/>
      <c r="CH99" s="51"/>
      <c r="CI99" s="51"/>
      <c r="CJ99" s="51"/>
      <c r="CK99" s="51"/>
      <c r="CL99" s="51"/>
      <c r="CM99" s="51"/>
      <c r="CN99" s="51"/>
      <c r="CO99" s="51"/>
      <c r="CP99" s="51"/>
      <c r="CQ99" s="51"/>
      <c r="CR99" s="51"/>
      <c r="CS99" s="51"/>
      <c r="CT99" s="51"/>
      <c r="CU99" s="51"/>
      <c r="CV99" s="51"/>
      <c r="CW99" s="51"/>
      <c r="CX99" s="51"/>
    </row>
    <row r="100" spans="2:102" s="49" customFormat="1" x14ac:dyDescent="0.2">
      <c r="B100" s="50" t="s">
        <v>300</v>
      </c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>
        <v>540</v>
      </c>
      <c r="AE100" s="51">
        <v>0</v>
      </c>
      <c r="AF100" s="51">
        <v>542.29999999999995</v>
      </c>
      <c r="AG100" s="51">
        <v>0</v>
      </c>
      <c r="AH100" s="51">
        <v>542.29999999999995</v>
      </c>
      <c r="AI100" s="51">
        <v>0</v>
      </c>
      <c r="AJ100" s="51">
        <v>543.6</v>
      </c>
      <c r="AK100" s="51">
        <v>0</v>
      </c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>
        <v>0</v>
      </c>
      <c r="BT100" s="51">
        <v>770.8</v>
      </c>
      <c r="BU100" s="51">
        <v>0</v>
      </c>
      <c r="BV100" s="51">
        <v>885.5</v>
      </c>
      <c r="BW100" s="51">
        <v>0</v>
      </c>
      <c r="BX100" s="51"/>
      <c r="BY100" s="51"/>
      <c r="BZ100" s="51"/>
      <c r="CA100" s="51"/>
      <c r="CB100" s="51"/>
      <c r="CC100" s="51"/>
      <c r="CD100" s="51"/>
      <c r="CE100" s="51"/>
      <c r="CF100" s="51"/>
      <c r="CH100" s="51"/>
      <c r="CI100" s="51"/>
      <c r="CJ100" s="51"/>
      <c r="CK100" s="51"/>
      <c r="CL100" s="51"/>
      <c r="CM100" s="51"/>
      <c r="CN100" s="51"/>
      <c r="CO100" s="51"/>
      <c r="CP100" s="51"/>
      <c r="CQ100" s="51"/>
      <c r="CR100" s="51"/>
      <c r="CS100" s="51"/>
      <c r="CT100" s="51"/>
      <c r="CU100" s="51"/>
      <c r="CV100" s="51"/>
      <c r="CW100" s="51"/>
      <c r="CX100" s="51"/>
    </row>
    <row r="101" spans="2:102" s="49" customFormat="1" x14ac:dyDescent="0.2">
      <c r="B101" s="50" t="s">
        <v>82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>
        <v>457.5</v>
      </c>
      <c r="AE101" s="51">
        <v>315.2</v>
      </c>
      <c r="AF101" s="51">
        <v>183.1</v>
      </c>
      <c r="AG101" s="51">
        <v>144.4</v>
      </c>
      <c r="AH101" s="51">
        <v>261.60000000000002</v>
      </c>
      <c r="AI101" s="51">
        <v>388.8</v>
      </c>
      <c r="AJ101" s="51">
        <v>33.5</v>
      </c>
      <c r="AK101" s="51">
        <v>338.2</v>
      </c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>
        <v>791.6</v>
      </c>
      <c r="BT101" s="51">
        <v>529.9</v>
      </c>
      <c r="BU101" s="51">
        <v>203.5</v>
      </c>
      <c r="BV101" s="51">
        <v>126.9</v>
      </c>
      <c r="BW101" s="51">
        <v>598.29999999999995</v>
      </c>
      <c r="BX101" s="51"/>
      <c r="BY101" s="51"/>
      <c r="BZ101" s="51"/>
      <c r="CA101" s="51"/>
      <c r="CB101" s="51"/>
      <c r="CC101" s="51"/>
      <c r="CD101" s="51"/>
      <c r="CE101" s="51"/>
      <c r="CF101" s="51"/>
      <c r="CH101" s="51"/>
      <c r="CI101" s="51"/>
      <c r="CJ101" s="51"/>
      <c r="CK101" s="51"/>
      <c r="CL101" s="51"/>
      <c r="CM101" s="51"/>
      <c r="CN101" s="51"/>
      <c r="CO101" s="51"/>
      <c r="CP101" s="51"/>
      <c r="CQ101" s="51"/>
      <c r="CR101" s="51"/>
      <c r="CS101" s="51"/>
      <c r="CT101" s="51"/>
      <c r="CU101" s="51"/>
      <c r="CV101" s="51"/>
      <c r="CW101" s="51"/>
      <c r="CX101" s="51"/>
    </row>
    <row r="102" spans="2:102" s="49" customFormat="1" x14ac:dyDescent="0.2">
      <c r="B102" s="50" t="s">
        <v>301</v>
      </c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>
        <v>2651.3</v>
      </c>
      <c r="AE102" s="51">
        <v>2600</v>
      </c>
      <c r="AF102" s="51">
        <v>2786.7</v>
      </c>
      <c r="AG102" s="51">
        <v>2720.3</v>
      </c>
      <c r="AH102" s="51">
        <v>2903.5</v>
      </c>
      <c r="AI102" s="51">
        <v>2754.4</v>
      </c>
      <c r="AJ102" s="51">
        <v>2590.4</v>
      </c>
      <c r="AK102" s="51">
        <v>2816.4</v>
      </c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>
        <v>2806.8</v>
      </c>
      <c r="BT102" s="51">
        <v>2624.9</v>
      </c>
      <c r="BU102" s="51">
        <v>2326.5</v>
      </c>
      <c r="BV102" s="51">
        <v>3027.5</v>
      </c>
      <c r="BW102" s="51">
        <v>2536.6999999999998</v>
      </c>
      <c r="BX102" s="51"/>
      <c r="BY102" s="51"/>
      <c r="BZ102" s="51"/>
      <c r="CA102" s="51"/>
      <c r="CB102" s="51"/>
      <c r="CC102" s="51"/>
      <c r="CD102" s="51"/>
      <c r="CE102" s="51"/>
      <c r="CF102" s="51"/>
      <c r="CH102" s="51"/>
      <c r="CI102" s="51"/>
      <c r="CJ102" s="51"/>
      <c r="CK102" s="51"/>
      <c r="CL102" s="51"/>
      <c r="CM102" s="51"/>
      <c r="CN102" s="51"/>
      <c r="CO102" s="51"/>
      <c r="CP102" s="51"/>
      <c r="CQ102" s="51"/>
      <c r="CR102" s="51"/>
      <c r="CS102" s="51"/>
      <c r="CT102" s="51"/>
      <c r="CU102" s="51"/>
      <c r="CV102" s="51"/>
      <c r="CW102" s="51"/>
      <c r="CX102" s="51"/>
    </row>
    <row r="103" spans="2:102" s="49" customFormat="1" x14ac:dyDescent="0.2">
      <c r="B103" s="50" t="s">
        <v>302</v>
      </c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>
        <v>1887.4</v>
      </c>
      <c r="AE103" s="51">
        <v>1866.4</v>
      </c>
      <c r="AF103" s="51">
        <v>1848.6</v>
      </c>
      <c r="AG103" s="51">
        <v>1805.9</v>
      </c>
      <c r="AH103" s="51">
        <v>3068.5</v>
      </c>
      <c r="AI103" s="51">
        <v>2766.5</v>
      </c>
      <c r="AJ103" s="51">
        <v>2714.5</v>
      </c>
      <c r="AK103" s="51">
        <v>2702.4</v>
      </c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>
        <v>3969.8</v>
      </c>
      <c r="BT103" s="51">
        <v>3918.5</v>
      </c>
      <c r="BU103" s="51">
        <v>3878.8</v>
      </c>
      <c r="BV103" s="51">
        <v>1954.1</v>
      </c>
      <c r="BW103" s="51">
        <v>1940.3</v>
      </c>
      <c r="BX103" s="51"/>
      <c r="BY103" s="51"/>
      <c r="BZ103" s="51"/>
      <c r="CA103" s="51"/>
      <c r="CB103" s="51"/>
      <c r="CC103" s="51"/>
      <c r="CD103" s="51"/>
      <c r="CE103" s="51"/>
      <c r="CF103" s="51"/>
      <c r="CH103" s="51"/>
      <c r="CI103" s="51"/>
      <c r="CJ103" s="51"/>
      <c r="CK103" s="51"/>
      <c r="CL103" s="51"/>
      <c r="CM103" s="51"/>
      <c r="CN103" s="51"/>
      <c r="CO103" s="51"/>
      <c r="CP103" s="51"/>
      <c r="CQ103" s="51"/>
      <c r="CR103" s="51"/>
      <c r="CS103" s="51"/>
      <c r="CT103" s="51"/>
      <c r="CU103" s="51"/>
      <c r="CV103" s="51"/>
      <c r="CW103" s="51"/>
      <c r="CX103" s="51"/>
    </row>
    <row r="104" spans="2:102" s="49" customFormat="1" x14ac:dyDescent="0.2">
      <c r="B104" s="50" t="s">
        <v>82</v>
      </c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>
        <v>1234.8</v>
      </c>
      <c r="AE104" s="51">
        <v>1224.3</v>
      </c>
      <c r="AF104" s="51">
        <v>1283</v>
      </c>
      <c r="AG104" s="51">
        <v>1058.8</v>
      </c>
      <c r="AH104" s="51">
        <v>1086.3</v>
      </c>
      <c r="AI104" s="51">
        <v>1158.3</v>
      </c>
      <c r="AJ104" s="51">
        <v>1207.5</v>
      </c>
      <c r="AK104" s="51">
        <v>1275.0999999999999</v>
      </c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>
        <f>3917.5+2200.6</f>
        <v>6118.1</v>
      </c>
      <c r="BT104" s="51">
        <f>3738+1857.3</f>
        <v>5595.3</v>
      </c>
      <c r="BU104" s="51">
        <f>3768.5+1632.5</f>
        <v>5401</v>
      </c>
      <c r="BV104" s="51">
        <f>3920+1733.7</f>
        <v>5653.7</v>
      </c>
      <c r="BW104" s="51">
        <f>1286.1+3978.1</f>
        <v>5264.2</v>
      </c>
      <c r="BX104" s="51"/>
      <c r="BY104" s="51"/>
      <c r="BZ104" s="51"/>
      <c r="CA104" s="51"/>
      <c r="CB104" s="51"/>
      <c r="CC104" s="51"/>
      <c r="CD104" s="51"/>
      <c r="CE104" s="51"/>
      <c r="CF104" s="51"/>
      <c r="CH104" s="51"/>
      <c r="CI104" s="51"/>
      <c r="CJ104" s="51"/>
      <c r="CK104" s="51"/>
      <c r="CL104" s="51"/>
      <c r="CM104" s="51"/>
      <c r="CN104" s="51"/>
      <c r="CO104" s="51"/>
      <c r="CP104" s="51"/>
      <c r="CQ104" s="51"/>
      <c r="CR104" s="51"/>
      <c r="CS104" s="51"/>
      <c r="CT104" s="51"/>
      <c r="CU104" s="51"/>
      <c r="CV104" s="51"/>
      <c r="CW104" s="51"/>
      <c r="CX104" s="51"/>
    </row>
    <row r="105" spans="2:102" s="49" customFormat="1" x14ac:dyDescent="0.2">
      <c r="B105" s="50" t="s">
        <v>303</v>
      </c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>
        <v>1594.5</v>
      </c>
      <c r="AE105" s="51">
        <v>1886.2</v>
      </c>
      <c r="AF105" s="51">
        <v>1550.1</v>
      </c>
      <c r="AG105" s="51">
        <v>1449</v>
      </c>
      <c r="AH105" s="51">
        <v>1573.8</v>
      </c>
      <c r="AI105" s="51">
        <v>1533.9</v>
      </c>
      <c r="AJ105" s="51">
        <v>1472.8</v>
      </c>
      <c r="AK105" s="51">
        <v>1815</v>
      </c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>
        <v>1737.3</v>
      </c>
      <c r="BT105" s="51">
        <v>1801.9</v>
      </c>
      <c r="BU105" s="51">
        <v>1748.7</v>
      </c>
      <c r="BV105" s="51">
        <v>1644.3</v>
      </c>
      <c r="BW105" s="51">
        <v>1713.9</v>
      </c>
      <c r="BX105" s="51"/>
      <c r="BY105" s="51"/>
      <c r="BZ105" s="51"/>
      <c r="CA105" s="51"/>
      <c r="CB105" s="51"/>
      <c r="CC105" s="51"/>
      <c r="CD105" s="51"/>
      <c r="CE105" s="51"/>
      <c r="CF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</row>
    <row r="106" spans="2:102" s="49" customFormat="1" x14ac:dyDescent="0.2">
      <c r="B106" s="50" t="s">
        <v>304</v>
      </c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>
        <v>12412.8</v>
      </c>
      <c r="AE106" s="51">
        <v>13934.2</v>
      </c>
      <c r="AF106" s="51">
        <v>14277</v>
      </c>
      <c r="AG106" s="51">
        <v>15057.9</v>
      </c>
      <c r="AH106" s="51">
        <v>13535.6</v>
      </c>
      <c r="AI106" s="51">
        <v>14822.6</v>
      </c>
      <c r="AJ106" s="51">
        <v>14307.9</v>
      </c>
      <c r="AK106" s="51">
        <v>16056.9</v>
      </c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>
        <v>7099.3</v>
      </c>
      <c r="BT106" s="51">
        <v>6663.5</v>
      </c>
      <c r="BU106" s="51">
        <v>7954.1</v>
      </c>
      <c r="BV106" s="51">
        <v>9154.7999999999993</v>
      </c>
      <c r="BW106" s="51">
        <v>9462</v>
      </c>
      <c r="BX106" s="51"/>
      <c r="BY106" s="51"/>
      <c r="BZ106" s="51"/>
      <c r="CA106" s="51"/>
      <c r="CB106" s="51"/>
      <c r="CC106" s="51"/>
      <c r="CD106" s="51"/>
      <c r="CE106" s="51"/>
      <c r="CF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</row>
    <row r="107" spans="2:102" s="49" customFormat="1" x14ac:dyDescent="0.2">
      <c r="B107" s="50" t="s">
        <v>305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>
        <f>SUM(AD96:AD106)</f>
        <v>31001.4</v>
      </c>
      <c r="AE107" s="51">
        <f>SUM(AE96:AE106)</f>
        <v>31695.3</v>
      </c>
      <c r="AF107" s="51">
        <f t="shared" ref="AF107" si="261">SUM(AF96:AF106)</f>
        <v>32779.300000000003</v>
      </c>
      <c r="AG107" s="51">
        <f>SUM(AG96:AG106)</f>
        <v>33042.199999999997</v>
      </c>
      <c r="AH107" s="51">
        <f>SUM(AH96:AH106)</f>
        <v>33659.799999999996</v>
      </c>
      <c r="AI107" s="51">
        <f>SUM(AI96:AI106)</f>
        <v>32238.199999999997</v>
      </c>
      <c r="AJ107" s="51">
        <f>SUM(AJ96:AJ106)</f>
        <v>31812.6</v>
      </c>
      <c r="AK107" s="51">
        <f>SUM(AK96:AK106)</f>
        <v>34321</v>
      </c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>
        <f t="shared" ref="BS107" si="262">SUM(BS96:BS106)</f>
        <v>46838.3</v>
      </c>
      <c r="BT107" s="51">
        <f t="shared" ref="BT107" si="263">SUM(BT96:BT106)</f>
        <v>47809.000000000007</v>
      </c>
      <c r="BU107" s="51">
        <f>SUM(BU96:BU106)</f>
        <v>48187</v>
      </c>
      <c r="BV107" s="51">
        <f>SUM(BV96:BV106)</f>
        <v>48806</v>
      </c>
      <c r="BW107" s="51">
        <f>SUM(BW96:BW106)</f>
        <v>46919.299999999996</v>
      </c>
      <c r="BX107" s="51"/>
      <c r="BY107" s="51"/>
      <c r="BZ107" s="51"/>
      <c r="CA107" s="51"/>
      <c r="CB107" s="51"/>
      <c r="CC107" s="51"/>
      <c r="CD107" s="51"/>
      <c r="CE107" s="51"/>
      <c r="CF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</row>
    <row r="109" spans="2:102" x14ac:dyDescent="0.2">
      <c r="B109" s="50" t="s">
        <v>391</v>
      </c>
      <c r="BS109" s="51">
        <f>BS65</f>
        <v>1777.5000000000007</v>
      </c>
      <c r="BW109" s="51">
        <f>BW65</f>
        <v>2538.5</v>
      </c>
    </row>
    <row r="110" spans="2:102" x14ac:dyDescent="0.2">
      <c r="B110" s="50" t="s">
        <v>392</v>
      </c>
      <c r="BS110" s="51">
        <v>1355.3</v>
      </c>
      <c r="BW110" s="51">
        <v>1902.9</v>
      </c>
    </row>
    <row r="111" spans="2:102" x14ac:dyDescent="0.2">
      <c r="B111" s="50" t="s">
        <v>393</v>
      </c>
      <c r="BS111" s="51">
        <v>350.3</v>
      </c>
      <c r="BW111" s="51">
        <v>435.7</v>
      </c>
    </row>
    <row r="112" spans="2:102" x14ac:dyDescent="0.2">
      <c r="B112" s="50" t="s">
        <v>389</v>
      </c>
      <c r="BS112" s="51">
        <v>-119.1</v>
      </c>
      <c r="BW112" s="51">
        <v>-506.6</v>
      </c>
    </row>
    <row r="113" spans="2:102" x14ac:dyDescent="0.2">
      <c r="B113" s="50" t="s">
        <v>394</v>
      </c>
      <c r="BS113" s="51">
        <v>85.5</v>
      </c>
      <c r="BW113" s="51">
        <v>101</v>
      </c>
    </row>
    <row r="114" spans="2:102" x14ac:dyDescent="0.2">
      <c r="B114" s="50" t="s">
        <v>395</v>
      </c>
      <c r="BS114" s="51">
        <v>-302.2</v>
      </c>
      <c r="BW114" s="51">
        <v>426.1</v>
      </c>
    </row>
    <row r="115" spans="2:102" x14ac:dyDescent="0.2">
      <c r="B115" s="50" t="s">
        <v>396</v>
      </c>
      <c r="BS115" s="51">
        <v>299.3</v>
      </c>
      <c r="BW115" s="51">
        <v>153</v>
      </c>
    </row>
    <row r="116" spans="2:102" x14ac:dyDescent="0.2">
      <c r="B116" s="50" t="s">
        <v>78</v>
      </c>
      <c r="BS116" s="51">
        <v>-102.8</v>
      </c>
      <c r="BW116" s="51">
        <v>-45.5</v>
      </c>
    </row>
    <row r="117" spans="2:102" x14ac:dyDescent="0.2">
      <c r="B117" s="50" t="s">
        <v>397</v>
      </c>
      <c r="BS117" s="51">
        <v>131.1</v>
      </c>
      <c r="BW117" s="51">
        <v>32.6</v>
      </c>
    </row>
    <row r="118" spans="2:102" s="49" customFormat="1" x14ac:dyDescent="0.2">
      <c r="B118" s="50" t="s">
        <v>306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>
        <v>1176.0999999999999</v>
      </c>
      <c r="AF118" s="51">
        <f>3216.4-AE118</f>
        <v>2040.3000000000002</v>
      </c>
      <c r="AG118" s="51">
        <f>5289.8-AF118-AE118</f>
        <v>2073.4</v>
      </c>
      <c r="AH118" s="52">
        <f>7234.5-AG118-AF118-AE118</f>
        <v>1944.7000000000003</v>
      </c>
      <c r="AI118" s="52">
        <v>852.5</v>
      </c>
      <c r="AJ118" s="52">
        <f>2158.5-AI118</f>
        <v>1306</v>
      </c>
      <c r="AK118" s="51">
        <f>3702.8-AJ118-AI118</f>
        <v>1544.3000000000002</v>
      </c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>
        <f>SUM(BS110:BS117)</f>
        <v>1697.3999999999999</v>
      </c>
      <c r="BT118" s="51"/>
      <c r="BU118" s="51"/>
      <c r="BV118" s="51"/>
      <c r="BW118" s="51">
        <f>SUM(BW110:BW117)</f>
        <v>2499.1999999999998</v>
      </c>
      <c r="BX118" s="51"/>
      <c r="BY118" s="51"/>
      <c r="BZ118" s="51"/>
      <c r="CA118" s="51"/>
      <c r="CB118" s="51"/>
      <c r="CC118" s="51"/>
      <c r="CD118" s="51"/>
      <c r="CE118" s="51"/>
      <c r="CF118" s="51"/>
      <c r="CH118" s="51"/>
      <c r="CI118" s="51"/>
      <c r="CJ118" s="51"/>
      <c r="CK118" s="51"/>
      <c r="CL118" s="51"/>
      <c r="CM118" s="51"/>
      <c r="CN118" s="51"/>
      <c r="CO118" s="51">
        <v>7295.6</v>
      </c>
      <c r="CP118" s="51">
        <v>4335.5</v>
      </c>
      <c r="CQ118" s="51">
        <v>6856.8</v>
      </c>
      <c r="CR118" s="51"/>
      <c r="CS118" s="51"/>
      <c r="CT118" s="51"/>
      <c r="CU118" s="51"/>
      <c r="CV118" s="51"/>
      <c r="CW118" s="51"/>
      <c r="CX118" s="51"/>
    </row>
    <row r="119" spans="2:102" x14ac:dyDescent="0.2">
      <c r="BS119" s="51"/>
    </row>
    <row r="120" spans="2:102" x14ac:dyDescent="0.2">
      <c r="B120" s="50" t="s">
        <v>398</v>
      </c>
      <c r="BS120" s="51">
        <v>-300.3</v>
      </c>
      <c r="BW120" s="51">
        <v>-365.4</v>
      </c>
    </row>
    <row r="121" spans="2:102" x14ac:dyDescent="0.2">
      <c r="B121" s="50" t="s">
        <v>395</v>
      </c>
      <c r="BS121" s="51">
        <f>4-19.4+284.8-291.5</f>
        <v>-22.099999999999966</v>
      </c>
      <c r="BW121" s="51">
        <f>26.7-14.6+81.4-116.7</f>
        <v>-23.200000000000003</v>
      </c>
    </row>
    <row r="122" spans="2:102" x14ac:dyDescent="0.2">
      <c r="B122" s="50" t="s">
        <v>399</v>
      </c>
      <c r="BS122" s="51">
        <f>-747.4-191.8</f>
        <v>-939.2</v>
      </c>
      <c r="BW122" s="51">
        <v>-491.8</v>
      </c>
    </row>
    <row r="123" spans="2:102" x14ac:dyDescent="0.2">
      <c r="B123" s="50" t="s">
        <v>78</v>
      </c>
      <c r="BS123" s="51">
        <v>-21.9</v>
      </c>
      <c r="BW123" s="51">
        <v>-133.4</v>
      </c>
    </row>
    <row r="124" spans="2:102" x14ac:dyDescent="0.2">
      <c r="B124" s="50" t="s">
        <v>400</v>
      </c>
      <c r="BS124" s="51">
        <f>SUM(BS120:BS123)</f>
        <v>-1283.5</v>
      </c>
      <c r="BW124" s="51">
        <f>SUM(BW120:BW123)</f>
        <v>-1013.8</v>
      </c>
    </row>
    <row r="125" spans="2:102" x14ac:dyDescent="0.2">
      <c r="BS125" s="51"/>
    </row>
    <row r="126" spans="2:102" x14ac:dyDescent="0.2">
      <c r="B126" s="50" t="s">
        <v>300</v>
      </c>
      <c r="BS126" s="51">
        <v>-774.8</v>
      </c>
      <c r="BW126" s="51">
        <v>-885.5</v>
      </c>
    </row>
    <row r="127" spans="2:102" x14ac:dyDescent="0.2">
      <c r="B127" s="50" t="s">
        <v>403</v>
      </c>
      <c r="BS127" s="51">
        <v>-3.7</v>
      </c>
      <c r="BW127" s="52">
        <f>499.7-710.1</f>
        <v>-210.40000000000003</v>
      </c>
    </row>
    <row r="128" spans="2:102" x14ac:dyDescent="0.2">
      <c r="B128" s="38" t="s">
        <v>402</v>
      </c>
      <c r="BS128" s="51">
        <v>0</v>
      </c>
      <c r="BW128" s="51">
        <v>-1500</v>
      </c>
    </row>
    <row r="129" spans="2:75" x14ac:dyDescent="0.2">
      <c r="B129" s="38" t="s">
        <v>78</v>
      </c>
      <c r="BS129" s="51">
        <v>-279.89999999999998</v>
      </c>
      <c r="BW129" s="51">
        <v>-282.39999999999998</v>
      </c>
    </row>
    <row r="130" spans="2:75" x14ac:dyDescent="0.2">
      <c r="B130" s="38" t="s">
        <v>401</v>
      </c>
      <c r="BS130" s="51">
        <f>SUM(BS126:BS129)</f>
        <v>-1058.4000000000001</v>
      </c>
      <c r="BW130" s="51">
        <f>SUM(BW126:BW129)</f>
        <v>-2878.3</v>
      </c>
    </row>
    <row r="132" spans="2:75" x14ac:dyDescent="0.2">
      <c r="B132" s="38" t="s">
        <v>404</v>
      </c>
      <c r="BS132" s="51">
        <v>-10.199999999999999</v>
      </c>
      <c r="BW132" s="51">
        <v>33.6</v>
      </c>
    </row>
    <row r="133" spans="2:75" x14ac:dyDescent="0.2">
      <c r="B133" s="38" t="s">
        <v>405</v>
      </c>
      <c r="BS133" s="51">
        <f>+BS132+BS130+BS124+BS118</f>
        <v>-654.7000000000005</v>
      </c>
      <c r="BW133" s="51">
        <f>+BW132+BW130+BW124+BW118</f>
        <v>-1359.3000000000002</v>
      </c>
    </row>
    <row r="135" spans="2:75" x14ac:dyDescent="0.2">
      <c r="B135" t="s">
        <v>504</v>
      </c>
    </row>
  </sheetData>
  <phoneticPr fontId="2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/>
  </sheetViews>
  <sheetFormatPr defaultRowHeight="12.75" x14ac:dyDescent="0.2"/>
  <cols>
    <col min="1" max="1" width="5.7109375" style="1" customWidth="1"/>
    <col min="2" max="2" width="13.28515625" style="1" customWidth="1"/>
    <col min="3" max="3" width="10.140625" style="1" bestFit="1" customWidth="1"/>
    <col min="4" max="16384" width="9.140625" style="1"/>
  </cols>
  <sheetData>
    <row r="1" spans="1:5" x14ac:dyDescent="0.2">
      <c r="A1" s="15" t="s">
        <v>6</v>
      </c>
    </row>
    <row r="2" spans="1:5" x14ac:dyDescent="0.2">
      <c r="B2" s="1" t="s">
        <v>50</v>
      </c>
      <c r="C2" s="1" t="s">
        <v>7</v>
      </c>
    </row>
    <row r="3" spans="1:5" x14ac:dyDescent="0.2">
      <c r="B3" s="1" t="s">
        <v>48</v>
      </c>
      <c r="C3" s="1" t="s">
        <v>85</v>
      </c>
    </row>
    <row r="4" spans="1:5" x14ac:dyDescent="0.2">
      <c r="B4" s="1" t="s">
        <v>3</v>
      </c>
      <c r="C4" s="1" t="s">
        <v>86</v>
      </c>
    </row>
    <row r="5" spans="1:5" x14ac:dyDescent="0.2">
      <c r="B5" s="1" t="s">
        <v>1</v>
      </c>
      <c r="C5" s="1" t="s">
        <v>87</v>
      </c>
    </row>
    <row r="6" spans="1:5" x14ac:dyDescent="0.2">
      <c r="B6" s="1" t="s">
        <v>4</v>
      </c>
      <c r="C6" s="1" t="s">
        <v>88</v>
      </c>
    </row>
    <row r="7" spans="1:5" x14ac:dyDescent="0.2">
      <c r="C7" s="1" t="s">
        <v>8</v>
      </c>
    </row>
    <row r="8" spans="1:5" x14ac:dyDescent="0.2">
      <c r="C8" s="1" t="s">
        <v>29</v>
      </c>
    </row>
    <row r="9" spans="1:5" x14ac:dyDescent="0.2">
      <c r="C9" s="1" t="s">
        <v>30</v>
      </c>
    </row>
    <row r="12" spans="1:5" x14ac:dyDescent="0.2">
      <c r="B12" s="1" t="s">
        <v>165</v>
      </c>
      <c r="C12" s="6"/>
      <c r="D12" s="6" t="s">
        <v>166</v>
      </c>
      <c r="E12" s="6" t="s">
        <v>167</v>
      </c>
    </row>
    <row r="13" spans="1:5" x14ac:dyDescent="0.2">
      <c r="C13" s="43">
        <v>40165</v>
      </c>
      <c r="D13" s="35">
        <v>117723</v>
      </c>
      <c r="E13" s="35">
        <v>53829</v>
      </c>
    </row>
    <row r="14" spans="1:5" x14ac:dyDescent="0.2">
      <c r="C14" s="43">
        <f t="shared" ref="C14:C20" si="0">C13-7</f>
        <v>40158</v>
      </c>
      <c r="D14" s="35">
        <v>116406</v>
      </c>
      <c r="E14" s="35">
        <v>52891</v>
      </c>
    </row>
    <row r="15" spans="1:5" x14ac:dyDescent="0.2">
      <c r="C15" s="43">
        <f t="shared" si="0"/>
        <v>40151</v>
      </c>
      <c r="D15" s="35">
        <v>128647</v>
      </c>
      <c r="E15" s="35">
        <v>56775</v>
      </c>
    </row>
    <row r="16" spans="1:5" x14ac:dyDescent="0.2">
      <c r="C16" s="43">
        <f t="shared" si="0"/>
        <v>40144</v>
      </c>
      <c r="D16" s="35">
        <v>104242</v>
      </c>
      <c r="E16" s="35">
        <v>44896</v>
      </c>
    </row>
    <row r="17" spans="3:5" x14ac:dyDescent="0.2">
      <c r="C17" s="43">
        <f t="shared" si="0"/>
        <v>40137</v>
      </c>
      <c r="D17" s="35">
        <v>116685</v>
      </c>
      <c r="E17" s="35">
        <v>53770</v>
      </c>
    </row>
    <row r="18" spans="3:5" x14ac:dyDescent="0.2">
      <c r="C18" s="43">
        <f t="shared" si="0"/>
        <v>40130</v>
      </c>
      <c r="D18" s="35">
        <v>113476</v>
      </c>
      <c r="E18" s="35">
        <v>51112</v>
      </c>
    </row>
    <row r="19" spans="3:5" x14ac:dyDescent="0.2">
      <c r="C19" s="43">
        <f t="shared" si="0"/>
        <v>40123</v>
      </c>
      <c r="D19" s="35">
        <v>122441</v>
      </c>
      <c r="E19" s="35">
        <v>54445</v>
      </c>
    </row>
    <row r="20" spans="3:5" x14ac:dyDescent="0.2">
      <c r="C20" s="43">
        <f t="shared" si="0"/>
        <v>40116</v>
      </c>
      <c r="D20" s="35">
        <v>114922</v>
      </c>
      <c r="E20" s="35">
        <v>51865</v>
      </c>
    </row>
    <row r="21" spans="3:5" x14ac:dyDescent="0.2">
      <c r="C21" s="43">
        <v>39234</v>
      </c>
      <c r="D21" s="35">
        <v>118958</v>
      </c>
      <c r="E21" s="35">
        <v>50496</v>
      </c>
    </row>
    <row r="22" spans="3:5" x14ac:dyDescent="0.2">
      <c r="C22" s="43">
        <f>C21-7</f>
        <v>39227</v>
      </c>
      <c r="D22" s="35">
        <v>123390</v>
      </c>
      <c r="E22" s="35">
        <v>53736</v>
      </c>
    </row>
    <row r="23" spans="3:5" x14ac:dyDescent="0.2">
      <c r="C23" s="43">
        <f>C21-365</f>
        <v>38869</v>
      </c>
      <c r="D23" s="35">
        <v>132085</v>
      </c>
      <c r="E23" s="35">
        <v>54804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7"/>
  <sheetViews>
    <sheetView workbookViewId="0">
      <selection activeCell="C4" sqref="C4"/>
    </sheetView>
  </sheetViews>
  <sheetFormatPr defaultRowHeight="12.75" x14ac:dyDescent="0.2"/>
  <cols>
    <col min="1" max="1" width="6.140625" customWidth="1"/>
    <col min="2" max="2" width="12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14</v>
      </c>
    </row>
    <row r="3" spans="1:3" x14ac:dyDescent="0.2">
      <c r="B3" t="s">
        <v>3</v>
      </c>
      <c r="C3" t="s">
        <v>233</v>
      </c>
    </row>
    <row r="4" spans="1:3" x14ac:dyDescent="0.2">
      <c r="B4" t="s">
        <v>2</v>
      </c>
      <c r="C4" t="s">
        <v>282</v>
      </c>
    </row>
    <row r="5" spans="1:3" x14ac:dyDescent="0.2">
      <c r="B5" t="s">
        <v>92</v>
      </c>
    </row>
    <row r="6" spans="1:3" x14ac:dyDescent="0.2">
      <c r="C6" s="20" t="s">
        <v>234</v>
      </c>
    </row>
    <row r="7" spans="1:3" x14ac:dyDescent="0.2">
      <c r="C7" t="s">
        <v>235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8"/>
  <sheetViews>
    <sheetView workbookViewId="0">
      <selection activeCell="C26" sqref="C26"/>
    </sheetView>
  </sheetViews>
  <sheetFormatPr defaultRowHeight="12.75" x14ac:dyDescent="0.2"/>
  <cols>
    <col min="1" max="1" width="5" style="1" bestFit="1" customWidth="1"/>
    <col min="2" max="2" width="12.28515625" style="1" customWidth="1"/>
    <col min="3" max="16384" width="9.140625" style="1"/>
  </cols>
  <sheetData>
    <row r="1" spans="1:8" x14ac:dyDescent="0.2">
      <c r="A1" s="15" t="s">
        <v>6</v>
      </c>
    </row>
    <row r="2" spans="1:8" x14ac:dyDescent="0.2">
      <c r="A2" s="15"/>
      <c r="B2" s="1" t="s">
        <v>50</v>
      </c>
      <c r="C2" s="1" t="s">
        <v>15</v>
      </c>
    </row>
    <row r="3" spans="1:8" x14ac:dyDescent="0.2">
      <c r="A3" s="15"/>
    </row>
    <row r="4" spans="1:8" x14ac:dyDescent="0.2">
      <c r="B4" s="1" t="s">
        <v>9</v>
      </c>
    </row>
    <row r="5" spans="1:8" x14ac:dyDescent="0.2">
      <c r="B5" s="1" t="s">
        <v>10</v>
      </c>
    </row>
    <row r="6" spans="1:8" x14ac:dyDescent="0.2">
      <c r="B6" s="1" t="s">
        <v>11</v>
      </c>
    </row>
    <row r="8" spans="1:8" x14ac:dyDescent="0.2">
      <c r="B8" s="1" t="s">
        <v>31</v>
      </c>
    </row>
    <row r="9" spans="1:8" x14ac:dyDescent="0.2">
      <c r="B9" s="1" t="s">
        <v>32</v>
      </c>
    </row>
    <row r="11" spans="1:8" x14ac:dyDescent="0.2">
      <c r="B11" s="29">
        <v>38338</v>
      </c>
    </row>
    <row r="12" spans="1:8" x14ac:dyDescent="0.2">
      <c r="B12" s="1" t="s">
        <v>44</v>
      </c>
    </row>
    <row r="13" spans="1:8" x14ac:dyDescent="0.2">
      <c r="B13" s="1" t="s">
        <v>42</v>
      </c>
    </row>
    <row r="14" spans="1:8" x14ac:dyDescent="0.2">
      <c r="B14" s="1" t="s">
        <v>43</v>
      </c>
    </row>
    <row r="16" spans="1:8" x14ac:dyDescent="0.2">
      <c r="C16" s="6">
        <v>2004</v>
      </c>
      <c r="D16" s="6">
        <v>2005</v>
      </c>
      <c r="E16" s="6">
        <v>2006</v>
      </c>
      <c r="F16" s="6">
        <v>2007</v>
      </c>
      <c r="G16" s="6">
        <v>2008</v>
      </c>
      <c r="H16" s="6"/>
    </row>
    <row r="17" spans="2:8" x14ac:dyDescent="0.2">
      <c r="B17" s="1" t="s">
        <v>45</v>
      </c>
      <c r="C17" s="6">
        <v>660</v>
      </c>
      <c r="D17" s="6">
        <v>810</v>
      </c>
      <c r="E17" s="6"/>
      <c r="F17" s="6"/>
      <c r="G17" s="6">
        <v>1200</v>
      </c>
      <c r="H17" s="6"/>
    </row>
    <row r="18" spans="2:8" x14ac:dyDescent="0.2">
      <c r="C18" s="6"/>
      <c r="D18" s="6"/>
      <c r="E18" s="6"/>
      <c r="F18" s="6"/>
      <c r="G18" s="6"/>
      <c r="H18" s="6"/>
    </row>
    <row r="19" spans="2:8" x14ac:dyDescent="0.2">
      <c r="C19" s="6" t="s">
        <v>3</v>
      </c>
      <c r="D19" s="6" t="s">
        <v>89</v>
      </c>
      <c r="E19" s="6"/>
      <c r="F19" s="6"/>
      <c r="G19" s="6"/>
      <c r="H19" s="6"/>
    </row>
    <row r="20" spans="2:8" x14ac:dyDescent="0.2">
      <c r="C20" s="6"/>
      <c r="D20" s="6"/>
      <c r="E20" s="6"/>
      <c r="F20" s="6"/>
      <c r="G20" s="6"/>
      <c r="H20" s="6"/>
    </row>
    <row r="21" spans="2:8" x14ac:dyDescent="0.2">
      <c r="C21" s="6"/>
      <c r="D21" s="6"/>
      <c r="E21" s="6"/>
      <c r="F21" s="6"/>
      <c r="G21" s="6"/>
      <c r="H21" s="6"/>
    </row>
    <row r="22" spans="2:8" x14ac:dyDescent="0.2">
      <c r="C22" s="6"/>
      <c r="D22" s="6"/>
      <c r="E22" s="6"/>
      <c r="F22" s="6"/>
      <c r="G22" s="6"/>
      <c r="H22" s="6"/>
    </row>
    <row r="23" spans="2:8" x14ac:dyDescent="0.2">
      <c r="C23" s="6"/>
      <c r="D23" s="6"/>
      <c r="E23" s="6"/>
      <c r="F23" s="6"/>
      <c r="G23" s="6"/>
      <c r="H23" s="6"/>
    </row>
    <row r="24" spans="2:8" x14ac:dyDescent="0.2">
      <c r="C24" s="6"/>
      <c r="D24" s="6" t="s">
        <v>166</v>
      </c>
      <c r="E24" s="6" t="s">
        <v>167</v>
      </c>
      <c r="F24" s="6"/>
      <c r="G24" s="6"/>
      <c r="H24" s="6"/>
    </row>
    <row r="25" spans="2:8" x14ac:dyDescent="0.2">
      <c r="B25" s="1" t="s">
        <v>165</v>
      </c>
      <c r="C25" s="30">
        <v>39234</v>
      </c>
      <c r="D25" s="17">
        <v>62826</v>
      </c>
      <c r="E25" s="17">
        <v>31426</v>
      </c>
      <c r="F25" s="6"/>
    </row>
    <row r="26" spans="2:8" x14ac:dyDescent="0.2">
      <c r="C26" s="30">
        <f>C25-7</f>
        <v>39227</v>
      </c>
      <c r="D26" s="17">
        <v>69314</v>
      </c>
      <c r="E26" s="17">
        <v>35541</v>
      </c>
      <c r="F26" s="6"/>
    </row>
    <row r="27" spans="2:8" x14ac:dyDescent="0.2">
      <c r="C27" s="30">
        <v>38869</v>
      </c>
      <c r="D27" s="17">
        <v>70448</v>
      </c>
      <c r="E27" s="17">
        <v>34206</v>
      </c>
      <c r="F27" s="6"/>
    </row>
    <row r="28" spans="2:8" x14ac:dyDescent="0.2">
      <c r="C28" s="6"/>
      <c r="D28" s="6"/>
      <c r="E28" s="6"/>
      <c r="F28" s="6"/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2"/>
  <sheetViews>
    <sheetView workbookViewId="0">
      <selection activeCell="C3" sqref="C3"/>
    </sheetView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16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2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17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C2"/>
  <sheetViews>
    <sheetView workbookViewId="0"/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3" x14ac:dyDescent="0.2">
      <c r="A1" s="13" t="s">
        <v>6</v>
      </c>
    </row>
    <row r="2" spans="1:3" x14ac:dyDescent="0.2">
      <c r="B2" t="s">
        <v>50</v>
      </c>
      <c r="C2" t="s">
        <v>18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30DB33-9879-4F08-8048-D3D7A603A8F0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8E07D1-7A30-4E93-B1F2-5A094F0E42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1C9301-788F-493B-9914-82249B611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Master</vt:lpstr>
      <vt:lpstr>Main</vt:lpstr>
      <vt:lpstr>Model</vt:lpstr>
      <vt:lpstr>Zyprexa</vt:lpstr>
      <vt:lpstr>Cymbalta</vt:lpstr>
      <vt:lpstr>Strattera</vt:lpstr>
      <vt:lpstr>Forteo</vt:lpstr>
      <vt:lpstr>Evista</vt:lpstr>
      <vt:lpstr>Cialis</vt:lpstr>
      <vt:lpstr>Gemzar</vt:lpstr>
      <vt:lpstr>Alimta</vt:lpstr>
      <vt:lpstr>Exenatide</vt:lpstr>
      <vt:lpstr>Effient</vt:lpstr>
      <vt:lpstr>Enzastaurin</vt:lpstr>
      <vt:lpstr>Arzoxifene</vt:lpstr>
      <vt:lpstr>LY2062430</vt:lpstr>
      <vt:lpstr>LY2140023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2004-12-10T18:45:06Z</dcterms:created>
  <dcterms:modified xsi:type="dcterms:W3CDTF">2022-09-12T12:09:26Z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