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15B1BE8-3144-445F-AA25-1297FECB0A3E}" xr6:coauthVersionLast="47" xr6:coauthVersionMax="47" xr10:uidLastSave="{00000000-0000-0000-0000-000000000000}"/>
  <bookViews>
    <workbookView xWindow="26760" yWindow="2970" windowWidth="20130" windowHeight="16230" activeTab="1" xr2:uid="{57C30761-CAF2-4DE9-93D4-20A7306FD95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9" i="2" l="1"/>
  <c r="Z8" i="2"/>
  <c r="Z7" i="2"/>
  <c r="Y9" i="2"/>
  <c r="Y8" i="2"/>
  <c r="Y7" i="2"/>
  <c r="Y6" i="2"/>
  <c r="M21" i="2"/>
  <c r="N21" i="2" s="1"/>
  <c r="O21" i="2" s="1"/>
  <c r="M13" i="2"/>
  <c r="N13" i="2" s="1"/>
  <c r="O13" i="2" s="1"/>
  <c r="P13" i="2" s="1"/>
  <c r="Q13" i="2" s="1"/>
  <c r="R13" i="2" s="1"/>
  <c r="M12" i="2"/>
  <c r="N12" i="2" s="1"/>
  <c r="M6" i="2"/>
  <c r="M9" i="2" s="1"/>
  <c r="M14" i="2"/>
  <c r="K23" i="2"/>
  <c r="E16" i="2"/>
  <c r="E14" i="2"/>
  <c r="E9" i="2"/>
  <c r="E11" i="2" s="1"/>
  <c r="E23" i="2" s="1"/>
  <c r="I16" i="2"/>
  <c r="I14" i="2"/>
  <c r="I9" i="2"/>
  <c r="I11" i="2" s="1"/>
  <c r="I23" i="2" s="1"/>
  <c r="F14" i="2"/>
  <c r="F9" i="2"/>
  <c r="F11" i="2" s="1"/>
  <c r="F23" i="2" s="1"/>
  <c r="J16" i="2"/>
  <c r="J14" i="2"/>
  <c r="J9" i="2"/>
  <c r="J11" i="2" s="1"/>
  <c r="J23" i="2" s="1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G16" i="2"/>
  <c r="G14" i="2"/>
  <c r="G9" i="2"/>
  <c r="G11" i="2" s="1"/>
  <c r="G15" i="2" s="1"/>
  <c r="K16" i="2"/>
  <c r="K14" i="2"/>
  <c r="K9" i="2"/>
  <c r="K11" i="2" s="1"/>
  <c r="K39" i="2"/>
  <c r="K46" i="2" s="1"/>
  <c r="K27" i="2"/>
  <c r="K35" i="2" s="1"/>
  <c r="L39" i="2"/>
  <c r="L46" i="2" s="1"/>
  <c r="L27" i="2"/>
  <c r="L35" i="2" s="1"/>
  <c r="H16" i="2"/>
  <c r="H14" i="2"/>
  <c r="L16" i="2"/>
  <c r="L14" i="2"/>
  <c r="H9" i="2"/>
  <c r="H11" i="2" s="1"/>
  <c r="H23" i="2" s="1"/>
  <c r="L9" i="2"/>
  <c r="L11" i="2" s="1"/>
  <c r="L5" i="1"/>
  <c r="L4" i="1"/>
  <c r="L15" i="2" l="1"/>
  <c r="L17" i="2" s="1"/>
  <c r="P21" i="2"/>
  <c r="O12" i="2"/>
  <c r="N14" i="2"/>
  <c r="G23" i="2"/>
  <c r="L23" i="2"/>
  <c r="N6" i="2"/>
  <c r="Z6" i="2" s="1"/>
  <c r="O14" i="2"/>
  <c r="P12" i="2"/>
  <c r="M11" i="2"/>
  <c r="M23" i="2" s="1"/>
  <c r="E15" i="2"/>
  <c r="E17" i="2" s="1"/>
  <c r="I15" i="2"/>
  <c r="I17" i="2" s="1"/>
  <c r="F15" i="2"/>
  <c r="F17" i="2" s="1"/>
  <c r="J15" i="2"/>
  <c r="J17" i="2" s="1"/>
  <c r="L7" i="1"/>
  <c r="G17" i="2"/>
  <c r="K15" i="2"/>
  <c r="K17" i="2" s="1"/>
  <c r="H15" i="2"/>
  <c r="H17" i="2" s="1"/>
  <c r="G19" i="2" l="1"/>
  <c r="G20" i="2" s="1"/>
  <c r="G24" i="2"/>
  <c r="E19" i="2"/>
  <c r="E20" i="2" s="1"/>
  <c r="E24" i="2"/>
  <c r="J19" i="2"/>
  <c r="J20" i="2" s="1"/>
  <c r="J24" i="2"/>
  <c r="H19" i="2"/>
  <c r="H20" i="2" s="1"/>
  <c r="H24" i="2"/>
  <c r="F19" i="2"/>
  <c r="F20" i="2" s="1"/>
  <c r="F24" i="2"/>
  <c r="L19" i="2"/>
  <c r="L20" i="2" s="1"/>
  <c r="L24" i="2"/>
  <c r="K19" i="2"/>
  <c r="K20" i="2" s="1"/>
  <c r="K24" i="2"/>
  <c r="I19" i="2"/>
  <c r="I20" i="2" s="1"/>
  <c r="I24" i="2"/>
  <c r="Q21" i="2"/>
  <c r="N9" i="2"/>
  <c r="O6" i="2"/>
  <c r="M15" i="2"/>
  <c r="M17" i="2" s="1"/>
  <c r="Q12" i="2"/>
  <c r="P14" i="2"/>
  <c r="M10" i="2"/>
  <c r="M18" i="2" l="1"/>
  <c r="M24" i="2" s="1"/>
  <c r="M19" i="2"/>
  <c r="M20" i="2" s="1"/>
  <c r="R21" i="2"/>
  <c r="P6" i="2"/>
  <c r="O9" i="2"/>
  <c r="O11" i="2" s="1"/>
  <c r="N11" i="2"/>
  <c r="N10" i="2" s="1"/>
  <c r="R12" i="2"/>
  <c r="R14" i="2" s="1"/>
  <c r="Q14" i="2"/>
  <c r="N23" i="2" l="1"/>
  <c r="N15" i="2"/>
  <c r="N17" i="2" s="1"/>
  <c r="O10" i="2"/>
  <c r="O23" i="2"/>
  <c r="O15" i="2"/>
  <c r="O17" i="2" s="1"/>
  <c r="Q6" i="2"/>
  <c r="P9" i="2"/>
  <c r="P11" i="2" s="1"/>
  <c r="O18" i="2" l="1"/>
  <c r="O24" i="2" s="1"/>
  <c r="N18" i="2"/>
  <c r="N24" i="2" s="1"/>
  <c r="N19" i="2"/>
  <c r="N20" i="2" s="1"/>
  <c r="R6" i="2"/>
  <c r="R9" i="2" s="1"/>
  <c r="R11" i="2" s="1"/>
  <c r="Q9" i="2"/>
  <c r="Q11" i="2" s="1"/>
  <c r="P10" i="2"/>
  <c r="P23" i="2"/>
  <c r="P15" i="2"/>
  <c r="P17" i="2" s="1"/>
  <c r="Q10" i="2"/>
  <c r="R10" i="2"/>
  <c r="P18" i="2" l="1"/>
  <c r="P24" i="2" s="1"/>
  <c r="P19" i="2"/>
  <c r="P20" i="2" s="1"/>
  <c r="O19" i="2"/>
  <c r="O20" i="2" s="1"/>
  <c r="AA6" i="2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Q15" i="2"/>
  <c r="Q17" i="2" s="1"/>
  <c r="Q23" i="2"/>
  <c r="R15" i="2"/>
  <c r="R17" i="2" s="1"/>
  <c r="R23" i="2"/>
  <c r="R18" i="2" l="1"/>
  <c r="R24" i="2" s="1"/>
  <c r="R19" i="2"/>
  <c r="R20" i="2" s="1"/>
  <c r="Q19" i="2"/>
  <c r="Q20" i="2" s="1"/>
  <c r="Q18" i="2"/>
  <c r="Q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tc={7A88566D-7393-4EDB-9417-9FF15ED60EED}</author>
  </authors>
  <commentList>
    <comment ref="Z6" authorId="0" shapeId="0" xr:uid="{7A88566D-7393-4EDB-9417-9FF15ED60EED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Reiterates 21B expected delivery</t>
      </text>
    </comment>
  </commentList>
</comments>
</file>

<file path=xl/sharedStrings.xml><?xml version="1.0" encoding="utf-8"?>
<sst xmlns="http://schemas.openxmlformats.org/spreadsheetml/2006/main" count="128" uniqueCount="112">
  <si>
    <t>Price</t>
  </si>
  <si>
    <t>Shares</t>
  </si>
  <si>
    <t>MC</t>
  </si>
  <si>
    <t>Cash</t>
  </si>
  <si>
    <t>Debt</t>
  </si>
  <si>
    <t>EV</t>
  </si>
  <si>
    <t>Q222</t>
  </si>
  <si>
    <t>Main</t>
  </si>
  <si>
    <t>Product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</si>
  <si>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</si>
  <si>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</si>
  <si>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</si>
  <si>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</si>
  <si>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</si>
  <si>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</si>
  <si>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</si>
  <si>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</si>
  <si>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</si>
  <si>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</si>
  <si>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</si>
  <si>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Q123</t>
  </si>
  <si>
    <t>Q223</t>
  </si>
  <si>
    <t>Q323</t>
  </si>
  <si>
    <t>Q423</t>
  </si>
  <si>
    <t>Grant</t>
  </si>
  <si>
    <t>Collab</t>
  </si>
  <si>
    <t>Revenue</t>
  </si>
  <si>
    <t>EPS</t>
  </si>
  <si>
    <t>Net Income</t>
  </si>
  <si>
    <t>Taxes</t>
  </si>
  <si>
    <t>Pretax Income</t>
  </si>
  <si>
    <t>Interest</t>
  </si>
  <si>
    <t>OpEx</t>
  </si>
  <si>
    <t>OpInc</t>
  </si>
  <si>
    <t>COGS</t>
  </si>
  <si>
    <t>Gross Profit</t>
  </si>
  <si>
    <t>R&amp;D</t>
  </si>
  <si>
    <t>SG&amp;A</t>
  </si>
  <si>
    <t>Assets</t>
  </si>
  <si>
    <t>AR</t>
  </si>
  <si>
    <t>Inventory</t>
  </si>
  <si>
    <t>Prepaids</t>
  </si>
  <si>
    <t>PP&amp;E</t>
  </si>
  <si>
    <t>ROU</t>
  </si>
  <si>
    <t>DT</t>
  </si>
  <si>
    <t>ONCA</t>
  </si>
  <si>
    <t>AP</t>
  </si>
  <si>
    <t>Liabilities</t>
  </si>
  <si>
    <t>DR</t>
  </si>
  <si>
    <t>OCL</t>
  </si>
  <si>
    <t>Lease</t>
  </si>
  <si>
    <t>Financing</t>
  </si>
  <si>
    <t>S/E</t>
  </si>
  <si>
    <t>L+S/E</t>
  </si>
  <si>
    <t>Comirnaty</t>
  </si>
  <si>
    <t>Brand</t>
  </si>
  <si>
    <t>Generic</t>
  </si>
  <si>
    <t>Indication</t>
  </si>
  <si>
    <t>MOA</t>
  </si>
  <si>
    <t>Approved</t>
  </si>
  <si>
    <t>IP</t>
  </si>
  <si>
    <t>Admin</t>
  </si>
  <si>
    <t>Phase</t>
  </si>
  <si>
    <t>mRNA-1345</t>
  </si>
  <si>
    <t>RSV</t>
  </si>
  <si>
    <t>mRNA-1010</t>
  </si>
  <si>
    <t>Influenza</t>
  </si>
  <si>
    <t>mRNA-3927</t>
  </si>
  <si>
    <t>Propionic Acidemia</t>
  </si>
  <si>
    <t>mRNA-3745</t>
  </si>
  <si>
    <t>GSD1a</t>
  </si>
  <si>
    <t>CEO: Stephane Bancel</t>
  </si>
  <si>
    <t>mRNA-3705</t>
  </si>
  <si>
    <t>MMA</t>
  </si>
  <si>
    <t>mRNA-3139</t>
  </si>
  <si>
    <t>OTC</t>
  </si>
  <si>
    <t>mRNA-1647</t>
  </si>
  <si>
    <t>CMV</t>
  </si>
  <si>
    <t>CFO: James Mock</t>
  </si>
  <si>
    <t>mRNA-1893</t>
  </si>
  <si>
    <t>Zika</t>
  </si>
  <si>
    <t>mRNA-1215</t>
  </si>
  <si>
    <t>Nipah</t>
  </si>
  <si>
    <t>mRNA-4157</t>
  </si>
  <si>
    <t>mRNA-3283</t>
  </si>
  <si>
    <t>PKU</t>
  </si>
  <si>
    <t>PCV</t>
  </si>
  <si>
    <t>Spikevax</t>
  </si>
  <si>
    <t>COVID-19</t>
  </si>
  <si>
    <t>mRNA-1020</t>
  </si>
  <si>
    <t>mRNA-1030</t>
  </si>
  <si>
    <t>mRNA-1011</t>
  </si>
  <si>
    <t>mRNA-1012</t>
  </si>
  <si>
    <t>mRNA-1608</t>
  </si>
  <si>
    <t>HSV</t>
  </si>
  <si>
    <t>mRNA-1468</t>
  </si>
  <si>
    <t>Vaccine</t>
  </si>
  <si>
    <t>VZV</t>
  </si>
  <si>
    <t>VXc-522</t>
  </si>
  <si>
    <t>Cystic Fibrosis</t>
  </si>
  <si>
    <t>Economics</t>
  </si>
  <si>
    <t>VRTX</t>
  </si>
  <si>
    <t>Headcount</t>
  </si>
  <si>
    <t>CCO: Arpa Garay</t>
  </si>
  <si>
    <t>mRNA-1574</t>
  </si>
  <si>
    <t>HIV</t>
  </si>
  <si>
    <t>I</t>
  </si>
  <si>
    <t>III</t>
  </si>
  <si>
    <t>mRNA-1189</t>
  </si>
  <si>
    <t>EBV</t>
  </si>
  <si>
    <t>Gross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</si>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</sst>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0" applyNumberFormat="1" applyAlignment="1">
      <alignment horizontal="right"/>
    </xf>
    <xf numFmtId="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85725</xdr:rowOff>
    </xdr:from>
    <xdr:to>
      <xdr:col>12</xdr:col>
      <xdr:colOff>28575</xdr:colOff>
      <xdr:row>48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5D9DD69-49BF-D603-E3E8-06FB37E5F0CA}"/>
            </a:ext>
          </a:extLst>
        </xdr:cNvPr>
        <xdr:cNvCxnSpPr/>
      </xdr:nvCxnSpPr>
      <xdr:spPr>
        <a:xfrm>
          <a:off x="7334250" y="85725"/>
          <a:ext cx="0" cy="6600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0</xdr:row>
      <xdr:rowOff>0</xdr:rowOff>
    </xdr:from>
    <xdr:to>
      <xdr:col>25</xdr:col>
      <xdr:colOff>38100</xdr:colOff>
      <xdr:row>47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F9B6F24-0513-4BD0-B6A8-E691E2057353}"/>
            </a:ext>
          </a:extLst>
        </xdr:cNvPr>
        <xdr:cNvCxnSpPr/>
      </xdr:nvCxnSpPr>
      <xdr:spPr>
        <a:xfrm>
          <a:off x="15268575" y="0"/>
          <a:ext cx="0" cy="773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F1476AF-D443-4543-BE7B-E432FEBB72D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6" dT="2022-09-10T06:51:40.15" personId="{7F1476AF-D443-4543-BE7B-E432FEBB72DB}" id="{7A88566D-7393-4EDB-9417-9FF15ED60EED}">
    <text>Q222 guidance: Reiterates 21B expected delivery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1D1F-1382-40BF-BCB1-9D97F23C48F4}">
  <dimension ref="B2:M24"/>
  <sheetViews>
    <sheetView zoomScale="160" zoomScaleNormal="160" workbookViewId="0">
      <selection activeCell="E15" sqref="E15"/>
    </sheetView>
  </sheetViews>
  <sheetFormatPr defaultRowHeight="12.75" x14ac:dyDescent="0.2"/>
  <cols>
    <col min="1" max="1" width="5.5703125" customWidth="1"/>
    <col min="2" max="2" width="11.28515625" bestFit="1" customWidth="1"/>
    <col min="4" max="4" width="17.28515625" customWidth="1"/>
  </cols>
  <sheetData>
    <row r="2" spans="2:13" x14ac:dyDescent="0.2">
      <c r="B2" s="15" t="s">
        <v>55</v>
      </c>
      <c r="C2" s="16" t="s">
        <v>56</v>
      </c>
      <c r="D2" s="16" t="s">
        <v>57</v>
      </c>
      <c r="E2" s="16" t="s">
        <v>58</v>
      </c>
      <c r="F2" s="16" t="s">
        <v>59</v>
      </c>
      <c r="G2" s="16" t="s">
        <v>60</v>
      </c>
      <c r="H2" s="16" t="s">
        <v>100</v>
      </c>
      <c r="I2" s="17" t="s">
        <v>61</v>
      </c>
      <c r="K2" t="s">
        <v>0</v>
      </c>
      <c r="L2">
        <v>142.28</v>
      </c>
    </row>
    <row r="3" spans="2:13" x14ac:dyDescent="0.2">
      <c r="B3" s="9" t="s">
        <v>87</v>
      </c>
      <c r="C3" s="10"/>
      <c r="D3" s="10" t="s">
        <v>88</v>
      </c>
      <c r="E3" s="10"/>
      <c r="F3" s="10"/>
      <c r="G3" s="10"/>
      <c r="H3" s="10"/>
      <c r="I3" s="11"/>
      <c r="K3" t="s">
        <v>1</v>
      </c>
      <c r="L3" s="2">
        <v>391.199544</v>
      </c>
      <c r="M3" s="1" t="s">
        <v>6</v>
      </c>
    </row>
    <row r="4" spans="2:13" x14ac:dyDescent="0.2">
      <c r="B4" s="15"/>
      <c r="C4" s="16"/>
      <c r="D4" s="16"/>
      <c r="E4" s="16"/>
      <c r="F4" s="19" t="s">
        <v>62</v>
      </c>
      <c r="G4" s="16"/>
      <c r="H4" s="16"/>
      <c r="I4" s="17"/>
      <c r="K4" t="s">
        <v>2</v>
      </c>
      <c r="L4" s="2">
        <f>+L2*L3</f>
        <v>55659.87112032</v>
      </c>
    </row>
    <row r="5" spans="2:13" x14ac:dyDescent="0.2">
      <c r="B5" s="9" t="s">
        <v>63</v>
      </c>
      <c r="C5" s="10"/>
      <c r="D5" s="10" t="s">
        <v>64</v>
      </c>
      <c r="E5" s="10"/>
      <c r="F5" s="20" t="s">
        <v>107</v>
      </c>
      <c r="G5" s="10"/>
      <c r="H5" s="10"/>
      <c r="I5" s="11"/>
      <c r="K5" t="s">
        <v>3</v>
      </c>
      <c r="L5" s="2">
        <f>2873+5024+10162</f>
        <v>18059</v>
      </c>
      <c r="M5" s="1" t="s">
        <v>6</v>
      </c>
    </row>
    <row r="6" spans="2:13" x14ac:dyDescent="0.2">
      <c r="B6" s="9" t="s">
        <v>76</v>
      </c>
      <c r="C6" s="10"/>
      <c r="D6" s="18" t="s">
        <v>77</v>
      </c>
      <c r="E6" s="10"/>
      <c r="F6" s="20" t="s">
        <v>107</v>
      </c>
      <c r="G6" s="10"/>
      <c r="H6" s="10"/>
      <c r="I6" s="11"/>
      <c r="K6" t="s">
        <v>4</v>
      </c>
      <c r="L6" s="2">
        <v>0</v>
      </c>
      <c r="M6" s="1" t="s">
        <v>6</v>
      </c>
    </row>
    <row r="7" spans="2:13" x14ac:dyDescent="0.2">
      <c r="B7" s="9" t="s">
        <v>65</v>
      </c>
      <c r="C7" s="10"/>
      <c r="D7" s="10" t="s">
        <v>66</v>
      </c>
      <c r="E7" s="10"/>
      <c r="F7" s="20"/>
      <c r="G7" s="10"/>
      <c r="H7" s="10"/>
      <c r="I7" s="11"/>
      <c r="K7" t="s">
        <v>5</v>
      </c>
      <c r="L7" s="2">
        <f>+L4-L5+L6</f>
        <v>37600.87112032</v>
      </c>
    </row>
    <row r="8" spans="2:13" x14ac:dyDescent="0.2">
      <c r="B8" s="9" t="s">
        <v>89</v>
      </c>
      <c r="C8" s="10"/>
      <c r="D8" s="18" t="s">
        <v>66</v>
      </c>
      <c r="E8" s="10"/>
      <c r="F8" s="20"/>
      <c r="G8" s="10"/>
      <c r="H8" s="10"/>
      <c r="I8" s="11"/>
    </row>
    <row r="9" spans="2:13" x14ac:dyDescent="0.2">
      <c r="B9" s="9" t="s">
        <v>90</v>
      </c>
      <c r="C9" s="10"/>
      <c r="D9" s="18" t="s">
        <v>66</v>
      </c>
      <c r="E9" s="10"/>
      <c r="F9" s="20"/>
      <c r="G9" s="10"/>
      <c r="H9" s="10"/>
      <c r="I9" s="11"/>
    </row>
    <row r="10" spans="2:13" x14ac:dyDescent="0.2">
      <c r="B10" s="9" t="s">
        <v>91</v>
      </c>
      <c r="C10" s="10"/>
      <c r="D10" s="18" t="s">
        <v>66</v>
      </c>
      <c r="E10" s="10"/>
      <c r="F10" s="20"/>
      <c r="G10" s="10"/>
      <c r="H10" s="10"/>
      <c r="I10" s="11"/>
    </row>
    <row r="11" spans="2:13" x14ac:dyDescent="0.2">
      <c r="B11" s="9" t="s">
        <v>92</v>
      </c>
      <c r="C11" s="10"/>
      <c r="D11" s="18" t="s">
        <v>66</v>
      </c>
      <c r="E11" s="10"/>
      <c r="F11" s="20"/>
      <c r="G11" s="10"/>
      <c r="H11" s="10"/>
      <c r="I11" s="11"/>
      <c r="K11" t="s">
        <v>71</v>
      </c>
    </row>
    <row r="12" spans="2:13" x14ac:dyDescent="0.2">
      <c r="B12" s="9" t="s">
        <v>67</v>
      </c>
      <c r="C12" s="10"/>
      <c r="D12" s="18" t="s">
        <v>68</v>
      </c>
      <c r="E12" s="10"/>
      <c r="F12" s="20"/>
      <c r="G12" s="10"/>
      <c r="H12" s="10"/>
      <c r="I12" s="11"/>
      <c r="K12" t="s">
        <v>78</v>
      </c>
    </row>
    <row r="13" spans="2:13" x14ac:dyDescent="0.2">
      <c r="B13" s="9" t="s">
        <v>69</v>
      </c>
      <c r="C13" s="10"/>
      <c r="D13" s="18" t="s">
        <v>70</v>
      </c>
      <c r="E13" s="10"/>
      <c r="F13" s="20"/>
      <c r="G13" s="10"/>
      <c r="H13" s="10"/>
      <c r="I13" s="11"/>
      <c r="K13" t="s">
        <v>103</v>
      </c>
    </row>
    <row r="14" spans="2:13" x14ac:dyDescent="0.2">
      <c r="B14" s="9" t="s">
        <v>72</v>
      </c>
      <c r="C14" s="10"/>
      <c r="D14" s="18" t="s">
        <v>73</v>
      </c>
      <c r="E14" s="10"/>
      <c r="F14" s="20"/>
      <c r="G14" s="10"/>
      <c r="H14" s="10"/>
      <c r="I14" s="11"/>
    </row>
    <row r="15" spans="2:13" x14ac:dyDescent="0.2">
      <c r="B15" s="9" t="s">
        <v>74</v>
      </c>
      <c r="C15" s="10"/>
      <c r="D15" s="18" t="s">
        <v>75</v>
      </c>
      <c r="E15" s="10"/>
      <c r="F15" s="20"/>
      <c r="G15" s="10"/>
      <c r="H15" s="10"/>
      <c r="I15" s="11"/>
    </row>
    <row r="16" spans="2:13" x14ac:dyDescent="0.2">
      <c r="B16" s="9" t="s">
        <v>79</v>
      </c>
      <c r="C16" s="10"/>
      <c r="D16" s="18" t="s">
        <v>80</v>
      </c>
      <c r="E16" s="10"/>
      <c r="F16" s="20"/>
      <c r="G16" s="10"/>
      <c r="H16" s="10"/>
      <c r="I16" s="11"/>
    </row>
    <row r="17" spans="2:9" x14ac:dyDescent="0.2">
      <c r="B17" s="9" t="s">
        <v>81</v>
      </c>
      <c r="C17" s="10"/>
      <c r="D17" s="18" t="s">
        <v>82</v>
      </c>
      <c r="E17" s="10" t="s">
        <v>96</v>
      </c>
      <c r="F17" s="20"/>
      <c r="G17" s="10"/>
      <c r="H17" s="10"/>
      <c r="I17" s="11"/>
    </row>
    <row r="18" spans="2:9" x14ac:dyDescent="0.2">
      <c r="B18" s="9" t="s">
        <v>83</v>
      </c>
      <c r="C18" s="10"/>
      <c r="D18" s="18" t="s">
        <v>86</v>
      </c>
      <c r="E18" s="10"/>
      <c r="F18" s="20"/>
      <c r="G18" s="10"/>
      <c r="H18" s="10"/>
      <c r="I18" s="11"/>
    </row>
    <row r="19" spans="2:9" x14ac:dyDescent="0.2">
      <c r="B19" s="9" t="s">
        <v>93</v>
      </c>
      <c r="C19" s="10"/>
      <c r="D19" s="18" t="s">
        <v>94</v>
      </c>
      <c r="E19" s="10"/>
      <c r="F19" s="20"/>
      <c r="G19" s="10"/>
      <c r="H19" s="10"/>
      <c r="I19" s="11"/>
    </row>
    <row r="20" spans="2:9" x14ac:dyDescent="0.2">
      <c r="B20" s="9" t="s">
        <v>104</v>
      </c>
      <c r="C20" s="10"/>
      <c r="D20" s="18" t="s">
        <v>105</v>
      </c>
      <c r="E20" s="10" t="s">
        <v>96</v>
      </c>
      <c r="F20" s="21" t="s">
        <v>106</v>
      </c>
      <c r="G20" s="10"/>
      <c r="H20" s="10"/>
      <c r="I20" s="11"/>
    </row>
    <row r="21" spans="2:9" x14ac:dyDescent="0.2">
      <c r="B21" s="9" t="s">
        <v>95</v>
      </c>
      <c r="C21" s="10"/>
      <c r="D21" s="18" t="s">
        <v>97</v>
      </c>
      <c r="E21" s="10"/>
      <c r="F21" s="20"/>
      <c r="G21" s="10"/>
      <c r="H21" s="10"/>
      <c r="I21" s="11"/>
    </row>
    <row r="22" spans="2:9" x14ac:dyDescent="0.2">
      <c r="B22" s="9" t="s">
        <v>108</v>
      </c>
      <c r="C22" s="10"/>
      <c r="D22" s="18" t="s">
        <v>109</v>
      </c>
      <c r="E22" s="10" t="s">
        <v>96</v>
      </c>
      <c r="F22" s="20" t="s">
        <v>106</v>
      </c>
      <c r="G22" s="10"/>
      <c r="H22" s="10"/>
      <c r="I22" s="11"/>
    </row>
    <row r="23" spans="2:9" x14ac:dyDescent="0.2">
      <c r="B23" s="9" t="s">
        <v>98</v>
      </c>
      <c r="C23" s="10"/>
      <c r="D23" s="18" t="s">
        <v>99</v>
      </c>
      <c r="E23" s="10"/>
      <c r="F23" s="20"/>
      <c r="G23" s="10"/>
      <c r="H23" s="10" t="s">
        <v>101</v>
      </c>
      <c r="I23" s="11"/>
    </row>
    <row r="24" spans="2:9" x14ac:dyDescent="0.2">
      <c r="B24" s="12" t="s">
        <v>84</v>
      </c>
      <c r="C24" s="13"/>
      <c r="D24" s="13" t="s">
        <v>85</v>
      </c>
      <c r="E24" s="13"/>
      <c r="F24" s="22"/>
      <c r="G24" s="13"/>
      <c r="H24" s="13"/>
      <c r="I24" s="1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93C8-90F0-44F5-B32B-73F90FF84785}">
  <dimension ref="A1:AM4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RowHeight="12.75" x14ac:dyDescent="0.2"/>
  <cols>
    <col min="1" max="1" width="5" bestFit="1" customWidth="1"/>
    <col min="2" max="2" width="13.140625" bestFit="1" customWidth="1"/>
    <col min="3" max="14" width="9.140625" style="1"/>
  </cols>
  <sheetData>
    <row r="1" spans="1:39" x14ac:dyDescent="0.2">
      <c r="A1" t="s">
        <v>7</v>
      </c>
    </row>
    <row r="2" spans="1:39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W2">
        <v>2019</v>
      </c>
      <c r="X2">
        <f>+W2+1</f>
        <v>2020</v>
      </c>
      <c r="Y2">
        <f t="shared" ref="Y2:AD2" si="0">+X2+1</f>
        <v>2021</v>
      </c>
      <c r="Z2">
        <f t="shared" si="0"/>
        <v>2022</v>
      </c>
      <c r="AA2">
        <f t="shared" si="0"/>
        <v>2023</v>
      </c>
      <c r="AB2">
        <f t="shared" si="0"/>
        <v>2024</v>
      </c>
      <c r="AC2">
        <f t="shared" si="0"/>
        <v>2025</v>
      </c>
      <c r="AD2">
        <f t="shared" si="0"/>
        <v>2026</v>
      </c>
      <c r="AE2">
        <f>+AD2+1</f>
        <v>2027</v>
      </c>
      <c r="AF2">
        <f t="shared" ref="AF2:AM2" si="1">+AE2+1</f>
        <v>2028</v>
      </c>
      <c r="AG2">
        <f t="shared" si="1"/>
        <v>2029</v>
      </c>
      <c r="AH2">
        <f t="shared" si="1"/>
        <v>2030</v>
      </c>
      <c r="AI2">
        <f t="shared" si="1"/>
        <v>2031</v>
      </c>
      <c r="AJ2">
        <f t="shared" si="1"/>
        <v>2032</v>
      </c>
      <c r="AK2">
        <f t="shared" si="1"/>
        <v>2033</v>
      </c>
      <c r="AL2">
        <f t="shared" si="1"/>
        <v>2034</v>
      </c>
      <c r="AM2">
        <f t="shared" si="1"/>
        <v>2035</v>
      </c>
    </row>
    <row r="3" spans="1:39" s="7" customFormat="1" x14ac:dyDescent="0.2">
      <c r="B3" s="7" t="s">
        <v>54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39" x14ac:dyDescent="0.2">
      <c r="O4" s="1"/>
      <c r="P4" s="1"/>
      <c r="Q4" s="1"/>
      <c r="R4" s="1"/>
    </row>
    <row r="5" spans="1:39" x14ac:dyDescent="0.2">
      <c r="B5" t="s">
        <v>76</v>
      </c>
      <c r="O5" s="1"/>
      <c r="P5" s="1"/>
      <c r="Q5" s="1"/>
      <c r="R5" s="1"/>
    </row>
    <row r="6" spans="1:39" s="2" customFormat="1" x14ac:dyDescent="0.2">
      <c r="B6" s="2" t="s">
        <v>8</v>
      </c>
      <c r="C6" s="3"/>
      <c r="D6" s="3"/>
      <c r="E6" s="3">
        <v>0</v>
      </c>
      <c r="F6" s="3">
        <v>200</v>
      </c>
      <c r="G6" s="3">
        <v>1733</v>
      </c>
      <c r="H6" s="3">
        <v>4197</v>
      </c>
      <c r="I6" s="3">
        <v>4810</v>
      </c>
      <c r="J6" s="3">
        <v>6935</v>
      </c>
      <c r="K6" s="3">
        <v>5925</v>
      </c>
      <c r="L6" s="3">
        <v>4531</v>
      </c>
      <c r="M6" s="3">
        <f>+L6-200</f>
        <v>4331</v>
      </c>
      <c r="N6" s="3">
        <f>+M6-300</f>
        <v>4031</v>
      </c>
      <c r="O6" s="3">
        <f>+N6-400</f>
        <v>3631</v>
      </c>
      <c r="P6" s="3">
        <f>+O6-500</f>
        <v>3131</v>
      </c>
      <c r="Q6" s="3">
        <f>+P6-600</f>
        <v>2531</v>
      </c>
      <c r="R6" s="3">
        <f>+Q6-700</f>
        <v>1831</v>
      </c>
      <c r="Y6" s="2">
        <f>SUM(G6:J6)</f>
        <v>17675</v>
      </c>
      <c r="Z6" s="2">
        <f>SUM(K6:N6)</f>
        <v>18818</v>
      </c>
      <c r="AA6" s="2">
        <f>SUM(O6:R6)</f>
        <v>11124</v>
      </c>
      <c r="AB6" s="2">
        <f>+AA6*0.2</f>
        <v>2224.8000000000002</v>
      </c>
      <c r="AC6" s="2">
        <f t="shared" ref="AC6:AM6" si="2">+AB6*0.2</f>
        <v>444.96000000000004</v>
      </c>
      <c r="AD6" s="2">
        <f t="shared" si="2"/>
        <v>88.992000000000019</v>
      </c>
      <c r="AE6" s="2">
        <f t="shared" si="2"/>
        <v>17.798400000000004</v>
      </c>
      <c r="AF6" s="2">
        <f t="shared" si="2"/>
        <v>3.5596800000000011</v>
      </c>
      <c r="AG6" s="2">
        <f t="shared" si="2"/>
        <v>0.71193600000000024</v>
      </c>
      <c r="AH6" s="2">
        <f t="shared" si="2"/>
        <v>0.14238720000000005</v>
      </c>
      <c r="AI6" s="2">
        <f t="shared" si="2"/>
        <v>2.847744000000001E-2</v>
      </c>
      <c r="AJ6" s="2">
        <f t="shared" si="2"/>
        <v>5.695488000000002E-3</v>
      </c>
      <c r="AK6" s="2">
        <f t="shared" si="2"/>
        <v>1.1390976000000004E-3</v>
      </c>
      <c r="AL6" s="2">
        <f t="shared" si="2"/>
        <v>2.2781952000000007E-4</v>
      </c>
      <c r="AM6" s="2">
        <f t="shared" si="2"/>
        <v>4.5563904000000017E-5</v>
      </c>
    </row>
    <row r="7" spans="1:39" s="2" customFormat="1" x14ac:dyDescent="0.2">
      <c r="B7" s="2" t="s">
        <v>24</v>
      </c>
      <c r="C7" s="3"/>
      <c r="D7" s="3"/>
      <c r="E7" s="3">
        <v>145</v>
      </c>
      <c r="F7" s="3">
        <v>341</v>
      </c>
      <c r="G7" s="3">
        <v>194</v>
      </c>
      <c r="H7" s="3">
        <v>139</v>
      </c>
      <c r="I7" s="3">
        <v>140</v>
      </c>
      <c r="J7" s="3">
        <v>262</v>
      </c>
      <c r="K7" s="3">
        <v>126</v>
      </c>
      <c r="L7" s="3">
        <v>183</v>
      </c>
      <c r="M7" s="3"/>
      <c r="N7" s="3"/>
      <c r="Y7" s="2">
        <f>SUM(G7:J7)</f>
        <v>735</v>
      </c>
      <c r="Z7" s="2">
        <f>SUM(K7:N7)</f>
        <v>309</v>
      </c>
    </row>
    <row r="8" spans="1:39" s="2" customFormat="1" x14ac:dyDescent="0.2">
      <c r="B8" s="2" t="s">
        <v>25</v>
      </c>
      <c r="C8" s="3"/>
      <c r="D8" s="3"/>
      <c r="E8" s="3">
        <v>12</v>
      </c>
      <c r="F8" s="3">
        <v>30</v>
      </c>
      <c r="G8" s="3">
        <v>10</v>
      </c>
      <c r="H8" s="3">
        <v>18</v>
      </c>
      <c r="I8" s="3">
        <v>19</v>
      </c>
      <c r="J8" s="3">
        <v>14</v>
      </c>
      <c r="K8" s="3">
        <v>15</v>
      </c>
      <c r="L8" s="3">
        <v>35</v>
      </c>
      <c r="M8" s="3"/>
      <c r="N8" s="3"/>
      <c r="Y8" s="2">
        <f>SUM(G8:J8)</f>
        <v>61</v>
      </c>
      <c r="Z8" s="2">
        <f>SUM(K8:N8)</f>
        <v>50</v>
      </c>
    </row>
    <row r="9" spans="1:39" s="4" customFormat="1" x14ac:dyDescent="0.2">
      <c r="B9" s="4" t="s">
        <v>26</v>
      </c>
      <c r="C9" s="5"/>
      <c r="D9" s="5"/>
      <c r="E9" s="5">
        <f>SUM(E6:E8)</f>
        <v>157</v>
      </c>
      <c r="F9" s="5">
        <f>SUM(F6:F8)</f>
        <v>571</v>
      </c>
      <c r="G9" s="5">
        <f>SUM(G6:G8)</f>
        <v>1937</v>
      </c>
      <c r="H9" s="5">
        <f>SUM(H6:H8)</f>
        <v>4354</v>
      </c>
      <c r="I9" s="5">
        <f>SUM(I6:I8)</f>
        <v>4969</v>
      </c>
      <c r="J9" s="5">
        <f>SUM(J6:J8)</f>
        <v>7211</v>
      </c>
      <c r="K9" s="5">
        <f>SUM(K6:K8)</f>
        <v>6066</v>
      </c>
      <c r="L9" s="5">
        <f>SUM(L6:L8)</f>
        <v>4749</v>
      </c>
      <c r="M9" s="5">
        <f t="shared" ref="M9:N9" si="3">SUM(M6:M8)</f>
        <v>4331</v>
      </c>
      <c r="N9" s="5">
        <f t="shared" si="3"/>
        <v>4031</v>
      </c>
      <c r="O9" s="5">
        <f t="shared" ref="O9" si="4">SUM(O6:O8)</f>
        <v>3631</v>
      </c>
      <c r="P9" s="5">
        <f t="shared" ref="P9" si="5">SUM(P6:P8)</f>
        <v>3131</v>
      </c>
      <c r="Q9" s="5">
        <f t="shared" ref="Q9" si="6">SUM(Q6:Q8)</f>
        <v>2531</v>
      </c>
      <c r="R9" s="5">
        <f t="shared" ref="R9" si="7">SUM(R6:R8)</f>
        <v>1831</v>
      </c>
      <c r="Y9" s="4">
        <f>SUM(Y6:Y8)</f>
        <v>18471</v>
      </c>
      <c r="Z9" s="4">
        <f>SUM(Z6:Z8)</f>
        <v>19177</v>
      </c>
    </row>
    <row r="10" spans="1:39" s="2" customFormat="1" x14ac:dyDescent="0.2">
      <c r="B10" s="2" t="s">
        <v>34</v>
      </c>
      <c r="C10" s="3"/>
      <c r="D10" s="3"/>
      <c r="E10" s="3">
        <v>0</v>
      </c>
      <c r="F10" s="3">
        <v>8</v>
      </c>
      <c r="G10" s="3">
        <v>193</v>
      </c>
      <c r="H10" s="3">
        <v>750</v>
      </c>
      <c r="I10" s="3">
        <v>722</v>
      </c>
      <c r="J10" s="3">
        <v>952</v>
      </c>
      <c r="K10" s="3">
        <v>1017</v>
      </c>
      <c r="L10" s="3">
        <v>1381</v>
      </c>
      <c r="M10" s="3">
        <f>+M9-M11</f>
        <v>736.27</v>
      </c>
      <c r="N10" s="3">
        <f t="shared" ref="N10" si="8">+N9-N11</f>
        <v>685.27</v>
      </c>
      <c r="O10" s="3">
        <f t="shared" ref="O10" si="9">+O9-O11</f>
        <v>617.27</v>
      </c>
      <c r="P10" s="3">
        <f t="shared" ref="P10" si="10">+P9-P11</f>
        <v>532.27</v>
      </c>
      <c r="Q10" s="3">
        <f t="shared" ref="Q10" si="11">+Q9-Q11</f>
        <v>430.27</v>
      </c>
      <c r="R10" s="3">
        <f t="shared" ref="R10" si="12">+R9-R11</f>
        <v>311.27</v>
      </c>
    </row>
    <row r="11" spans="1:39" x14ac:dyDescent="0.2">
      <c r="B11" s="2" t="s">
        <v>35</v>
      </c>
      <c r="E11" s="3">
        <f>+E9-E10</f>
        <v>157</v>
      </c>
      <c r="F11" s="3">
        <f>+F9-F10</f>
        <v>563</v>
      </c>
      <c r="G11" s="3">
        <f>+G9-G10</f>
        <v>1744</v>
      </c>
      <c r="H11" s="3">
        <f>+H9-H10</f>
        <v>3604</v>
      </c>
      <c r="I11" s="3">
        <f>+I9-I10</f>
        <v>4247</v>
      </c>
      <c r="J11" s="3">
        <f>+J9-J10</f>
        <v>6259</v>
      </c>
      <c r="K11" s="3">
        <f>+K9-K10</f>
        <v>5049</v>
      </c>
      <c r="L11" s="3">
        <f>+L9-L10</f>
        <v>3368</v>
      </c>
      <c r="M11" s="3">
        <f>+M9*0.83</f>
        <v>3594.73</v>
      </c>
      <c r="N11" s="3">
        <f t="shared" ref="N11:R11" si="13">+N9*0.83</f>
        <v>3345.73</v>
      </c>
      <c r="O11" s="3">
        <f t="shared" si="13"/>
        <v>3013.73</v>
      </c>
      <c r="P11" s="3">
        <f t="shared" si="13"/>
        <v>2598.73</v>
      </c>
      <c r="Q11" s="3">
        <f t="shared" si="13"/>
        <v>2100.73</v>
      </c>
      <c r="R11" s="3">
        <f t="shared" si="13"/>
        <v>1519.73</v>
      </c>
    </row>
    <row r="12" spans="1:39" x14ac:dyDescent="0.2">
      <c r="B12" s="2" t="s">
        <v>36</v>
      </c>
      <c r="E12" s="1">
        <v>344</v>
      </c>
      <c r="F12" s="1">
        <v>759</v>
      </c>
      <c r="G12" s="1">
        <v>401</v>
      </c>
      <c r="H12" s="1">
        <v>421</v>
      </c>
      <c r="I12" s="1">
        <v>521</v>
      </c>
      <c r="J12" s="1">
        <v>648</v>
      </c>
      <c r="K12" s="1">
        <v>554</v>
      </c>
      <c r="L12" s="1">
        <v>710</v>
      </c>
      <c r="M12" s="1">
        <f>+L12+50</f>
        <v>760</v>
      </c>
      <c r="N12" s="1">
        <f t="shared" ref="N12:R12" si="14">+M12+50</f>
        <v>810</v>
      </c>
      <c r="O12" s="1">
        <f t="shared" si="14"/>
        <v>860</v>
      </c>
      <c r="P12" s="1">
        <f t="shared" si="14"/>
        <v>910</v>
      </c>
      <c r="Q12" s="1">
        <f t="shared" si="14"/>
        <v>960</v>
      </c>
      <c r="R12" s="1">
        <f t="shared" si="14"/>
        <v>1010</v>
      </c>
    </row>
    <row r="13" spans="1:39" x14ac:dyDescent="0.2">
      <c r="B13" s="2" t="s">
        <v>37</v>
      </c>
      <c r="E13" s="1">
        <v>48</v>
      </c>
      <c r="F13" s="1">
        <v>79</v>
      </c>
      <c r="G13" s="1">
        <v>77</v>
      </c>
      <c r="H13" s="1">
        <v>121</v>
      </c>
      <c r="I13" s="1">
        <v>168</v>
      </c>
      <c r="J13" s="1">
        <v>201</v>
      </c>
      <c r="K13" s="1">
        <v>268</v>
      </c>
      <c r="L13" s="1">
        <v>211</v>
      </c>
      <c r="M13" s="1">
        <f>+L13+20</f>
        <v>231</v>
      </c>
      <c r="N13" s="1">
        <f t="shared" ref="N13:R13" si="15">+M13+20</f>
        <v>251</v>
      </c>
      <c r="O13" s="1">
        <f t="shared" si="15"/>
        <v>271</v>
      </c>
      <c r="P13" s="1">
        <f t="shared" si="15"/>
        <v>291</v>
      </c>
      <c r="Q13" s="1">
        <f t="shared" si="15"/>
        <v>311</v>
      </c>
      <c r="R13" s="1">
        <f t="shared" si="15"/>
        <v>331</v>
      </c>
    </row>
    <row r="14" spans="1:39" x14ac:dyDescent="0.2">
      <c r="B14" t="s">
        <v>32</v>
      </c>
      <c r="E14" s="1">
        <f>+E12+E13</f>
        <v>392</v>
      </c>
      <c r="F14" s="1">
        <f>+F12+F13</f>
        <v>838</v>
      </c>
      <c r="G14" s="1">
        <f>+G12+G13</f>
        <v>478</v>
      </c>
      <c r="H14" s="1">
        <f>+H12+H13</f>
        <v>542</v>
      </c>
      <c r="I14" s="1">
        <f>+I12+I13</f>
        <v>689</v>
      </c>
      <c r="J14" s="1">
        <f>+J12+J13</f>
        <v>849</v>
      </c>
      <c r="K14" s="1">
        <f>+K12+K13</f>
        <v>822</v>
      </c>
      <c r="L14" s="1">
        <f>+L12+L13</f>
        <v>921</v>
      </c>
      <c r="M14" s="1">
        <f t="shared" ref="M14:O14" si="16">+M12+M13</f>
        <v>991</v>
      </c>
      <c r="N14" s="1">
        <f t="shared" si="16"/>
        <v>1061</v>
      </c>
      <c r="O14" s="1">
        <f t="shared" si="16"/>
        <v>1131</v>
      </c>
      <c r="P14" s="1">
        <f t="shared" ref="P14" si="17">+P12+P13</f>
        <v>1201</v>
      </c>
      <c r="Q14" s="1">
        <f t="shared" ref="Q14" si="18">+Q12+Q13</f>
        <v>1271</v>
      </c>
      <c r="R14" s="1">
        <f t="shared" ref="R14" si="19">+R12+R13</f>
        <v>1341</v>
      </c>
    </row>
    <row r="15" spans="1:39" x14ac:dyDescent="0.2">
      <c r="B15" t="s">
        <v>33</v>
      </c>
      <c r="E15" s="3">
        <f>+E11-E14</f>
        <v>-235</v>
      </c>
      <c r="F15" s="3">
        <f>+F11-F14</f>
        <v>-275</v>
      </c>
      <c r="G15" s="3">
        <f>+G11-G14</f>
        <v>1266</v>
      </c>
      <c r="H15" s="3">
        <f>+H11-H14</f>
        <v>3062</v>
      </c>
      <c r="I15" s="3">
        <f>+I11-I14</f>
        <v>3558</v>
      </c>
      <c r="J15" s="3">
        <f>+J11-J14</f>
        <v>5410</v>
      </c>
      <c r="K15" s="3">
        <f>+K11-K14</f>
        <v>4227</v>
      </c>
      <c r="L15" s="3">
        <f>+L11-L14</f>
        <v>2447</v>
      </c>
      <c r="M15" s="3">
        <f t="shared" ref="M15:O15" si="20">+M11-M14</f>
        <v>2603.73</v>
      </c>
      <c r="N15" s="3">
        <f t="shared" si="20"/>
        <v>2284.73</v>
      </c>
      <c r="O15" s="3">
        <f t="shared" si="20"/>
        <v>1882.73</v>
      </c>
      <c r="P15" s="3">
        <f t="shared" ref="P15" si="21">+P11-P14</f>
        <v>1397.73</v>
      </c>
      <c r="Q15" s="3">
        <f t="shared" ref="Q15" si="22">+Q11-Q14</f>
        <v>829.73</v>
      </c>
      <c r="R15" s="3">
        <f t="shared" ref="R15" si="23">+R11-R14</f>
        <v>178.73000000000002</v>
      </c>
    </row>
    <row r="16" spans="1:39" x14ac:dyDescent="0.2">
      <c r="B16" t="s">
        <v>31</v>
      </c>
      <c r="E16" s="1">
        <f>6-3</f>
        <v>3</v>
      </c>
      <c r="F16" s="1">
        <v>4</v>
      </c>
      <c r="G16" s="1">
        <f>4-10</f>
        <v>-6</v>
      </c>
      <c r="H16" s="1">
        <f>3-2</f>
        <v>1</v>
      </c>
      <c r="I16" s="1">
        <f>4-10</f>
        <v>-6</v>
      </c>
      <c r="J16" s="1">
        <f>7-7</f>
        <v>0</v>
      </c>
      <c r="K16" s="1">
        <f>15-13</f>
        <v>2</v>
      </c>
      <c r="L16" s="1">
        <f>40-13</f>
        <v>27</v>
      </c>
    </row>
    <row r="17" spans="2:18" x14ac:dyDescent="0.2">
      <c r="B17" t="s">
        <v>30</v>
      </c>
      <c r="E17" s="3">
        <f>+E15+E16</f>
        <v>-232</v>
      </c>
      <c r="F17" s="3">
        <f>+F15+F16</f>
        <v>-271</v>
      </c>
      <c r="G17" s="3">
        <f>+G15+G16</f>
        <v>1260</v>
      </c>
      <c r="H17" s="3">
        <f>+H15+H16</f>
        <v>3063</v>
      </c>
      <c r="I17" s="3">
        <f>+I15+I16</f>
        <v>3552</v>
      </c>
      <c r="J17" s="3">
        <f>+J15+J16</f>
        <v>5410</v>
      </c>
      <c r="K17" s="3">
        <f>+K15+K16</f>
        <v>4229</v>
      </c>
      <c r="L17" s="3">
        <f>+L15+L16</f>
        <v>2474</v>
      </c>
      <c r="M17" s="3">
        <f t="shared" ref="M17:R17" si="24">+M15+M16</f>
        <v>2603.73</v>
      </c>
      <c r="N17" s="3">
        <f t="shared" si="24"/>
        <v>2284.73</v>
      </c>
      <c r="O17" s="3">
        <f t="shared" si="24"/>
        <v>1882.73</v>
      </c>
      <c r="P17" s="3">
        <f t="shared" si="24"/>
        <v>1397.73</v>
      </c>
      <c r="Q17" s="3">
        <f t="shared" si="24"/>
        <v>829.73</v>
      </c>
      <c r="R17" s="3">
        <f t="shared" si="24"/>
        <v>178.73000000000002</v>
      </c>
    </row>
    <row r="18" spans="2:18" x14ac:dyDescent="0.2">
      <c r="B18" t="s">
        <v>29</v>
      </c>
      <c r="E18" s="1">
        <v>1</v>
      </c>
      <c r="F18" s="1">
        <v>1</v>
      </c>
      <c r="G18" s="1">
        <v>39</v>
      </c>
      <c r="H18" s="1">
        <v>283</v>
      </c>
      <c r="I18" s="1">
        <v>219</v>
      </c>
      <c r="J18" s="1">
        <v>542</v>
      </c>
      <c r="K18" s="1">
        <v>572</v>
      </c>
      <c r="L18" s="1">
        <v>277</v>
      </c>
      <c r="M18" s="3">
        <f>+M17*0.15</f>
        <v>390.55950000000001</v>
      </c>
      <c r="N18" s="3">
        <f t="shared" ref="N18:R18" si="25">+N17*0.15</f>
        <v>342.70949999999999</v>
      </c>
      <c r="O18" s="3">
        <f t="shared" si="25"/>
        <v>282.40949999999998</v>
      </c>
      <c r="P18" s="3">
        <f t="shared" si="25"/>
        <v>209.65950000000001</v>
      </c>
      <c r="Q18" s="3">
        <f t="shared" si="25"/>
        <v>124.45949999999999</v>
      </c>
      <c r="R18" s="3">
        <f t="shared" si="25"/>
        <v>26.809500000000003</v>
      </c>
    </row>
    <row r="19" spans="2:18" x14ac:dyDescent="0.2">
      <c r="B19" t="s">
        <v>28</v>
      </c>
      <c r="E19" s="3">
        <f>+E17-E18</f>
        <v>-233</v>
      </c>
      <c r="F19" s="3">
        <f>+F17-F18</f>
        <v>-272</v>
      </c>
      <c r="G19" s="3">
        <f>+G17-G18</f>
        <v>1221</v>
      </c>
      <c r="H19" s="3">
        <f>+H17-H18</f>
        <v>2780</v>
      </c>
      <c r="I19" s="3">
        <f>+I17-I18</f>
        <v>3333</v>
      </c>
      <c r="J19" s="3">
        <f>+J17-J18</f>
        <v>4868</v>
      </c>
      <c r="K19" s="3">
        <f>+K17-K18</f>
        <v>3657</v>
      </c>
      <c r="L19" s="3">
        <f>+L17-L18</f>
        <v>2197</v>
      </c>
      <c r="M19" s="3">
        <f t="shared" ref="M19:R19" si="26">+M17-M18</f>
        <v>2213.1705000000002</v>
      </c>
      <c r="N19" s="3">
        <f t="shared" si="26"/>
        <v>1942.0205000000001</v>
      </c>
      <c r="O19" s="3">
        <f t="shared" si="26"/>
        <v>1600.3205</v>
      </c>
      <c r="P19" s="3">
        <f t="shared" si="26"/>
        <v>1188.0705</v>
      </c>
      <c r="Q19" s="3">
        <f t="shared" si="26"/>
        <v>705.27050000000008</v>
      </c>
      <c r="R19" s="3">
        <f t="shared" si="26"/>
        <v>151.9205</v>
      </c>
    </row>
    <row r="20" spans="2:18" x14ac:dyDescent="0.2">
      <c r="B20" t="s">
        <v>27</v>
      </c>
      <c r="E20" s="6">
        <f>+E19/E21</f>
        <v>-0.58987341772151902</v>
      </c>
      <c r="F20" s="6">
        <f>+F19/F21</f>
        <v>-0.68513853904282118</v>
      </c>
      <c r="G20" s="6">
        <f>+G19/G21</f>
        <v>2.8395348837209302</v>
      </c>
      <c r="H20" s="6">
        <f>+H19/H21</f>
        <v>6.4501160092807428</v>
      </c>
      <c r="I20" s="6">
        <f>+I19/I21</f>
        <v>7.6797235023041477</v>
      </c>
      <c r="J20" s="6">
        <f>+J19/J21</f>
        <v>11.294663573085847</v>
      </c>
      <c r="K20" s="6">
        <f>+K19/K21</f>
        <v>8.5845070422535219</v>
      </c>
      <c r="L20" s="6">
        <f>+L19/L21</f>
        <v>5.2434367541766109</v>
      </c>
      <c r="M20" s="6">
        <f t="shared" ref="M20:R20" si="27">+M19/M21</f>
        <v>5.2820298329355611</v>
      </c>
      <c r="N20" s="6">
        <f t="shared" si="27"/>
        <v>4.6348937947494031</v>
      </c>
      <c r="O20" s="6">
        <f t="shared" si="27"/>
        <v>3.8193806682577565</v>
      </c>
      <c r="P20" s="6">
        <f t="shared" si="27"/>
        <v>2.8354904534606207</v>
      </c>
      <c r="Q20" s="6">
        <f t="shared" si="27"/>
        <v>1.6832231503579955</v>
      </c>
      <c r="R20" s="6">
        <f t="shared" si="27"/>
        <v>0.36257875894988068</v>
      </c>
    </row>
    <row r="21" spans="2:18" x14ac:dyDescent="0.2">
      <c r="B21" t="s">
        <v>1</v>
      </c>
      <c r="E21" s="1">
        <v>395</v>
      </c>
      <c r="F21" s="1">
        <v>397</v>
      </c>
      <c r="G21" s="1">
        <v>430</v>
      </c>
      <c r="H21" s="1">
        <v>431</v>
      </c>
      <c r="I21" s="1">
        <v>434</v>
      </c>
      <c r="J21" s="1">
        <v>431</v>
      </c>
      <c r="K21" s="1">
        <v>426</v>
      </c>
      <c r="L21" s="1">
        <v>419</v>
      </c>
      <c r="M21" s="1">
        <f>+L21</f>
        <v>419</v>
      </c>
      <c r="N21" s="1">
        <f t="shared" ref="N21:R21" si="28">+M21</f>
        <v>419</v>
      </c>
      <c r="O21" s="1">
        <f t="shared" si="28"/>
        <v>419</v>
      </c>
      <c r="P21" s="1">
        <f t="shared" si="28"/>
        <v>419</v>
      </c>
      <c r="Q21" s="1">
        <f t="shared" si="28"/>
        <v>419</v>
      </c>
      <c r="R21" s="1">
        <f t="shared" si="28"/>
        <v>419</v>
      </c>
    </row>
    <row r="23" spans="2:18" x14ac:dyDescent="0.2">
      <c r="B23" t="s">
        <v>110</v>
      </c>
      <c r="E23" s="23">
        <f>E11/E9</f>
        <v>1</v>
      </c>
      <c r="F23" s="23">
        <f t="shared" ref="F23:R23" si="29">F11/F9</f>
        <v>0.98598949211908937</v>
      </c>
      <c r="G23" s="23">
        <f t="shared" si="29"/>
        <v>0.90036138358286011</v>
      </c>
      <c r="H23" s="23">
        <f t="shared" si="29"/>
        <v>0.82774460266421679</v>
      </c>
      <c r="I23" s="23">
        <f t="shared" si="29"/>
        <v>0.85469913463473535</v>
      </c>
      <c r="J23" s="23">
        <f t="shared" si="29"/>
        <v>0.86797947580085977</v>
      </c>
      <c r="K23" s="23">
        <f t="shared" si="29"/>
        <v>0.83234421364985167</v>
      </c>
      <c r="L23" s="23">
        <f t="shared" si="29"/>
        <v>0.7092019372499474</v>
      </c>
      <c r="M23" s="23">
        <f t="shared" si="29"/>
        <v>0.83</v>
      </c>
      <c r="N23" s="23">
        <f t="shared" si="29"/>
        <v>0.83</v>
      </c>
      <c r="O23" s="23">
        <f t="shared" si="29"/>
        <v>0.83</v>
      </c>
      <c r="P23" s="23">
        <f t="shared" si="29"/>
        <v>0.83</v>
      </c>
      <c r="Q23" s="23">
        <f t="shared" si="29"/>
        <v>0.83</v>
      </c>
      <c r="R23" s="23">
        <f t="shared" si="29"/>
        <v>0.83</v>
      </c>
    </row>
    <row r="24" spans="2:18" x14ac:dyDescent="0.2">
      <c r="B24" s="24" t="s">
        <v>111</v>
      </c>
      <c r="E24" s="23">
        <f>E18/E17</f>
        <v>-4.3103448275862068E-3</v>
      </c>
      <c r="F24" s="23">
        <f t="shared" ref="F24:R24" si="30">F18/F17</f>
        <v>-3.6900369003690036E-3</v>
      </c>
      <c r="G24" s="23">
        <f t="shared" si="30"/>
        <v>3.0952380952380953E-2</v>
      </c>
      <c r="H24" s="23">
        <f t="shared" si="30"/>
        <v>9.2393078681031665E-2</v>
      </c>
      <c r="I24" s="23">
        <f t="shared" si="30"/>
        <v>6.1655405405405407E-2</v>
      </c>
      <c r="J24" s="23">
        <f t="shared" si="30"/>
        <v>0.10018484288354898</v>
      </c>
      <c r="K24" s="23">
        <f t="shared" si="30"/>
        <v>0.13525656183494916</v>
      </c>
      <c r="L24" s="23">
        <f t="shared" si="30"/>
        <v>0.11196443007275667</v>
      </c>
      <c r="M24" s="23">
        <f t="shared" si="30"/>
        <v>0.15</v>
      </c>
      <c r="N24" s="23">
        <f t="shared" si="30"/>
        <v>0.15</v>
      </c>
      <c r="O24" s="23">
        <f t="shared" si="30"/>
        <v>0.15</v>
      </c>
      <c r="P24" s="23">
        <f t="shared" si="30"/>
        <v>0.15</v>
      </c>
      <c r="Q24" s="23">
        <f t="shared" si="30"/>
        <v>0.15</v>
      </c>
      <c r="R24" s="23">
        <f t="shared" si="30"/>
        <v>0.15</v>
      </c>
    </row>
    <row r="27" spans="2:18" s="2" customFormat="1" x14ac:dyDescent="0.2">
      <c r="B27" s="2" t="s">
        <v>3</v>
      </c>
      <c r="C27" s="3"/>
      <c r="D27" s="3"/>
      <c r="E27" s="3"/>
      <c r="F27" s="3"/>
      <c r="G27" s="3"/>
      <c r="H27" s="3"/>
      <c r="I27" s="3"/>
      <c r="J27" s="3"/>
      <c r="K27" s="3">
        <f>5048+5067+9171+12</f>
        <v>19298</v>
      </c>
      <c r="L27" s="3">
        <f>2873+5024+10162+12</f>
        <v>18071</v>
      </c>
      <c r="M27" s="3"/>
      <c r="N27" s="3"/>
    </row>
    <row r="28" spans="2:18" s="2" customFormat="1" x14ac:dyDescent="0.2">
      <c r="B28" s="2" t="s">
        <v>39</v>
      </c>
      <c r="C28" s="3"/>
      <c r="D28" s="3"/>
      <c r="E28" s="3"/>
      <c r="F28" s="3"/>
      <c r="G28" s="3"/>
      <c r="H28" s="3"/>
      <c r="I28" s="3"/>
      <c r="J28" s="3"/>
      <c r="K28" s="3">
        <v>3173</v>
      </c>
      <c r="L28" s="3">
        <v>2691</v>
      </c>
      <c r="M28" s="3"/>
      <c r="N28" s="3"/>
    </row>
    <row r="29" spans="2:18" s="2" customFormat="1" x14ac:dyDescent="0.2">
      <c r="B29" s="2" t="s">
        <v>40</v>
      </c>
      <c r="C29" s="3"/>
      <c r="D29" s="3"/>
      <c r="E29" s="3"/>
      <c r="F29" s="3"/>
      <c r="G29" s="3"/>
      <c r="H29" s="3"/>
      <c r="I29" s="3"/>
      <c r="J29" s="3"/>
      <c r="K29" s="3">
        <v>1942</v>
      </c>
      <c r="L29" s="3">
        <v>1921</v>
      </c>
      <c r="M29" s="3"/>
      <c r="N29" s="3"/>
    </row>
    <row r="30" spans="2:18" s="2" customFormat="1" x14ac:dyDescent="0.2">
      <c r="B30" s="2" t="s">
        <v>41</v>
      </c>
      <c r="C30" s="3"/>
      <c r="D30" s="3"/>
      <c r="E30" s="3"/>
      <c r="F30" s="3"/>
      <c r="G30" s="3"/>
      <c r="H30" s="3"/>
      <c r="I30" s="3"/>
      <c r="J30" s="3"/>
      <c r="K30" s="3">
        <v>1120</v>
      </c>
      <c r="L30" s="3">
        <v>1054</v>
      </c>
      <c r="M30" s="3"/>
      <c r="N30" s="3"/>
    </row>
    <row r="31" spans="2:18" s="2" customFormat="1" x14ac:dyDescent="0.2">
      <c r="B31" s="2" t="s">
        <v>42</v>
      </c>
      <c r="C31" s="3"/>
      <c r="D31" s="3"/>
      <c r="E31" s="3"/>
      <c r="F31" s="3"/>
      <c r="G31" s="3"/>
      <c r="H31" s="3"/>
      <c r="I31" s="3"/>
      <c r="J31" s="3"/>
      <c r="K31" s="3">
        <v>1341</v>
      </c>
      <c r="L31" s="3">
        <v>1324</v>
      </c>
      <c r="M31" s="3"/>
      <c r="N31" s="3"/>
    </row>
    <row r="32" spans="2:18" s="2" customFormat="1" x14ac:dyDescent="0.2">
      <c r="B32" s="2" t="s">
        <v>43</v>
      </c>
      <c r="C32" s="3"/>
      <c r="D32" s="3"/>
      <c r="E32" s="3"/>
      <c r="F32" s="3"/>
      <c r="G32" s="3"/>
      <c r="H32" s="3"/>
      <c r="I32" s="3"/>
      <c r="J32" s="3"/>
      <c r="K32" s="3">
        <v>132</v>
      </c>
      <c r="L32" s="3">
        <v>122</v>
      </c>
      <c r="M32" s="3"/>
      <c r="N32" s="3"/>
    </row>
    <row r="33" spans="2:14" s="2" customFormat="1" x14ac:dyDescent="0.2"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>
        <v>521</v>
      </c>
      <c r="L33" s="3">
        <v>785</v>
      </c>
      <c r="M33" s="3"/>
      <c r="N33" s="3"/>
    </row>
    <row r="34" spans="2:14" s="2" customFormat="1" x14ac:dyDescent="0.2"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>
        <v>82</v>
      </c>
      <c r="L34" s="3">
        <v>75</v>
      </c>
      <c r="M34" s="3"/>
      <c r="N34" s="3"/>
    </row>
    <row r="35" spans="2:14" s="2" customFormat="1" x14ac:dyDescent="0.2">
      <c r="B35" s="2" t="s">
        <v>38</v>
      </c>
      <c r="C35" s="3"/>
      <c r="D35" s="3"/>
      <c r="E35" s="3"/>
      <c r="F35" s="3"/>
      <c r="G35" s="3"/>
      <c r="H35" s="3"/>
      <c r="I35" s="3"/>
      <c r="J35" s="3"/>
      <c r="K35" s="3">
        <f>SUM(K27:K34)</f>
        <v>27609</v>
      </c>
      <c r="L35" s="3">
        <f>SUM(L27:L34)</f>
        <v>26043</v>
      </c>
      <c r="M35" s="3"/>
      <c r="N35" s="3"/>
    </row>
    <row r="37" spans="2:14" s="2" customFormat="1" x14ac:dyDescent="0.2">
      <c r="B37" s="2" t="s">
        <v>46</v>
      </c>
      <c r="C37" s="3"/>
      <c r="D37" s="3"/>
      <c r="E37" s="3"/>
      <c r="F37" s="3"/>
      <c r="G37" s="3"/>
      <c r="H37" s="3"/>
      <c r="I37" s="3"/>
      <c r="J37" s="3"/>
      <c r="K37" s="3">
        <v>199</v>
      </c>
      <c r="L37" s="3">
        <v>181</v>
      </c>
      <c r="M37" s="3"/>
      <c r="N37" s="3"/>
    </row>
    <row r="38" spans="2:14" s="2" customFormat="1" x14ac:dyDescent="0.2">
      <c r="B38" s="2" t="s">
        <v>47</v>
      </c>
      <c r="C38" s="3"/>
      <c r="D38" s="3"/>
      <c r="E38" s="3"/>
      <c r="F38" s="3"/>
      <c r="G38" s="3"/>
      <c r="H38" s="3"/>
      <c r="I38" s="3"/>
      <c r="J38" s="3"/>
      <c r="K38" s="3">
        <v>1608</v>
      </c>
      <c r="L38" s="3">
        <v>1780</v>
      </c>
      <c r="M38" s="3"/>
      <c r="N38" s="3"/>
    </row>
    <row r="39" spans="2:14" s="2" customFormat="1" x14ac:dyDescent="0.2">
      <c r="B39" s="2" t="s">
        <v>48</v>
      </c>
      <c r="C39" s="3"/>
      <c r="D39" s="3"/>
      <c r="E39" s="3"/>
      <c r="F39" s="3"/>
      <c r="G39" s="3"/>
      <c r="H39" s="3"/>
      <c r="I39" s="3"/>
      <c r="J39" s="3"/>
      <c r="K39" s="3">
        <f>5599+464</f>
        <v>6063</v>
      </c>
      <c r="L39" s="3">
        <f>4093+405</f>
        <v>4498</v>
      </c>
      <c r="M39" s="3"/>
      <c r="N39" s="3"/>
    </row>
    <row r="40" spans="2:14" s="2" customFormat="1" x14ac:dyDescent="0.2">
      <c r="B40" s="2" t="s">
        <v>29</v>
      </c>
      <c r="C40" s="3"/>
      <c r="D40" s="3"/>
      <c r="E40" s="3"/>
      <c r="F40" s="3"/>
      <c r="G40" s="3"/>
      <c r="H40" s="3"/>
      <c r="I40" s="3"/>
      <c r="J40" s="3"/>
      <c r="K40" s="3">
        <v>1592</v>
      </c>
      <c r="L40" s="3">
        <v>349</v>
      </c>
      <c r="M40" s="3"/>
      <c r="N40" s="3"/>
    </row>
    <row r="41" spans="2:14" s="2" customFormat="1" x14ac:dyDescent="0.2">
      <c r="B41" s="2" t="s">
        <v>49</v>
      </c>
      <c r="C41" s="3"/>
      <c r="D41" s="3"/>
      <c r="E41" s="3"/>
      <c r="F41" s="3"/>
      <c r="G41" s="3"/>
      <c r="H41" s="3"/>
      <c r="I41" s="3"/>
      <c r="J41" s="3"/>
      <c r="K41" s="3">
        <v>240</v>
      </c>
      <c r="L41" s="3">
        <v>409</v>
      </c>
      <c r="M41" s="3"/>
      <c r="N41" s="3"/>
    </row>
    <row r="42" spans="2:14" s="2" customFormat="1" x14ac:dyDescent="0.2">
      <c r="B42" s="2" t="s">
        <v>50</v>
      </c>
      <c r="C42" s="3"/>
      <c r="D42" s="3"/>
      <c r="E42" s="3"/>
      <c r="F42" s="3"/>
      <c r="G42" s="3"/>
      <c r="H42" s="3"/>
      <c r="I42" s="3"/>
      <c r="J42" s="3"/>
      <c r="K42" s="3">
        <v>95</v>
      </c>
      <c r="L42" s="3">
        <v>87</v>
      </c>
      <c r="M42" s="3"/>
      <c r="N42" s="3"/>
    </row>
    <row r="43" spans="2:14" s="2" customFormat="1" x14ac:dyDescent="0.2">
      <c r="B43" s="2" t="s">
        <v>51</v>
      </c>
      <c r="C43" s="3"/>
      <c r="D43" s="3"/>
      <c r="E43" s="3"/>
      <c r="F43" s="3"/>
      <c r="G43" s="3"/>
      <c r="H43" s="3"/>
      <c r="I43" s="3"/>
      <c r="J43" s="3"/>
      <c r="K43" s="3">
        <v>646</v>
      </c>
      <c r="L43" s="3">
        <v>641</v>
      </c>
      <c r="M43" s="3"/>
      <c r="N43" s="3"/>
    </row>
    <row r="44" spans="2:14" s="2" customFormat="1" x14ac:dyDescent="0.2">
      <c r="B44" s="2" t="s">
        <v>45</v>
      </c>
      <c r="C44" s="3"/>
      <c r="D44" s="3"/>
      <c r="E44" s="3"/>
      <c r="F44" s="3"/>
      <c r="G44" s="3"/>
      <c r="H44" s="3"/>
      <c r="I44" s="3"/>
      <c r="J44" s="3"/>
      <c r="K44" s="3">
        <v>91</v>
      </c>
      <c r="L44" s="3">
        <v>113</v>
      </c>
      <c r="M44" s="3"/>
      <c r="N44" s="3"/>
    </row>
    <row r="45" spans="2:14" s="2" customFormat="1" x14ac:dyDescent="0.2">
      <c r="B45" s="2" t="s">
        <v>52</v>
      </c>
      <c r="C45" s="3"/>
      <c r="D45" s="3"/>
      <c r="E45" s="3"/>
      <c r="F45" s="3"/>
      <c r="G45" s="3"/>
      <c r="H45" s="3"/>
      <c r="I45" s="3"/>
      <c r="J45" s="3"/>
      <c r="K45" s="3">
        <v>17075</v>
      </c>
      <c r="L45" s="3">
        <v>17985</v>
      </c>
      <c r="M45" s="3"/>
      <c r="N45" s="3"/>
    </row>
    <row r="46" spans="2:14" s="2" customFormat="1" x14ac:dyDescent="0.2">
      <c r="B46" s="2" t="s">
        <v>53</v>
      </c>
      <c r="C46" s="3"/>
      <c r="D46" s="3"/>
      <c r="E46" s="3"/>
      <c r="F46" s="3"/>
      <c r="G46" s="3"/>
      <c r="H46" s="3"/>
      <c r="I46" s="3"/>
      <c r="J46" s="3"/>
      <c r="K46" s="3">
        <f>SUM(K37:K45)</f>
        <v>27609</v>
      </c>
      <c r="L46" s="3">
        <f>SUM(L37:L45)</f>
        <v>26043</v>
      </c>
      <c r="M46" s="3"/>
      <c r="N46" s="3"/>
    </row>
    <row r="49" spans="2:14" s="2" customFormat="1" x14ac:dyDescent="0.2">
      <c r="B49" s="2" t="s">
        <v>102</v>
      </c>
      <c r="C49" s="3"/>
      <c r="D49" s="3"/>
      <c r="E49" s="3"/>
      <c r="F49" s="3"/>
      <c r="G49" s="3"/>
      <c r="H49" s="3">
        <v>1800</v>
      </c>
      <c r="I49" s="3"/>
      <c r="J49" s="3"/>
      <c r="K49" s="3"/>
      <c r="L49" s="3">
        <v>3400</v>
      </c>
      <c r="M49" s="3"/>
      <c r="N49" s="3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2022-09-10T06:32:44Z</dcterms:created>
  <dcterms:modified xsi:type="dcterms:W3CDTF">2022-09-10T07:43:46Z</dcterms:modified>
</cp:coreProperties>
</file>