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6CF2D440-7459-46E2-9C97-27F5D0546B7C}" xr6:coauthVersionLast="47" xr6:coauthVersionMax="47" xr10:uidLastSave="{00000000-0000-0000-0000-000000000000}"/>
  <bookViews>
    <workbookView xWindow="17430" yWindow="510" windowWidth="25035" windowHeight="19590" activeTab="1" xr2:uid="{A60D6F5D-C7AD-4CE4-9596-6485E651EC61}"/>
  </bookViews>
  <sheets>
    <sheet name="Main" sheetId="1" r:id="rId1"/>
    <sheet name="Model" sheetId="9" r:id="rId2"/>
    <sheet name="Dupixent" sheetId="8" r:id="rId3"/>
    <sheet name="Eylea" sheetId="3" r:id="rId4"/>
    <sheet name="Arcalyst" sheetId="2" r:id="rId5"/>
    <sheet name="Zaltrap" sheetId="4" r:id="rId6"/>
    <sheet name="VEGF Trap" sheetId="5" r:id="rId7"/>
    <sheet name="REGN727" sheetId="6" r:id="rId8"/>
    <sheet name="REGN88"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30" i="9" l="1"/>
  <c r="M30" i="9"/>
  <c r="N31" i="9"/>
  <c r="M31" i="9"/>
  <c r="N29" i="9"/>
  <c r="M29" i="9"/>
  <c r="N27" i="9"/>
  <c r="M27" i="9"/>
  <c r="N24" i="9"/>
  <c r="N25" i="9" s="1"/>
  <c r="M25" i="9"/>
  <c r="M24" i="9"/>
  <c r="N20" i="9"/>
  <c r="M20" i="9"/>
  <c r="N21" i="9"/>
  <c r="M21" i="9"/>
  <c r="N9" i="9"/>
  <c r="N34" i="9" s="1"/>
  <c r="M9" i="9"/>
  <c r="M34" i="9"/>
  <c r="L34" i="9"/>
  <c r="K34" i="9"/>
  <c r="J34" i="9"/>
  <c r="I34" i="9"/>
  <c r="N35" i="9"/>
  <c r="M35" i="9"/>
  <c r="L35" i="9"/>
  <c r="K35" i="9"/>
  <c r="J35" i="9"/>
  <c r="I35" i="9"/>
  <c r="N18" i="9"/>
  <c r="M18" i="9"/>
  <c r="N17" i="9"/>
  <c r="M17" i="9"/>
  <c r="N16" i="9"/>
  <c r="M16" i="9"/>
  <c r="E12" i="9"/>
  <c r="E9" i="9" s="1"/>
  <c r="E19" i="9" s="1"/>
  <c r="E21" i="9" s="1"/>
  <c r="E37" i="9" s="1"/>
  <c r="I12" i="9"/>
  <c r="I9" i="9" s="1"/>
  <c r="F9" i="9"/>
  <c r="F19" i="9" s="1"/>
  <c r="F21" i="9" s="1"/>
  <c r="F37" i="9" s="1"/>
  <c r="I24" i="9"/>
  <c r="H24" i="9"/>
  <c r="G24" i="9"/>
  <c r="F24" i="9"/>
  <c r="E24" i="9"/>
  <c r="M7" i="9"/>
  <c r="N7" i="9" s="1"/>
  <c r="N5" i="9"/>
  <c r="M5" i="9"/>
  <c r="N4" i="9"/>
  <c r="M4" i="9"/>
  <c r="N3" i="9"/>
  <c r="M3" i="9"/>
  <c r="J26" i="9"/>
  <c r="F20" i="9"/>
  <c r="J20" i="9"/>
  <c r="F12" i="9"/>
  <c r="J12" i="9"/>
  <c r="J9" i="9" s="1"/>
  <c r="J24" i="9"/>
  <c r="D19" i="9"/>
  <c r="C19" i="9"/>
  <c r="G12" i="9"/>
  <c r="G9" i="9" s="1"/>
  <c r="G19" i="9" s="1"/>
  <c r="K12" i="9"/>
  <c r="K9" i="9" s="1"/>
  <c r="K19" i="9" s="1"/>
  <c r="K33" i="9" s="1"/>
  <c r="G26" i="9"/>
  <c r="G20" i="9"/>
  <c r="K26" i="9"/>
  <c r="K24" i="9"/>
  <c r="K20" i="9"/>
  <c r="H12" i="9"/>
  <c r="H9" i="9" s="1"/>
  <c r="L12" i="9"/>
  <c r="L9" i="9" s="1"/>
  <c r="L19" i="9" s="1"/>
  <c r="L23" i="9"/>
  <c r="L22" i="9"/>
  <c r="H26" i="9"/>
  <c r="H20" i="9"/>
  <c r="L26" i="9"/>
  <c r="L20" i="9"/>
  <c r="K21" i="9" l="1"/>
  <c r="K37" i="9" s="1"/>
  <c r="J19" i="9"/>
  <c r="N19" i="9"/>
  <c r="I19" i="9"/>
  <c r="I33" i="9" s="1"/>
  <c r="H19" i="9"/>
  <c r="L33" i="9" s="1"/>
  <c r="I21" i="9"/>
  <c r="E25" i="9"/>
  <c r="E27" i="9" s="1"/>
  <c r="E29" i="9" s="1"/>
  <c r="E30" i="9" s="1"/>
  <c r="F25" i="9"/>
  <c r="M19" i="9"/>
  <c r="F27" i="9"/>
  <c r="F29" i="9" s="1"/>
  <c r="F30" i="9" s="1"/>
  <c r="G21" i="9"/>
  <c r="G37" i="9" s="1"/>
  <c r="K25" i="9"/>
  <c r="K27" i="9" s="1"/>
  <c r="K29" i="9" s="1"/>
  <c r="K30" i="9" s="1"/>
  <c r="H21" i="9"/>
  <c r="H37" i="9" s="1"/>
  <c r="L21" i="9"/>
  <c r="L37" i="9" s="1"/>
  <c r="L24" i="9"/>
  <c r="J3" i="1"/>
  <c r="J4" i="1" s="1"/>
  <c r="J5" i="1"/>
  <c r="J21" i="9" l="1"/>
  <c r="J33" i="9"/>
  <c r="N37" i="9"/>
  <c r="N33" i="9"/>
  <c r="M37" i="9"/>
  <c r="M33" i="9"/>
  <c r="I25" i="9"/>
  <c r="I27" i="9" s="1"/>
  <c r="I29" i="9" s="1"/>
  <c r="I30" i="9" s="1"/>
  <c r="I37" i="9"/>
  <c r="H25" i="9"/>
  <c r="H27" i="9" s="1"/>
  <c r="H29" i="9" s="1"/>
  <c r="H30" i="9" s="1"/>
  <c r="G25" i="9"/>
  <c r="G27" i="9" s="1"/>
  <c r="G29" i="9" s="1"/>
  <c r="G30" i="9" s="1"/>
  <c r="J7" i="1"/>
  <c r="L25" i="9"/>
  <c r="L27" i="9" s="1"/>
  <c r="L29" i="9" s="1"/>
  <c r="L30" i="9" s="1"/>
  <c r="J37" i="9" l="1"/>
  <c r="J25" i="9"/>
  <c r="J27" i="9" s="1"/>
  <c r="J29" i="9" s="1"/>
  <c r="J3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tc={CFF3BC2E-892D-4995-B558-D2A9395BF1AF}</author>
    <author>tc={E621A5CA-53E8-48F9-80F2-12D076620DD9}</author>
  </authors>
  <commentList>
    <comment ref="F29" authorId="0" shapeId="0" xr:uid="{CFF3BC2E-892D-4995-B558-D2A9395BF1AF}">
      <text>
        <t>[Threaded comment]
Your version of Excel allows you to read this threaded comment; however, any edits to it will get removed if the file is opened in a newer version of Excel. Learn more: https://go.microsoft.com/fwlink/?linkid=870924
Comment:
    NGNI 1080.2</t>
      </text>
    </comment>
    <comment ref="J29" authorId="1" shapeId="0" xr:uid="{E621A5CA-53E8-48F9-80F2-12D076620DD9}">
      <text>
        <t>[Threaded comment]
Your version of Excel allows you to read this threaded comment; however, any edits to it will get removed if the file is opened in a newer version of Excel. Learn more: https://go.microsoft.com/fwlink/?linkid=870924
Comment:
    NGNI 2711.5</t>
      </text>
    </comment>
  </commentList>
</comments>
</file>

<file path=xl/sharedStrings.xml><?xml version="1.0" encoding="utf-8"?>
<sst xmlns="http://schemas.openxmlformats.org/spreadsheetml/2006/main" count="353" uniqueCount="261">
  <si>
    <t>Nov. 11:  Eylea approved. Priced at $1,700/injection.</t>
  </si>
  <si>
    <t>2012: final results for Ph3 VENICE study of ZALTRAP in prostate cancer</t>
  </si>
  <si>
    <t>2012: Bayer will submit application for regulatory approval of VEGF-Trap in CRVO</t>
  </si>
  <si>
    <t>2H11: results fr Ph2 AFFIRM study of ZALTRAP plus FOLFOX in first-line mCRC</t>
  </si>
  <si>
    <t>2H11: plan to initiate another DME study of VEGF-Trap in US</t>
  </si>
  <si>
    <t>2H11: plan to submit regulatory application for ZALTRAP in second-line mCRC to FDA &amp; EMA</t>
  </si>
  <si>
    <t>Aug 20, 2011: PDUFA for VEGF-Trap for wet AMD</t>
  </si>
  <si>
    <t>mid-'11: submit sBLA for Arcalyst in gout to FDA</t>
  </si>
  <si>
    <t>mid-'11: interim analysis of Ph3 VENICE study of ZALTRAP as first-line tx for hormone-refractory prostate cancer in combo w docetaxel/prednisone</t>
  </si>
  <si>
    <t>1H11: plan to submit application for marketing approval of VEGF-Trap in CRVO in the US</t>
  </si>
  <si>
    <t>1H11: Bayer will submit application for VEGF-Trap in EU</t>
  </si>
  <si>
    <t>Apr 2011: announced positive Ph3 VELOUR study of ZALTRAP plus FOLFIRI in second-line mCRC</t>
  </si>
  <si>
    <t>Apr 2011: Bayer initiated Ph3 VIVID-DME study ex-US</t>
  </si>
  <si>
    <t>Apr 2011: BLA for VEGF-Trap accepted and granted Priority Review</t>
  </si>
  <si>
    <t>Apr 2011: announced positive GALILEO study of VEGF-Trap inCRVO (Bayer-led)</t>
  </si>
  <si>
    <t>Feb 2011: BLA for VEGF-Trap submitted to FDA</t>
  </si>
  <si>
    <t>Feb 2011: announced positive results of PRE-SURGE 2 and RE-SURGE of Arcalyst in gout</t>
  </si>
  <si>
    <t>Dec 2010: announced positive COPERNICUS study of VEGF-Trap for CRVO</t>
  </si>
  <si>
    <t>Nov 2010: announced positive VIEW 1 &amp; 2 results of VEGF-Trap in wet AMD</t>
  </si>
  <si>
    <t>Jun 2010: announced positive results of PRE-SURGE 1 of Arcalyst in gout prevention</t>
  </si>
  <si>
    <t>PCSK9 antibody</t>
  </si>
  <si>
    <t>Sanofi</t>
  </si>
  <si>
    <t>II</t>
  </si>
  <si>
    <t>LDL reduction</t>
  </si>
  <si>
    <t>alirocumab (REGN727)</t>
  </si>
  <si>
    <t>NGF</t>
  </si>
  <si>
    <t>I (on hold)</t>
  </si>
  <si>
    <t>Pain</t>
  </si>
  <si>
    <t>fasinumab (REGN475)</t>
  </si>
  <si>
    <t>IL-6R antibody</t>
  </si>
  <si>
    <t>II, II/III</t>
  </si>
  <si>
    <t>RA</t>
  </si>
  <si>
    <t>sarilumab (REGN88)</t>
  </si>
  <si>
    <t>EV</t>
  </si>
  <si>
    <t>Phase</t>
  </si>
  <si>
    <t>Q222</t>
  </si>
  <si>
    <t>Debt</t>
  </si>
  <si>
    <t>Antibody</t>
  </si>
  <si>
    <t>Bayer (ex NA)</t>
  </si>
  <si>
    <t>AMD</t>
  </si>
  <si>
    <t>Eylea</t>
  </si>
  <si>
    <t>Cash</t>
  </si>
  <si>
    <t>Dupixent (dupilumab)</t>
  </si>
  <si>
    <t>MC</t>
  </si>
  <si>
    <t>Colorectal cancer</t>
  </si>
  <si>
    <t>Zaltrap</t>
  </si>
  <si>
    <t>Shares</t>
  </si>
  <si>
    <t>IL-1</t>
  </si>
  <si>
    <t>CAPS</t>
  </si>
  <si>
    <t>Arcalyst (rilonacept)</t>
  </si>
  <si>
    <t>Price</t>
  </si>
  <si>
    <t>IP</t>
  </si>
  <si>
    <t>Mechanism</t>
  </si>
  <si>
    <t>Economics</t>
  </si>
  <si>
    <t>Competition</t>
  </si>
  <si>
    <t>Approved</t>
  </si>
  <si>
    <t>Indication</t>
  </si>
  <si>
    <t>Name</t>
  </si>
  <si>
    <t>sBLA expected to be filed in 2011.</t>
  </si>
  <si>
    <t>Would be used when patients start on urate inhibitors, but just be used short term.  REGN estimates ~750K/year in US.</t>
  </si>
  <si>
    <t>Drug appears to reduce gout flares, which occur even with urate inhibitors.</t>
  </si>
  <si>
    <t># gout flares</t>
  </si>
  <si>
    <t>160 mg Artcalyst</t>
  </si>
  <si>
    <t>80 mg Arcalyst</t>
  </si>
  <si>
    <t>PBO</t>
  </si>
  <si>
    <t>16 week study, Arcalyst dosed SC.</t>
  </si>
  <si>
    <t>Phase 3 gout study (n = 248)</t>
  </si>
  <si>
    <t>The senior investigators in this study are Raphaela Goldbach-Mansky, M.D., Staff Clinician with NIAMS, and Daniel Kastner, M.D., Ph.D., Chief, Genetics and Genomics Branch with NIAMS</t>
  </si>
  <si>
    <t xml:space="preserve">the study was conducted with the National Institute of Arthriits and Musculoskeletal and Skin Diseases </t>
  </si>
  <si>
    <t xml:space="preserve">this includes a sizable reduction in daily patient diary scores and acute phase reactant levels </t>
  </si>
  <si>
    <t>all 4 patients enrolled to date experienced a positive response to a subcutaneous loading dose regimen</t>
  </si>
  <si>
    <t>(a family of autoinflammitory diseases)</t>
  </si>
  <si>
    <t xml:space="preserve">preliminary results from once weekly dosing of interleukin-1 trap in patients with cias1 associated periodic syndrome (caps) </t>
  </si>
  <si>
    <t>6/10/2005 - Phase II results</t>
  </si>
  <si>
    <t>Clinical Trials</t>
  </si>
  <si>
    <t>Once attached to the trap, IL1 cannot bind to the cell surface and is flushed from the body together with the trap</t>
  </si>
  <si>
    <t>The Il 1 trap is designed to attach to and neutralize IL1 in the bloodstream before it can generate signals that can trigger disease activity</t>
  </si>
  <si>
    <t>In excess it is harmful and has been linked to a variety of inflammitory diseases</t>
  </si>
  <si>
    <t>acts as a messenger to help regulate immune and inflammitory responses by attaching to cell surface receptors in cells that participate in the immune system</t>
  </si>
  <si>
    <t>IL1 is a Protein secreted naturally by the body</t>
  </si>
  <si>
    <t>IL-1 receptor.</t>
  </si>
  <si>
    <t>1000 patients WW</t>
  </si>
  <si>
    <t>Gout and CAPS (CIAS1-associated periodic syndrome, Cryopyrin-Associated Periodic Syndromes).</t>
  </si>
  <si>
    <t>rilonacept</t>
  </si>
  <si>
    <t>Generic Name</t>
  </si>
  <si>
    <t>Arcalyst, fka IL-1 TRAP</t>
  </si>
  <si>
    <t>Brand Name</t>
  </si>
  <si>
    <t>Main</t>
  </si>
  <si>
    <t>additional patients are now being tested at the 4mg level</t>
  </si>
  <si>
    <t>maximum tolerated dose has not yet been reached, and no evidence of ocular inflamation</t>
  </si>
  <si>
    <t>patients received a single dose of VEGF trap at levels up to 2mg intravitreally</t>
  </si>
  <si>
    <t>patients demonstrated rapid, substantial and prolonged (up to 6 week) reductions in retinal thickness as measured by optical coherene topography. Lucentis only stabilizes retinal lesions.</t>
  </si>
  <si>
    <t xml:space="preserve">18 patients with the neovascular form of wet amd </t>
  </si>
  <si>
    <t xml:space="preserve">  This compares favorably with 0.5 letter and 2.0 letter improvement at 52 weeks for 0.3mg and 0.5mg of Lucentis in SAILOR.</t>
  </si>
  <si>
    <t>5.4 letter improvement and 9.0 letter improvement at 52 weeks at 0.5mg and 2.0mg.</t>
  </si>
  <si>
    <t>5.9 letter improvement.</t>
  </si>
  <si>
    <t>Phase II in AMD - March 2007</t>
  </si>
  <si>
    <t>97% did not require additional dose at week 16.</t>
  </si>
  <si>
    <t>Phase II in AMD - monthly dosing for 12 weeks - ARVO 2008 32-week update</t>
  </si>
  <si>
    <r>
      <t xml:space="preserve">An editorial by Rosenfeld in </t>
    </r>
    <r>
      <rPr>
        <i/>
        <sz val="10"/>
        <rFont val="Arial"/>
        <family val="2"/>
      </rPr>
      <t>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1966) suggested that even in the absence of long term safety data there is no reason not to use Avastin, and challenges that healthcare rpvodiers will need to justify uise of the more expensive Lucentis.</t>
    </r>
  </si>
  <si>
    <t>Average # of injections/ year is &lt;7.</t>
  </si>
  <si>
    <t>Given as needed, Lucentis afforded improvement of 6.8 letters, compared to 5.9 for Avastin (p = 0.45).</t>
  </si>
  <si>
    <t>Dosing as needed was equivalent to monthly dosing for both.</t>
  </si>
  <si>
    <t>No stat sig differecnes in AEs</t>
  </si>
  <si>
    <t>Monthly, 2 were equivalent in visual acquity.</t>
  </si>
  <si>
    <t>Dosing was monthly or as needed, primary endpoint was change in visual acquity at 1 year.</t>
  </si>
  <si>
    <t>n = 1208, single blind, non-inferiority study</t>
  </si>
  <si>
    <r>
      <rPr>
        <i/>
        <sz val="10"/>
        <rFont val="Arial"/>
        <family val="2"/>
      </rPr>
      <t>Martin</t>
    </r>
    <r>
      <rPr>
        <sz val="10"/>
        <rFont val="Arial"/>
        <family val="2"/>
      </rPr>
      <t xml:space="preserve"> et al.</t>
    </r>
    <r>
      <rPr>
        <i/>
        <sz val="10"/>
        <rFont val="Arial"/>
        <family val="2"/>
      </rPr>
      <t>, 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1897.</t>
    </r>
  </si>
  <si>
    <t>CATT study, Lucentis comparison with Avastin</t>
  </si>
  <si>
    <t>Aug 2011, PDUFA date extended to Nov. 18, 2011, based on responses to questions on CMC section tha FDA considered major amendements.</t>
  </si>
  <si>
    <t>June 2011, Ad Panel voted unanimously (10 to 0) to approve Eylea for wet AMD at the 2 mg/q8 week dose, following 3 initial doses given q4 weeks.</t>
  </si>
  <si>
    <t>Filed BLA Feb 2011, and receive priority review.  PDUFA date of Aug. 28, 2011.</t>
  </si>
  <si>
    <t>FDA action</t>
  </si>
  <si>
    <r>
      <t xml:space="preserve">% gaining </t>
    </r>
    <r>
      <rPr>
        <u/>
        <sz val="10"/>
        <rFont val="Arial"/>
        <family val="2"/>
      </rPr>
      <t>&gt;</t>
    </r>
    <r>
      <rPr>
        <sz val="10"/>
        <rFont val="Arial"/>
        <family val="2"/>
      </rPr>
      <t>15 letters</t>
    </r>
  </si>
  <si>
    <t>* p = NS vs luc</t>
  </si>
  <si>
    <t>8.9*</t>
  </si>
  <si>
    <t>9.7*</t>
  </si>
  <si>
    <t>7.6*</t>
  </si>
  <si>
    <t>Change vis acquity 1 yr</t>
  </si>
  <si>
    <t>Vision maint at 1 yr</t>
  </si>
  <si>
    <t>ETDRS BCVA</t>
  </si>
  <si>
    <t>Female</t>
  </si>
  <si>
    <t>2mg/q8wk Eyl</t>
  </si>
  <si>
    <t>Age</t>
  </si>
  <si>
    <t>0.5mg/q4wk Eyl</t>
  </si>
  <si>
    <t>n</t>
  </si>
  <si>
    <t>2mg/q4wk Eyl</t>
  </si>
  <si>
    <t>Luc</t>
  </si>
  <si>
    <t xml:space="preserve">Luc: </t>
  </si>
  <si>
    <t>% completing 52 weeks</t>
  </si>
  <si>
    <t>Secondary endpoint was mean change in BCVA.</t>
  </si>
  <si>
    <t>Primary endpoint was vision maintenance at 1 year, measured by letters readable.</t>
  </si>
  <si>
    <t>4 groups.  Eylea 2 mg/q4 weeks, 0.5 mg/q4 weeks, 2 mg/8 weeks, Lucentis 0.5 mg/q4 weeks.</t>
  </si>
  <si>
    <t>n = 1240, double blinded, radomized, Lucentis control</t>
  </si>
  <si>
    <t xml:space="preserve">Phase 3 - VIEW-2 </t>
  </si>
  <si>
    <t>7.9*</t>
  </si>
  <si>
    <t>6.9*</t>
  </si>
  <si>
    <t>Female %</t>
  </si>
  <si>
    <t>n = 1217, double blinded, radomized, Lucentis control</t>
  </si>
  <si>
    <t xml:space="preserve">Phase 3 - VIEW-1 </t>
  </si>
  <si>
    <t>Phase III head-to-head vs Lucentis in 1H07?</t>
  </si>
  <si>
    <t>Uses a direct formulation specifically designed for direct injection into a patients eye</t>
  </si>
  <si>
    <t>Administration</t>
  </si>
  <si>
    <t>Bayer 50/50 outside US, all Regeneron in the US.</t>
  </si>
  <si>
    <t>Lucentis, Avastin, Macugen.</t>
  </si>
  <si>
    <t>VEGF A/B trap.  Intraocular half life estimated to be 65% longer than Lucentis, but on par with Avastin.</t>
  </si>
  <si>
    <t xml:space="preserve">aflibercept </t>
  </si>
  <si>
    <t>Did not improve OS</t>
  </si>
  <si>
    <t>n = 913, in combination with Docetaxel</t>
  </si>
  <si>
    <t>Phase 3, 2nd line NSCLC</t>
  </si>
  <si>
    <t>Not clear why this drug would garner much market share</t>
  </si>
  <si>
    <t>Expect BLA filing by end of year.</t>
  </si>
  <si>
    <t>Median OS (mths)</t>
  </si>
  <si>
    <t>Median PFS (mths)</t>
  </si>
  <si>
    <t>ORR</t>
  </si>
  <si>
    <t>ZAL + FOL</t>
  </si>
  <si>
    <t>FOLFIRI</t>
  </si>
  <si>
    <t>AV + Folfox</t>
  </si>
  <si>
    <t>FOLFOX</t>
  </si>
  <si>
    <t>Velour</t>
  </si>
  <si>
    <t>ECOG 3200</t>
  </si>
  <si>
    <t>Phase 3 Refractory metastatic colorectal cancer (VELOUR)'</t>
  </si>
  <si>
    <t>IV</t>
  </si>
  <si>
    <t>50/50 with SNY</t>
  </si>
  <si>
    <t xml:space="preserve">VEGF A/B trap. </t>
  </si>
  <si>
    <t>Abstract: Background: Vascular endothelial growth factor (VEGF) is an important target in MCRC. Aflibercept (VEGF Trap) is a recombinant fusion protein of the human VEGFR1 and R2 extracellular domains and the Fc portion of human IgG1. Methods: This is an open-label, multi-centre, 2-stage phase II trial in pts with MCRC. Eligibility criteria: &gt;1 prior systemic therapy for MCRC, ECOG &lt; 2. Exclusion criteria: prior treatment with a VEGF or VEGFR inhibitor other than bevacizumab (BEV). IV VEGF Trap (4 mg/kg) was administered every 2 weeks (1 cycle). The primary endpoint was RR and 4-month PFS. Pts were enrolled in two cohorts: BEV naïve and prior BEV. Planned sample size in each cohort was 40 pts. Results: In total, 51 pts were enrolled (BEV naive = 24 pts; prior BEV = 27; median age=59, range 39-80; M:F = 30:21; ECOG 0:1:2 = 21:27:3; median # prior regimens for MCRC = 2, range 1-6). After 287 cycles of therapy, most common treatment adverse events (TAEs) of any grade were (#pts): fatigue (40), hypertension (28), proteinuria (25), headache (22), voice alteration (16), anorexia (12), and joint pain (9). Grade 3+ TAEs in &gt; 1 pt were (#pts): hypertension (4), proteinuria (4), fatigue (3), headache (3). One pt died on treatment due to PD. In the BEV naïve cohort (n=24), 4 pts were inevaluable: 7 pts maintained 4-mo PFS, disease control rate (PR + SD &gt; 16 wks) = 29% [95% CI 13-51%], and median PFS was 2.0 mo [95% CI 1.7- not reached(NR)]. In the prior BEV cohort (n=27), 1 pt was inevaluable. There was 1 confirmed PR and 7 pts maintained 4-mo PFS, disease control rate 30% [95% CI 14-50%], and median PFS was 3.4 mo [95% CI 1.9-NR]. Conclusions: Aflibercept (VEGF Trap) is well tolerated in pretreated pts with MCRC. Single agent activity has been observed in the prior BEV cohort, and accrual is ongoing in this stratum. Based on the study results, studies of aflibercept as single agent or in combination should be explored.</t>
  </si>
  <si>
    <t xml:space="preserve">Phase II trial of aflibercept (VEGF Trap) in previously treated patients with metastatic colorectal cancer (MCRC): A PMH phase II consortium trial. </t>
  </si>
  <si>
    <t>n=215 failed to demonstrate &gt;5% RR with ORR of 4.6% to 0.9%.</t>
  </si>
  <si>
    <t>Phase II mOC - Failed</t>
  </si>
  <si>
    <t xml:space="preserve">32% RR update? </t>
  </si>
  <si>
    <t>30% RR, 3% 6-month PFS vs 43% with Avastin. Lower PFS was a function of patient advancement.</t>
  </si>
  <si>
    <t>Phase II GBM - AAN 2008, ASCO 2008</t>
  </si>
  <si>
    <t>Final data expected in 1H09 and may support approval - Birchenough.</t>
  </si>
  <si>
    <t>77.5% response rate, 80% rate of doubling in time to paracentesis in symptomatic malignant ascites.</t>
  </si>
  <si>
    <t>Phase II malignant ascites</t>
  </si>
  <si>
    <t>Phase III mPC n=650 "VANILLA"? - terminated</t>
  </si>
  <si>
    <t>Phase III mCRC 2L n=1200 - IFL combination - 2010 data? "VELOUR"?</t>
  </si>
  <si>
    <t>Phase III mNSCLC 2L n=900 - Taxotere combination - 2010 data? "VITAL"?</t>
  </si>
  <si>
    <t>Phase III HRPC n=1200 - Taxotere combination - 2009 data? "VENICE"?</t>
  </si>
  <si>
    <t>WW collaboration with SNY who pays 100% of expenses. REGN repays 50% of dev costs paid by SNY out of VEGF trap profits.</t>
  </si>
  <si>
    <t>VEGF and PLGF binder.</t>
  </si>
  <si>
    <t>Cancer</t>
  </si>
  <si>
    <t>afilbercept</t>
  </si>
  <si>
    <t>ZALTRAP</t>
  </si>
  <si>
    <t>at highest dose tested (at the time), in 11 pts, a single dose achieved ~40% max mean add'l reduction of LDL fr baseline</t>
  </si>
  <si>
    <t>dose-escalating, randomized, double-blind, on pts on stalbe doses of statins whose LDL levels were &gt;100 mg/dL</t>
  </si>
  <si>
    <t>Phase 1 in hyperlipidemic pts (familial &amp; non-familial hypercholesterolemia) -- July 2010 interim analyses</t>
  </si>
  <si>
    <t>at highest SC dose, single dose achieved &gt;60% mas mean reduction of LDL fr baseline that lasted for &gt;2 wks</t>
  </si>
  <si>
    <t>at highest IV dose, single dose achieved &gt;60% max mean reduction of LDL fr baseline that lasted for &gt;1 mo</t>
  </si>
  <si>
    <t>July 2010 further data presented</t>
  </si>
  <si>
    <t>dose-escalating, randomized, double-blind, each dosing cohort consisted of 6 tx and 2 placebo pts</t>
  </si>
  <si>
    <t>Phase 1 in healthy volunteers -- May 2010 announced interim analyses of Ph1 healthy volunteer study</t>
  </si>
  <si>
    <t>Phase 2 in hypercholesterolemia pts in combo w statin tx -- started in early 2011</t>
  </si>
  <si>
    <t>IV, SC</t>
  </si>
  <si>
    <t>statins</t>
  </si>
  <si>
    <t>reduce LDL</t>
  </si>
  <si>
    <t>fully human monoclonal antibody against PCSK9 antibody (proprotein convertase subtilisin/kexin type 9)</t>
  </si>
  <si>
    <t>REGN727</t>
  </si>
  <si>
    <t>dose-related reductions in biomarkers of inflammation</t>
  </si>
  <si>
    <t>Phase 1 data from EULAR 2010 and ACR 2010</t>
  </si>
  <si>
    <t>Phase 2 in ankylosing spondylitis -- initial results expected mid-2011</t>
  </si>
  <si>
    <t>Phase 2/3 in RA -- initial results expected mid-2011</t>
  </si>
  <si>
    <t>Actemra (IL-6R antibody tocilizumab fr DNA), TNFs, etc</t>
  </si>
  <si>
    <t>RA, ankylosing spondylitis</t>
  </si>
  <si>
    <t>fully human monoclonal antibody against IL-R6</t>
  </si>
  <si>
    <t>REGN88</t>
  </si>
  <si>
    <t>Phase 1 in asthma</t>
  </si>
  <si>
    <t>Phase 2 in eosinophilic asthma</t>
  </si>
  <si>
    <t>allergic and immune conditions</t>
  </si>
  <si>
    <t>IR-4R antibody</t>
  </si>
  <si>
    <t>Dupixent, fka REGN668</t>
  </si>
  <si>
    <t>dupilumab</t>
  </si>
  <si>
    <t>Q120</t>
  </si>
  <si>
    <t>Q220</t>
  </si>
  <si>
    <t>Q320</t>
  </si>
  <si>
    <t>Q420</t>
  </si>
  <si>
    <t>Q121</t>
  </si>
  <si>
    <t>Q221</t>
  </si>
  <si>
    <t>Q321</t>
  </si>
  <si>
    <t>Q421</t>
  </si>
  <si>
    <t>Q122</t>
  </si>
  <si>
    <t>Q322</t>
  </si>
  <si>
    <t>Q422</t>
  </si>
  <si>
    <t>Libtayo</t>
  </si>
  <si>
    <t>Praluent</t>
  </si>
  <si>
    <t>REGEN-COV</t>
  </si>
  <si>
    <t>Evkeeza</t>
  </si>
  <si>
    <t>Bayer</t>
  </si>
  <si>
    <t>Roche</t>
  </si>
  <si>
    <t>Other</t>
  </si>
  <si>
    <t>Revenue</t>
  </si>
  <si>
    <t>COGS</t>
  </si>
  <si>
    <t>Gross Margin</t>
  </si>
  <si>
    <t>R&amp;D</t>
  </si>
  <si>
    <t>SG&amp;A</t>
  </si>
  <si>
    <t>OpEx</t>
  </si>
  <si>
    <t>OpInc</t>
  </si>
  <si>
    <t>Interest Expense</t>
  </si>
  <si>
    <t>Pretax Income</t>
  </si>
  <si>
    <t>Taxes</t>
  </si>
  <si>
    <t>Net Income</t>
  </si>
  <si>
    <t>EPS</t>
  </si>
  <si>
    <t xml:space="preserve">  P&amp;L Share</t>
  </si>
  <si>
    <t xml:space="preserve">  Reimbursement</t>
  </si>
  <si>
    <t xml:space="preserve">  Other</t>
  </si>
  <si>
    <t xml:space="preserve">  Dupixent</t>
  </si>
  <si>
    <t xml:space="preserve">  Praluent</t>
  </si>
  <si>
    <t xml:space="preserve">  Kevzara</t>
  </si>
  <si>
    <t>Arcalyst</t>
  </si>
  <si>
    <t>mCRC</t>
  </si>
  <si>
    <t>SNY</t>
  </si>
  <si>
    <t>IL-4</t>
  </si>
  <si>
    <t>Asthma, AD</t>
  </si>
  <si>
    <t>Libtayo (cemiplimab)</t>
  </si>
  <si>
    <t>PD-1</t>
  </si>
  <si>
    <t>VEGF</t>
  </si>
  <si>
    <t>100%?</t>
  </si>
  <si>
    <t>pozelimab</t>
  </si>
  <si>
    <t>Revenue y/y</t>
  </si>
  <si>
    <t>Sanofi y/y</t>
  </si>
  <si>
    <t>Dupixent 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</si>
</sst>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0"/>
      <color theme="1"/>
      <name val="Arial"/>
      <family val="2"/>
    </font>
    <font>
      <b/>
      <sz val="10"/>
      <color theme="1"/>
      <name val="Arial"/>
      <family val="2"/>
    </font>
    <font>
      <sz val="10"/>
      <name val="Arial"/>
      <family val="2"/>
    </font>
    <font>
      <i/>
      <sz val="10"/>
      <name val="Arial"/>
      <family val="2"/>
    </font>
    <font>
      <u/>
      <sz val="10"/>
      <color indexed="12"/>
      <name val="Arial"/>
      <family val="2"/>
    </font>
    <font>
      <b/>
      <u/>
      <sz val="10"/>
      <name val="Arial"/>
      <family val="2"/>
    </font>
    <font>
      <sz val="8"/>
      <name val="Verdana"/>
      <family val="2"/>
    </font>
    <font>
      <b/>
      <sz val="10"/>
      <name val="Arial"/>
      <family val="2"/>
    </font>
    <font>
      <u/>
      <sz val="10"/>
      <name val="Arial"/>
      <family val="2"/>
    </font>
    <font>
      <sz val="8"/>
      <name val="Arial"/>
      <family val="2"/>
    </font>
    <font>
      <sz val="9"/>
      <color indexed="81"/>
      <name val="Tahoma"/>
      <charset val="1"/>
    </font>
  </fonts>
  <fills count="3">
    <fill>
      <patternFill patternType="none"/>
    </fill>
    <fill>
      <patternFill patternType="gray125"/>
    </fill>
    <fill>
      <patternFill patternType="solid">
        <fgColor indexed="9"/>
        <bgColor indexed="64"/>
      </patternFill>
    </fill>
  </fills>
  <borders count="12">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3">
    <xf numFmtId="0" fontId="0" fillId="0" borderId="0"/>
    <xf numFmtId="0" fontId="4" fillId="0" borderId="0" applyNumberFormat="0" applyFill="0" applyBorder="0" applyAlignment="0" applyProtection="0">
      <alignment vertical="top"/>
      <protection locked="0"/>
    </xf>
    <xf numFmtId="0" fontId="2" fillId="0" borderId="0"/>
  </cellStyleXfs>
  <cellXfs count="53">
    <xf numFmtId="0" fontId="0" fillId="0" borderId="0" xfId="0"/>
    <xf numFmtId="3" fontId="0" fillId="0" borderId="0" xfId="0" applyNumberFormat="1"/>
    <xf numFmtId="0" fontId="2" fillId="2" borderId="0" xfId="2" applyFill="1"/>
    <xf numFmtId="3" fontId="2" fillId="2" borderId="0" xfId="2" applyNumberFormat="1" applyFill="1"/>
    <xf numFmtId="0" fontId="2" fillId="2" borderId="0" xfId="2" applyFill="1" applyAlignment="1">
      <alignment horizontal="right"/>
    </xf>
    <xf numFmtId="0" fontId="5" fillId="2" borderId="0" xfId="2" applyFont="1" applyFill="1"/>
    <xf numFmtId="0" fontId="6" fillId="2" borderId="0" xfId="2" applyFont="1" applyFill="1"/>
    <xf numFmtId="14" fontId="5" fillId="2" borderId="0" xfId="2" applyNumberFormat="1" applyFont="1" applyFill="1"/>
    <xf numFmtId="0" fontId="4" fillId="2" borderId="0" xfId="1" applyFill="1" applyAlignment="1" applyProtection="1"/>
    <xf numFmtId="0" fontId="2" fillId="2" borderId="0" xfId="2" applyFill="1" applyAlignment="1">
      <alignment horizontal="center"/>
    </xf>
    <xf numFmtId="9" fontId="2" fillId="2" borderId="0" xfId="2" applyNumberFormat="1" applyFill="1" applyAlignment="1">
      <alignment horizontal="center"/>
    </xf>
    <xf numFmtId="9" fontId="2" fillId="2" borderId="0" xfId="2" applyNumberFormat="1" applyFill="1"/>
    <xf numFmtId="0" fontId="2" fillId="0" borderId="0" xfId="2"/>
    <xf numFmtId="0" fontId="5" fillId="0" borderId="0" xfId="2" applyFont="1"/>
    <xf numFmtId="164" fontId="2" fillId="0" borderId="0" xfId="2" applyNumberFormat="1"/>
    <xf numFmtId="0" fontId="9" fillId="2" borderId="0" xfId="2" applyFont="1" applyFill="1"/>
    <xf numFmtId="0" fontId="4" fillId="0" borderId="0" xfId="1" applyAlignment="1" applyProtection="1"/>
    <xf numFmtId="0" fontId="0" fillId="0" borderId="0" xfId="0" applyAlignment="1">
      <alignment horizontal="right"/>
    </xf>
    <xf numFmtId="3" fontId="0" fillId="0" borderId="0" xfId="0" applyNumberFormat="1" applyAlignment="1">
      <alignment horizontal="right"/>
    </xf>
    <xf numFmtId="4" fontId="0" fillId="0" borderId="0" xfId="0" applyNumberFormat="1" applyAlignment="1">
      <alignment horizontal="right"/>
    </xf>
    <xf numFmtId="3" fontId="1" fillId="0" borderId="0" xfId="0" applyNumberFormat="1" applyFont="1"/>
    <xf numFmtId="3" fontId="1" fillId="0" borderId="0" xfId="0" applyNumberFormat="1" applyFont="1" applyAlignment="1">
      <alignment horizontal="right"/>
    </xf>
    <xf numFmtId="0" fontId="0" fillId="0" borderId="8" xfId="0" applyFill="1" applyBorder="1"/>
    <xf numFmtId="0" fontId="0" fillId="0" borderId="7" xfId="0" applyFill="1" applyBorder="1" applyAlignment="1">
      <alignment horizontal="center"/>
    </xf>
    <xf numFmtId="0" fontId="0" fillId="0" borderId="6" xfId="0" applyFill="1" applyBorder="1" applyAlignment="1">
      <alignment horizontal="center"/>
    </xf>
    <xf numFmtId="0" fontId="0" fillId="0" borderId="0" xfId="0" applyFill="1"/>
    <xf numFmtId="4" fontId="0" fillId="0" borderId="0" xfId="0" applyNumberFormat="1" applyFill="1"/>
    <xf numFmtId="0" fontId="2" fillId="0" borderId="0" xfId="0" applyFont="1" applyFill="1" applyAlignment="1">
      <alignment horizontal="right"/>
    </xf>
    <xf numFmtId="0" fontId="4" fillId="0" borderId="11" xfId="1" applyFill="1" applyBorder="1" applyAlignment="1" applyProtection="1"/>
    <xf numFmtId="0" fontId="0" fillId="0" borderId="10" xfId="0" applyFill="1" applyBorder="1" applyAlignment="1">
      <alignment horizontal="center"/>
    </xf>
    <xf numFmtId="17" fontId="0" fillId="0" borderId="10" xfId="0" applyNumberFormat="1" applyFill="1" applyBorder="1" applyAlignment="1">
      <alignment horizontal="center"/>
    </xf>
    <xf numFmtId="9" fontId="0" fillId="0" borderId="10" xfId="0" applyNumberFormat="1" applyFill="1" applyBorder="1" applyAlignment="1">
      <alignment horizontal="center"/>
    </xf>
    <xf numFmtId="0" fontId="2" fillId="0" borderId="10" xfId="0" applyFont="1" applyFill="1" applyBorder="1" applyAlignment="1">
      <alignment horizontal="center"/>
    </xf>
    <xf numFmtId="0" fontId="2" fillId="0" borderId="9" xfId="0" applyFont="1" applyFill="1" applyBorder="1" applyAlignment="1">
      <alignment horizontal="center"/>
    </xf>
    <xf numFmtId="3" fontId="2" fillId="0" borderId="0" xfId="0" applyNumberFormat="1" applyFont="1" applyFill="1"/>
    <xf numFmtId="0" fontId="4" fillId="0" borderId="5" xfId="1" applyFill="1" applyBorder="1" applyAlignment="1" applyProtection="1"/>
    <xf numFmtId="0" fontId="2" fillId="0" borderId="0" xfId="0" applyFont="1" applyFill="1" applyAlignment="1">
      <alignment horizontal="center"/>
    </xf>
    <xf numFmtId="0" fontId="0" fillId="0" borderId="4" xfId="0" applyFill="1" applyBorder="1" applyAlignment="1">
      <alignment horizontal="center"/>
    </xf>
    <xf numFmtId="3" fontId="0" fillId="0" borderId="0" xfId="0" applyNumberFormat="1" applyFill="1"/>
    <xf numFmtId="0" fontId="0" fillId="0" borderId="0" xfId="0" applyFill="1" applyAlignment="1">
      <alignment horizontal="right"/>
    </xf>
    <xf numFmtId="0" fontId="4" fillId="0" borderId="3" xfId="1" applyFill="1" applyBorder="1" applyAlignment="1" applyProtection="1"/>
    <xf numFmtId="0" fontId="0" fillId="0" borderId="2" xfId="0" applyFill="1" applyBorder="1" applyAlignment="1">
      <alignment horizontal="center"/>
    </xf>
    <xf numFmtId="0" fontId="2" fillId="0" borderId="2" xfId="0" applyFont="1" applyFill="1" applyBorder="1" applyAlignment="1">
      <alignment horizontal="center"/>
    </xf>
    <xf numFmtId="0" fontId="2" fillId="0" borderId="1" xfId="0" applyFont="1" applyFill="1" applyBorder="1" applyAlignment="1">
      <alignment horizontal="center"/>
    </xf>
    <xf numFmtId="0" fontId="2" fillId="0" borderId="0" xfId="0" applyFont="1" applyFill="1"/>
    <xf numFmtId="0" fontId="0" fillId="0" borderId="0" xfId="0" applyFill="1" applyAlignment="1">
      <alignment horizontal="center"/>
    </xf>
    <xf numFmtId="2" fontId="0" fillId="0" borderId="0" xfId="0" applyNumberFormat="1" applyFill="1"/>
    <xf numFmtId="0" fontId="2" fillId="0" borderId="5" xfId="1" applyFont="1" applyFill="1" applyBorder="1" applyAlignment="1" applyProtection="1"/>
    <xf numFmtId="0" fontId="0" fillId="0" borderId="1" xfId="0" applyFill="1" applyBorder="1" applyAlignment="1">
      <alignment horizontal="center"/>
    </xf>
    <xf numFmtId="0" fontId="3" fillId="0" borderId="0" xfId="0" applyFont="1" applyFill="1" applyAlignment="1">
      <alignment horizontal="left"/>
    </xf>
    <xf numFmtId="0" fontId="0" fillId="0" borderId="0" xfId="0" applyFill="1" applyAlignment="1">
      <alignment horizontal="left"/>
    </xf>
    <xf numFmtId="0" fontId="2" fillId="0" borderId="0" xfId="0" applyFont="1" applyFill="1" applyAlignment="1">
      <alignment horizontal="left"/>
    </xf>
    <xf numFmtId="9" fontId="0" fillId="0" borderId="0" xfId="0" applyNumberFormat="1" applyAlignment="1">
      <alignment horizontal="right"/>
    </xf>
  </cellXfs>
  <cellStyles count="3">
    <cellStyle name="Hyperlink" xfId="1" builtinId="8"/>
    <cellStyle name="Normal" xfId="0" builtinId="0"/>
    <cellStyle name="Normal 2" xfId="2" xr:uid="{E14D3674-039E-4586-B983-DD274F8F71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12</xdr:col>
      <xdr:colOff>38100</xdr:colOff>
      <xdr:row>0</xdr:row>
      <xdr:rowOff>28575</xdr:rowOff>
    </xdr:from>
    <xdr:to>
      <xdr:col>12</xdr:col>
      <xdr:colOff>38100</xdr:colOff>
      <xdr:row>43</xdr:row>
      <xdr:rowOff>76200</xdr:rowOff>
    </xdr:to>
    <xdr:cxnSp macro="">
      <xdr:nvCxnSpPr>
        <xdr:cNvPr id="3" name="Straight Connector 2">
          <a:extLst>
            <a:ext uri="{FF2B5EF4-FFF2-40B4-BE49-F238E27FC236}">
              <a16:creationId xmlns:a16="http://schemas.microsoft.com/office/drawing/2014/main" id="{658D8025-20DF-13C6-84BC-98AAA2145166}"/>
            </a:ext>
          </a:extLst>
        </xdr:cNvPr>
        <xdr:cNvCxnSpPr/>
      </xdr:nvCxnSpPr>
      <xdr:spPr>
        <a:xfrm>
          <a:off x="7486650" y="28575"/>
          <a:ext cx="0" cy="6362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artin Shkreli" id="{6AE02F28-EECC-4040-93BD-26CB9CF8932E}"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9" dT="2022-09-16T10:03:00.58" personId="{6AE02F28-EECC-4040-93BD-26CB9CF8932E}" id="{CFF3BC2E-892D-4995-B558-D2A9395BF1AF}">
    <text>NGNI 1080.2</text>
  </threadedComment>
  <threadedComment ref="J29" dT="2022-09-16T10:02:53.72" personId="{6AE02F28-EECC-4040-93BD-26CB9CF8932E}" id="{E621A5CA-53E8-48F9-80F2-12D076620DD9}">
    <text>NGNI 2711.5</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5CF22-E8A9-4919-AD75-F071CE6857D9}">
  <dimension ref="B2:K33"/>
  <sheetViews>
    <sheetView zoomScale="160" zoomScaleNormal="160" workbookViewId="0">
      <selection activeCell="B12" sqref="B12"/>
    </sheetView>
  </sheetViews>
  <sheetFormatPr defaultRowHeight="12.75" x14ac:dyDescent="0.2"/>
  <cols>
    <col min="1" max="1" width="3.7109375" style="25" customWidth="1"/>
    <col min="2" max="2" width="23.42578125" style="25" customWidth="1"/>
    <col min="3" max="3" width="12.140625" style="25" customWidth="1"/>
    <col min="4" max="16384" width="9.140625" style="25"/>
  </cols>
  <sheetData>
    <row r="2" spans="2:11" x14ac:dyDescent="0.2">
      <c r="B2" s="22" t="s">
        <v>57</v>
      </c>
      <c r="C2" s="23" t="s">
        <v>56</v>
      </c>
      <c r="D2" s="23" t="s">
        <v>55</v>
      </c>
      <c r="E2" s="23" t="s">
        <v>53</v>
      </c>
      <c r="F2" s="23" t="s">
        <v>52</v>
      </c>
      <c r="G2" s="24" t="s">
        <v>51</v>
      </c>
      <c r="I2" s="25" t="s">
        <v>50</v>
      </c>
      <c r="J2" s="26">
        <v>705</v>
      </c>
      <c r="K2" s="27"/>
    </row>
    <row r="3" spans="2:11" x14ac:dyDescent="0.2">
      <c r="B3" s="28" t="s">
        <v>49</v>
      </c>
      <c r="C3" s="29" t="s">
        <v>48</v>
      </c>
      <c r="D3" s="30">
        <v>39479</v>
      </c>
      <c r="E3" s="31">
        <v>1</v>
      </c>
      <c r="F3" s="32" t="s">
        <v>47</v>
      </c>
      <c r="G3" s="33" t="s">
        <v>37</v>
      </c>
      <c r="I3" s="25" t="s">
        <v>46</v>
      </c>
      <c r="J3" s="34">
        <f>128.3-20.6+1.818146</f>
        <v>109.51814600000002</v>
      </c>
      <c r="K3" s="27" t="s">
        <v>35</v>
      </c>
    </row>
    <row r="4" spans="2:11" x14ac:dyDescent="0.2">
      <c r="B4" s="35" t="s">
        <v>45</v>
      </c>
      <c r="C4" s="36" t="s">
        <v>249</v>
      </c>
      <c r="D4" s="36"/>
      <c r="E4" s="36" t="s">
        <v>250</v>
      </c>
      <c r="F4" s="36" t="s">
        <v>255</v>
      </c>
      <c r="G4" s="37"/>
      <c r="I4" s="25" t="s">
        <v>43</v>
      </c>
      <c r="J4" s="38">
        <f>J2*J3</f>
        <v>77210.292930000011</v>
      </c>
      <c r="K4" s="39"/>
    </row>
    <row r="5" spans="2:11" x14ac:dyDescent="0.2">
      <c r="B5" s="35" t="s">
        <v>42</v>
      </c>
      <c r="C5" s="36" t="s">
        <v>252</v>
      </c>
      <c r="D5" s="36"/>
      <c r="E5" s="36" t="s">
        <v>250</v>
      </c>
      <c r="F5" s="36" t="s">
        <v>251</v>
      </c>
      <c r="G5" s="37"/>
      <c r="I5" s="25" t="s">
        <v>41</v>
      </c>
      <c r="J5" s="38">
        <f>3395.1+4171.3+6415.9</f>
        <v>13982.3</v>
      </c>
      <c r="K5" s="27" t="s">
        <v>35</v>
      </c>
    </row>
    <row r="6" spans="2:11" x14ac:dyDescent="0.2">
      <c r="B6" s="35" t="s">
        <v>253</v>
      </c>
      <c r="C6" s="36"/>
      <c r="D6" s="36"/>
      <c r="E6" s="36" t="s">
        <v>256</v>
      </c>
      <c r="F6" s="36" t="s">
        <v>254</v>
      </c>
      <c r="G6" s="37"/>
      <c r="I6" s="25" t="s">
        <v>36</v>
      </c>
      <c r="J6" s="38">
        <v>1980.7</v>
      </c>
      <c r="K6" s="27" t="s">
        <v>35</v>
      </c>
    </row>
    <row r="7" spans="2:11" x14ac:dyDescent="0.2">
      <c r="B7" s="40" t="s">
        <v>40</v>
      </c>
      <c r="C7" s="41" t="s">
        <v>39</v>
      </c>
      <c r="D7" s="42"/>
      <c r="E7" s="42" t="s">
        <v>38</v>
      </c>
      <c r="F7" s="42" t="s">
        <v>255</v>
      </c>
      <c r="G7" s="43" t="s">
        <v>37</v>
      </c>
      <c r="I7" s="44" t="s">
        <v>33</v>
      </c>
      <c r="J7" s="38">
        <f>J4-J5+J6</f>
        <v>65208.692930000005</v>
      </c>
    </row>
    <row r="8" spans="2:11" x14ac:dyDescent="0.2">
      <c r="B8" s="22"/>
      <c r="C8" s="23"/>
      <c r="D8" s="23" t="s">
        <v>34</v>
      </c>
      <c r="E8" s="23"/>
      <c r="F8" s="23"/>
      <c r="G8" s="24"/>
      <c r="I8" s="44"/>
      <c r="J8" s="46"/>
    </row>
    <row r="9" spans="2:11" x14ac:dyDescent="0.2">
      <c r="B9" s="35" t="s">
        <v>32</v>
      </c>
      <c r="C9" s="45" t="s">
        <v>31</v>
      </c>
      <c r="D9" s="36" t="s">
        <v>30</v>
      </c>
      <c r="E9" s="45"/>
      <c r="F9" s="36" t="s">
        <v>29</v>
      </c>
      <c r="G9" s="37"/>
    </row>
    <row r="10" spans="2:11" x14ac:dyDescent="0.2">
      <c r="B10" s="47" t="s">
        <v>28</v>
      </c>
      <c r="C10" s="36" t="s">
        <v>27</v>
      </c>
      <c r="D10" s="36" t="s">
        <v>26</v>
      </c>
      <c r="E10" s="45"/>
      <c r="F10" s="36" t="s">
        <v>25</v>
      </c>
      <c r="G10" s="37"/>
    </row>
    <row r="11" spans="2:11" x14ac:dyDescent="0.2">
      <c r="B11" s="47" t="s">
        <v>257</v>
      </c>
      <c r="C11" s="36"/>
      <c r="D11" s="36"/>
      <c r="E11" s="45"/>
      <c r="F11" s="36"/>
      <c r="G11" s="37"/>
    </row>
    <row r="12" spans="2:11" x14ac:dyDescent="0.2">
      <c r="B12" s="40" t="s">
        <v>24</v>
      </c>
      <c r="C12" s="42" t="s">
        <v>23</v>
      </c>
      <c r="D12" s="42" t="s">
        <v>22</v>
      </c>
      <c r="E12" s="42" t="s">
        <v>21</v>
      </c>
      <c r="F12" s="42" t="s">
        <v>20</v>
      </c>
      <c r="G12" s="48"/>
    </row>
    <row r="13" spans="2:11" x14ac:dyDescent="0.2">
      <c r="C13" s="45"/>
      <c r="D13" s="45"/>
      <c r="E13" s="45"/>
      <c r="F13" s="45"/>
      <c r="G13" s="45"/>
    </row>
    <row r="14" spans="2:11" x14ac:dyDescent="0.2">
      <c r="B14" s="44"/>
      <c r="C14" s="45"/>
      <c r="D14" s="45"/>
      <c r="E14" s="45"/>
      <c r="F14" s="49" t="s">
        <v>19</v>
      </c>
      <c r="G14" s="45"/>
    </row>
    <row r="15" spans="2:11" x14ac:dyDescent="0.2">
      <c r="B15" s="44"/>
      <c r="C15" s="45"/>
      <c r="D15" s="45"/>
      <c r="E15" s="50"/>
      <c r="F15" s="49" t="s">
        <v>18</v>
      </c>
      <c r="G15" s="45"/>
    </row>
    <row r="16" spans="2:11" x14ac:dyDescent="0.2">
      <c r="B16" s="44"/>
      <c r="C16" s="45"/>
      <c r="D16" s="45"/>
      <c r="E16" s="50"/>
      <c r="F16" s="49" t="s">
        <v>17</v>
      </c>
      <c r="G16" s="45"/>
    </row>
    <row r="17" spans="2:7" x14ac:dyDescent="0.2">
      <c r="B17" s="44"/>
      <c r="C17" s="45"/>
      <c r="D17" s="45"/>
      <c r="E17" s="50"/>
      <c r="F17" s="49" t="s">
        <v>16</v>
      </c>
      <c r="G17" s="45"/>
    </row>
    <row r="18" spans="2:7" x14ac:dyDescent="0.2">
      <c r="C18" s="45"/>
      <c r="D18" s="45"/>
      <c r="E18" s="45"/>
      <c r="F18" s="49" t="s">
        <v>15</v>
      </c>
      <c r="G18" s="45"/>
    </row>
    <row r="19" spans="2:7" x14ac:dyDescent="0.2">
      <c r="C19" s="45"/>
      <c r="D19" s="45"/>
      <c r="E19" s="45"/>
      <c r="F19" s="49" t="s">
        <v>14</v>
      </c>
      <c r="G19" s="45"/>
    </row>
    <row r="20" spans="2:7" x14ac:dyDescent="0.2">
      <c r="C20" s="45"/>
      <c r="D20" s="45"/>
      <c r="E20" s="45"/>
      <c r="F20" s="49" t="s">
        <v>13</v>
      </c>
      <c r="G20" s="45"/>
    </row>
    <row r="21" spans="2:7" x14ac:dyDescent="0.2">
      <c r="C21" s="45"/>
      <c r="D21" s="45"/>
      <c r="E21" s="45"/>
      <c r="F21" s="49" t="s">
        <v>12</v>
      </c>
      <c r="G21" s="45"/>
    </row>
    <row r="22" spans="2:7" x14ac:dyDescent="0.2">
      <c r="C22" s="45"/>
      <c r="D22" s="45"/>
      <c r="E22" s="45"/>
      <c r="F22" s="49" t="s">
        <v>11</v>
      </c>
      <c r="G22" s="45"/>
    </row>
    <row r="23" spans="2:7" x14ac:dyDescent="0.2">
      <c r="C23" s="45"/>
      <c r="D23" s="45"/>
      <c r="E23" s="45"/>
      <c r="F23" s="51" t="s">
        <v>10</v>
      </c>
      <c r="G23" s="45"/>
    </row>
    <row r="24" spans="2:7" x14ac:dyDescent="0.2">
      <c r="C24" s="45"/>
      <c r="D24" s="45"/>
      <c r="E24" s="45"/>
      <c r="F24" s="51" t="s">
        <v>9</v>
      </c>
      <c r="G24" s="45"/>
    </row>
    <row r="25" spans="2:7" x14ac:dyDescent="0.2">
      <c r="C25" s="45"/>
      <c r="D25" s="45"/>
      <c r="E25" s="45"/>
      <c r="F25" s="51" t="s">
        <v>8</v>
      </c>
      <c r="G25" s="45"/>
    </row>
    <row r="26" spans="2:7" x14ac:dyDescent="0.2">
      <c r="C26" s="45"/>
      <c r="D26" s="45"/>
      <c r="E26" s="45"/>
      <c r="F26" s="51" t="s">
        <v>7</v>
      </c>
      <c r="G26" s="45"/>
    </row>
    <row r="27" spans="2:7" x14ac:dyDescent="0.2">
      <c r="C27" s="45"/>
      <c r="D27" s="45"/>
      <c r="E27" s="45"/>
      <c r="F27" s="51" t="s">
        <v>6</v>
      </c>
      <c r="G27" s="45"/>
    </row>
    <row r="28" spans="2:7" x14ac:dyDescent="0.2">
      <c r="C28" s="45"/>
      <c r="D28" s="45"/>
      <c r="E28" s="45"/>
      <c r="F28" s="51" t="s">
        <v>5</v>
      </c>
      <c r="G28" s="45"/>
    </row>
    <row r="29" spans="2:7" x14ac:dyDescent="0.2">
      <c r="C29" s="45"/>
      <c r="D29" s="45"/>
      <c r="E29" s="45"/>
      <c r="F29" s="51" t="s">
        <v>4</v>
      </c>
      <c r="G29" s="45"/>
    </row>
    <row r="30" spans="2:7" x14ac:dyDescent="0.2">
      <c r="C30" s="45"/>
      <c r="D30" s="45"/>
      <c r="E30" s="45"/>
      <c r="F30" s="51" t="s">
        <v>3</v>
      </c>
      <c r="G30" s="45"/>
    </row>
    <row r="31" spans="2:7" x14ac:dyDescent="0.2">
      <c r="C31" s="45"/>
      <c r="D31" s="45"/>
      <c r="E31" s="45"/>
      <c r="F31" s="51" t="s">
        <v>2</v>
      </c>
      <c r="G31" s="45"/>
    </row>
    <row r="32" spans="2:7" x14ac:dyDescent="0.2">
      <c r="C32" s="45"/>
      <c r="D32" s="45"/>
      <c r="E32" s="45"/>
      <c r="F32" s="51" t="s">
        <v>1</v>
      </c>
      <c r="G32" s="45"/>
    </row>
    <row r="33" spans="3:7" x14ac:dyDescent="0.2">
      <c r="C33" s="45"/>
      <c r="D33" s="45"/>
      <c r="E33" s="45"/>
      <c r="F33" s="51" t="s">
        <v>0</v>
      </c>
      <c r="G33" s="45"/>
    </row>
  </sheetData>
  <hyperlinks>
    <hyperlink ref="B3" location="Arcalyst!A1" display="Arcalyst" xr:uid="{BDF22BBF-5632-43C4-825A-494559AE5BB9}"/>
    <hyperlink ref="B12" location="REGN727!A1" display="REGN727" xr:uid="{8D796E16-1B6A-4863-8C76-1C9033CFEB9D}"/>
    <hyperlink ref="B9" location="REGN88!A1" display="REGN88" xr:uid="{8D20C485-61D6-4E03-A982-1D64315E19D9}"/>
    <hyperlink ref="B4" location="Zaltrap!A1" display="Zaltrap" xr:uid="{B1A779BE-0169-48CB-AB42-981661C5EA87}"/>
    <hyperlink ref="B7" location="'VEGF Trap-Eye'!A1" display="VEGF Trap-Eye" xr:uid="{632465B5-10C7-43D8-A04F-89D049587F0F}"/>
    <hyperlink ref="B5" location="Dupixent!A1" display="Dupixent (dupilumab)" xr:uid="{4B303E05-22EB-4F26-B307-EFDE2890518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ECB6-C670-4D66-9069-7BDB54779CF7}">
  <dimension ref="A1:O37"/>
  <sheetViews>
    <sheetView tabSelected="1" zoomScale="145" zoomScaleNormal="145" workbookViewId="0">
      <pane xSplit="2" ySplit="2" topLeftCell="C3" activePane="bottomRight" state="frozen"/>
      <selection pane="topRight" activeCell="C1" sqref="C1"/>
      <selection pane="bottomLeft" activeCell="A3" sqref="A3"/>
      <selection pane="bottomRight" activeCell="N22" sqref="N22"/>
    </sheetView>
  </sheetViews>
  <sheetFormatPr defaultRowHeight="12.75" x14ac:dyDescent="0.2"/>
  <cols>
    <col min="1" max="1" width="5" bestFit="1" customWidth="1"/>
    <col min="2" max="2" width="15.28515625" bestFit="1" customWidth="1"/>
    <col min="3" max="14" width="9.140625" style="17"/>
  </cols>
  <sheetData>
    <row r="1" spans="1:14" x14ac:dyDescent="0.2">
      <c r="A1" s="16" t="s">
        <v>87</v>
      </c>
    </row>
    <row r="2" spans="1:14" x14ac:dyDescent="0.2">
      <c r="C2" s="17" t="s">
        <v>212</v>
      </c>
      <c r="D2" s="17" t="s">
        <v>213</v>
      </c>
      <c r="E2" s="17" t="s">
        <v>214</v>
      </c>
      <c r="F2" s="17" t="s">
        <v>215</v>
      </c>
      <c r="G2" s="17" t="s">
        <v>216</v>
      </c>
      <c r="H2" s="17" t="s">
        <v>217</v>
      </c>
      <c r="I2" s="17" t="s">
        <v>218</v>
      </c>
      <c r="J2" s="17" t="s">
        <v>219</v>
      </c>
      <c r="K2" s="17" t="s">
        <v>220</v>
      </c>
      <c r="L2" s="17" t="s">
        <v>35</v>
      </c>
      <c r="M2" s="17" t="s">
        <v>221</v>
      </c>
      <c r="N2" s="17" t="s">
        <v>222</v>
      </c>
    </row>
    <row r="3" spans="1:14" s="1" customFormat="1" x14ac:dyDescent="0.2">
      <c r="B3" s="1" t="s">
        <v>40</v>
      </c>
      <c r="C3" s="18"/>
      <c r="D3" s="18"/>
      <c r="E3" s="18">
        <v>1318</v>
      </c>
      <c r="F3" s="18">
        <v>1343</v>
      </c>
      <c r="G3" s="18">
        <v>1347</v>
      </c>
      <c r="H3" s="18">
        <v>1425</v>
      </c>
      <c r="I3" s="18">
        <v>1473</v>
      </c>
      <c r="J3" s="18">
        <v>1547</v>
      </c>
      <c r="K3" s="18">
        <v>1518</v>
      </c>
      <c r="L3" s="18">
        <v>1621</v>
      </c>
      <c r="M3" s="18">
        <f>+I3*1.1</f>
        <v>1620.3000000000002</v>
      </c>
      <c r="N3" s="18">
        <f>+J3*1.1</f>
        <v>1701.7</v>
      </c>
    </row>
    <row r="4" spans="1:14" s="1" customFormat="1" x14ac:dyDescent="0.2">
      <c r="B4" s="1" t="s">
        <v>223</v>
      </c>
      <c r="C4" s="18"/>
      <c r="D4" s="18"/>
      <c r="E4" s="18">
        <v>72</v>
      </c>
      <c r="F4" s="18">
        <v>74</v>
      </c>
      <c r="G4" s="18">
        <v>69</v>
      </c>
      <c r="H4" s="18">
        <v>78</v>
      </c>
      <c r="I4" s="18">
        <v>78</v>
      </c>
      <c r="J4" s="18">
        <v>81</v>
      </c>
      <c r="K4" s="18">
        <v>79</v>
      </c>
      <c r="L4" s="18">
        <v>91</v>
      </c>
      <c r="M4" s="18">
        <f t="shared" ref="M4:N4" si="0">+I4*1.1</f>
        <v>85.800000000000011</v>
      </c>
      <c r="N4" s="18">
        <f t="shared" si="0"/>
        <v>89.100000000000009</v>
      </c>
    </row>
    <row r="5" spans="1:14" s="1" customFormat="1" x14ac:dyDescent="0.2">
      <c r="B5" s="1" t="s">
        <v>224</v>
      </c>
      <c r="C5" s="18"/>
      <c r="D5" s="18"/>
      <c r="E5" s="18">
        <v>49</v>
      </c>
      <c r="F5" s="18">
        <v>55</v>
      </c>
      <c r="G5" s="18">
        <v>43</v>
      </c>
      <c r="H5" s="18">
        <v>42</v>
      </c>
      <c r="I5" s="18">
        <v>45</v>
      </c>
      <c r="J5" s="18">
        <v>40</v>
      </c>
      <c r="K5" s="18">
        <v>34</v>
      </c>
      <c r="L5" s="18">
        <v>31</v>
      </c>
      <c r="M5" s="18">
        <f t="shared" ref="M5" si="1">+I5*1.1</f>
        <v>49.500000000000007</v>
      </c>
      <c r="N5" s="18">
        <f t="shared" ref="N5" si="2">+J5*1.1</f>
        <v>44</v>
      </c>
    </row>
    <row r="6" spans="1:14" s="1" customFormat="1" x14ac:dyDescent="0.2">
      <c r="B6" s="1" t="s">
        <v>225</v>
      </c>
      <c r="C6" s="18"/>
      <c r="D6" s="18"/>
      <c r="E6" s="18">
        <v>40</v>
      </c>
      <c r="F6" s="18">
        <v>146</v>
      </c>
      <c r="G6" s="18">
        <v>262</v>
      </c>
      <c r="H6" s="18">
        <v>2591</v>
      </c>
      <c r="I6" s="18">
        <v>677</v>
      </c>
      <c r="J6" s="18">
        <v>2298</v>
      </c>
      <c r="K6" s="18">
        <v>0</v>
      </c>
      <c r="L6" s="18">
        <v>0</v>
      </c>
      <c r="M6" s="18">
        <v>0</v>
      </c>
      <c r="N6" s="18">
        <v>0</v>
      </c>
    </row>
    <row r="7" spans="1:14" s="1" customFormat="1" x14ac:dyDescent="0.2">
      <c r="B7" s="1" t="s">
        <v>226</v>
      </c>
      <c r="C7" s="18"/>
      <c r="D7" s="18"/>
      <c r="E7" s="18">
        <v>0</v>
      </c>
      <c r="F7" s="18">
        <v>0</v>
      </c>
      <c r="G7" s="18">
        <v>1</v>
      </c>
      <c r="H7" s="18">
        <v>2</v>
      </c>
      <c r="I7" s="18">
        <v>7</v>
      </c>
      <c r="J7" s="18">
        <v>9</v>
      </c>
      <c r="K7" s="18">
        <v>8</v>
      </c>
      <c r="L7" s="18">
        <v>11</v>
      </c>
      <c r="M7" s="18">
        <f>+L7+2</f>
        <v>13</v>
      </c>
      <c r="N7" s="18">
        <f>+M7+2</f>
        <v>15</v>
      </c>
    </row>
    <row r="8" spans="1:14" s="1" customFormat="1" x14ac:dyDescent="0.2">
      <c r="B8" s="1" t="s">
        <v>248</v>
      </c>
      <c r="C8" s="18"/>
      <c r="D8" s="18"/>
      <c r="E8" s="18">
        <v>3</v>
      </c>
      <c r="F8" s="18">
        <v>4</v>
      </c>
      <c r="G8" s="18">
        <v>3</v>
      </c>
      <c r="H8" s="18">
        <v>0</v>
      </c>
      <c r="I8" s="18">
        <v>0</v>
      </c>
      <c r="J8" s="18">
        <v>0</v>
      </c>
      <c r="K8" s="18">
        <v>0</v>
      </c>
      <c r="L8" s="18">
        <v>0</v>
      </c>
      <c r="M8" s="18">
        <v>0</v>
      </c>
      <c r="N8" s="18">
        <v>0</v>
      </c>
    </row>
    <row r="9" spans="1:14" s="1" customFormat="1" x14ac:dyDescent="0.2">
      <c r="B9" s="1" t="s">
        <v>21</v>
      </c>
      <c r="C9" s="18"/>
      <c r="D9" s="18"/>
      <c r="E9" s="18">
        <f t="shared" ref="E9:I9" si="3">SUM(E10:E12)</f>
        <v>353.3</v>
      </c>
      <c r="F9" s="18">
        <f t="shared" si="3"/>
        <v>317.10000000000002</v>
      </c>
      <c r="G9" s="18">
        <f t="shared" si="3"/>
        <v>364.80000000000007</v>
      </c>
      <c r="H9" s="18">
        <f t="shared" si="3"/>
        <v>437.7</v>
      </c>
      <c r="I9" s="18">
        <f t="shared" si="3"/>
        <v>581.80000000000007</v>
      </c>
      <c r="J9" s="18">
        <f>SUM(J10:J12)</f>
        <v>517.9</v>
      </c>
      <c r="K9" s="18">
        <f>SUM(K10:K12)</f>
        <v>630.9</v>
      </c>
      <c r="L9" s="18">
        <f>SUM(L10:L12)</f>
        <v>677.5</v>
      </c>
      <c r="M9" s="18">
        <f>+I9*1.4</f>
        <v>814.5200000000001</v>
      </c>
      <c r="N9" s="18">
        <f>+J9*1.4</f>
        <v>725.06</v>
      </c>
    </row>
    <row r="10" spans="1:14" s="1" customFormat="1" x14ac:dyDescent="0.2">
      <c r="B10" s="1" t="s">
        <v>242</v>
      </c>
      <c r="C10" s="18"/>
      <c r="D10" s="18"/>
      <c r="E10" s="18">
        <v>212.8</v>
      </c>
      <c r="F10" s="18">
        <v>229.6</v>
      </c>
      <c r="G10" s="18">
        <v>260.60000000000002</v>
      </c>
      <c r="H10" s="18">
        <v>327.60000000000002</v>
      </c>
      <c r="I10" s="18">
        <v>387</v>
      </c>
      <c r="J10" s="18">
        <v>387.8</v>
      </c>
      <c r="K10" s="18">
        <v>415.3</v>
      </c>
      <c r="L10" s="18">
        <v>496.6</v>
      </c>
      <c r="M10" s="18"/>
      <c r="N10" s="18"/>
    </row>
    <row r="11" spans="1:14" s="1" customFormat="1" x14ac:dyDescent="0.2">
      <c r="B11" s="1" t="s">
        <v>243</v>
      </c>
      <c r="C11" s="18"/>
      <c r="D11" s="18"/>
      <c r="E11" s="18">
        <v>94.3</v>
      </c>
      <c r="F11" s="18">
        <v>93</v>
      </c>
      <c r="G11" s="18">
        <v>105.6</v>
      </c>
      <c r="H11" s="18">
        <v>110.9</v>
      </c>
      <c r="I11" s="18">
        <v>144.69999999999999</v>
      </c>
      <c r="J11" s="18">
        <v>127.6</v>
      </c>
      <c r="K11" s="18">
        <v>160.80000000000001</v>
      </c>
      <c r="L11" s="18">
        <v>145.5</v>
      </c>
      <c r="M11" s="18"/>
      <c r="N11" s="18"/>
    </row>
    <row r="12" spans="1:14" s="1" customFormat="1" x14ac:dyDescent="0.2">
      <c r="B12" s="1" t="s">
        <v>244</v>
      </c>
      <c r="C12" s="18"/>
      <c r="D12" s="18"/>
      <c r="E12" s="18">
        <f>50-4.7+0.9</f>
        <v>46.199999999999996</v>
      </c>
      <c r="F12" s="18">
        <f>-8.4+2.9</f>
        <v>-5.5</v>
      </c>
      <c r="G12" s="18">
        <f>-6.1+4.7</f>
        <v>-1.3999999999999995</v>
      </c>
      <c r="H12" s="18">
        <f>-3.5+2.7</f>
        <v>-0.79999999999999982</v>
      </c>
      <c r="I12" s="18">
        <f>50+3.1-3</f>
        <v>50.1</v>
      </c>
      <c r="J12" s="18">
        <f>-1+3.5</f>
        <v>2.5</v>
      </c>
      <c r="K12" s="18">
        <f>50+2.8+2</f>
        <v>54.8</v>
      </c>
      <c r="L12" s="18">
        <f>28.9+3.9+2.6</f>
        <v>35.4</v>
      </c>
      <c r="M12" s="18"/>
      <c r="N12" s="18"/>
    </row>
    <row r="13" spans="1:14" s="1" customFormat="1" x14ac:dyDescent="0.2">
      <c r="B13" s="1" t="s">
        <v>245</v>
      </c>
      <c r="C13" s="18"/>
      <c r="D13" s="18"/>
      <c r="E13" s="18">
        <v>1072.5999999999999</v>
      </c>
      <c r="F13" s="18">
        <v>1172</v>
      </c>
      <c r="G13" s="18">
        <v>1262.9000000000001</v>
      </c>
      <c r="H13" s="18">
        <v>1499</v>
      </c>
      <c r="I13" s="18">
        <v>1662.9</v>
      </c>
      <c r="J13" s="18">
        <v>1773.8</v>
      </c>
      <c r="K13" s="18">
        <v>1810.4</v>
      </c>
      <c r="L13" s="18">
        <v>2091.8000000000002</v>
      </c>
      <c r="M13" s="18"/>
      <c r="N13" s="18"/>
    </row>
    <row r="14" spans="1:14" s="1" customFormat="1" x14ac:dyDescent="0.2">
      <c r="B14" s="1" t="s">
        <v>246</v>
      </c>
      <c r="C14" s="18"/>
      <c r="D14" s="18"/>
      <c r="E14" s="18">
        <v>91.5</v>
      </c>
      <c r="F14" s="18">
        <v>100.9</v>
      </c>
      <c r="G14" s="18">
        <v>104.6</v>
      </c>
      <c r="H14" s="18">
        <v>99.4</v>
      </c>
      <c r="I14" s="18">
        <v>114.5</v>
      </c>
      <c r="J14" s="18">
        <v>102.6</v>
      </c>
      <c r="K14" s="18">
        <v>111.4</v>
      </c>
      <c r="L14" s="18">
        <v>108.9</v>
      </c>
      <c r="M14" s="18"/>
      <c r="N14" s="18"/>
    </row>
    <row r="15" spans="1:14" s="1" customFormat="1" x14ac:dyDescent="0.2">
      <c r="B15" s="1" t="s">
        <v>247</v>
      </c>
      <c r="C15" s="18"/>
      <c r="D15" s="18"/>
      <c r="E15" s="18">
        <v>70</v>
      </c>
      <c r="F15" s="18">
        <v>71.5</v>
      </c>
      <c r="G15" s="18">
        <v>69.099999999999994</v>
      </c>
      <c r="H15" s="18">
        <v>66.7</v>
      </c>
      <c r="I15" s="18">
        <v>97.8</v>
      </c>
      <c r="J15" s="18">
        <v>103.9</v>
      </c>
      <c r="K15" s="18">
        <v>106.4</v>
      </c>
      <c r="L15" s="18">
        <v>82.3</v>
      </c>
      <c r="M15" s="18"/>
      <c r="N15" s="18"/>
    </row>
    <row r="16" spans="1:14" s="1" customFormat="1" x14ac:dyDescent="0.2">
      <c r="B16" s="1" t="s">
        <v>227</v>
      </c>
      <c r="C16" s="18"/>
      <c r="D16" s="18"/>
      <c r="E16" s="18">
        <v>299.89999999999998</v>
      </c>
      <c r="F16" s="18">
        <v>360.6</v>
      </c>
      <c r="G16" s="18">
        <v>322.8</v>
      </c>
      <c r="H16" s="18">
        <v>349</v>
      </c>
      <c r="I16" s="18">
        <v>365</v>
      </c>
      <c r="J16" s="18">
        <v>372.4</v>
      </c>
      <c r="K16" s="18">
        <v>385.3</v>
      </c>
      <c r="L16" s="18">
        <v>358</v>
      </c>
      <c r="M16" s="18">
        <f>+I16*1.1</f>
        <v>401.50000000000006</v>
      </c>
      <c r="N16" s="18">
        <f>+J16*1.1</f>
        <v>409.64</v>
      </c>
    </row>
    <row r="17" spans="2:14" s="1" customFormat="1" x14ac:dyDescent="0.2">
      <c r="B17" s="1" t="s">
        <v>228</v>
      </c>
      <c r="C17" s="18"/>
      <c r="D17" s="18"/>
      <c r="E17" s="18">
        <v>0</v>
      </c>
      <c r="F17" s="18">
        <v>0</v>
      </c>
      <c r="G17" s="18">
        <v>66.8</v>
      </c>
      <c r="H17" s="18">
        <v>168</v>
      </c>
      <c r="I17" s="18">
        <v>127.1</v>
      </c>
      <c r="J17" s="18">
        <v>0</v>
      </c>
      <c r="K17" s="18">
        <v>216.3</v>
      </c>
      <c r="L17" s="18">
        <v>8</v>
      </c>
      <c r="M17" s="18">
        <f>+I17*1.1</f>
        <v>139.81</v>
      </c>
      <c r="N17" s="18">
        <f>+J17*1.1</f>
        <v>0</v>
      </c>
    </row>
    <row r="18" spans="2:14" s="1" customFormat="1" x14ac:dyDescent="0.2">
      <c r="B18" s="1" t="s">
        <v>229</v>
      </c>
      <c r="C18" s="18"/>
      <c r="D18" s="18"/>
      <c r="E18" s="18">
        <v>158.6</v>
      </c>
      <c r="F18" s="18"/>
      <c r="G18" s="18">
        <v>50</v>
      </c>
      <c r="H18" s="18">
        <v>46</v>
      </c>
      <c r="I18" s="18">
        <v>99</v>
      </c>
      <c r="J18" s="18">
        <v>86.2</v>
      </c>
      <c r="K18" s="18">
        <v>94</v>
      </c>
      <c r="L18" s="18">
        <v>59</v>
      </c>
      <c r="M18" s="18">
        <f>+I18*1.1</f>
        <v>108.9</v>
      </c>
      <c r="N18" s="18">
        <f>+J18*1.1</f>
        <v>94.820000000000007</v>
      </c>
    </row>
    <row r="19" spans="2:14" s="20" customFormat="1" x14ac:dyDescent="0.2">
      <c r="B19" s="20" t="s">
        <v>230</v>
      </c>
      <c r="C19" s="21">
        <f t="shared" ref="C19:F19" si="4">SUM(C3:C9)+C16+C17+C18</f>
        <v>0</v>
      </c>
      <c r="D19" s="21">
        <f t="shared" si="4"/>
        <v>0</v>
      </c>
      <c r="E19" s="21">
        <f t="shared" si="4"/>
        <v>2293.7999999999997</v>
      </c>
      <c r="F19" s="21">
        <f t="shared" si="4"/>
        <v>2299.6999999999998</v>
      </c>
      <c r="G19" s="21">
        <f t="shared" ref="G19:L19" si="5">SUM(G3:G9)+G16+G17+G18</f>
        <v>2529.4000000000005</v>
      </c>
      <c r="H19" s="21">
        <f t="shared" si="5"/>
        <v>5138.7</v>
      </c>
      <c r="I19" s="21">
        <f>SUM(I3:I9)+I16+I17+I18</f>
        <v>3452.9</v>
      </c>
      <c r="J19" s="21">
        <f t="shared" si="5"/>
        <v>4951.4999999999991</v>
      </c>
      <c r="K19" s="21">
        <f t="shared" si="5"/>
        <v>2965.5000000000005</v>
      </c>
      <c r="L19" s="21">
        <f t="shared" si="5"/>
        <v>2856.5</v>
      </c>
      <c r="M19" s="21">
        <f t="shared" ref="M19:N19" si="6">SUM(M3:M9)+M16+M17+M18</f>
        <v>3233.3300000000004</v>
      </c>
      <c r="N19" s="21">
        <f t="shared" si="6"/>
        <v>3079.3199999999997</v>
      </c>
    </row>
    <row r="20" spans="2:14" s="1" customFormat="1" x14ac:dyDescent="0.2">
      <c r="B20" s="1" t="s">
        <v>231</v>
      </c>
      <c r="C20" s="18"/>
      <c r="D20" s="18"/>
      <c r="E20" s="18">
        <v>122</v>
      </c>
      <c r="F20" s="18">
        <f>166+173.5</f>
        <v>339.5</v>
      </c>
      <c r="G20" s="18">
        <f>183.2+124.8</f>
        <v>308</v>
      </c>
      <c r="H20" s="18">
        <f>539.4+154.3</f>
        <v>693.7</v>
      </c>
      <c r="I20" s="18">
        <v>224</v>
      </c>
      <c r="J20" s="18">
        <f>559+170.9</f>
        <v>729.9</v>
      </c>
      <c r="K20" s="18">
        <f>207.3+197.6</f>
        <v>404.9</v>
      </c>
      <c r="L20" s="18">
        <f>149.2+147.9</f>
        <v>297.10000000000002</v>
      </c>
      <c r="M20" s="18">
        <f>+M19-M21</f>
        <v>323.33300000000008</v>
      </c>
      <c r="N20" s="18">
        <f>+N19-N21</f>
        <v>307.93199999999979</v>
      </c>
    </row>
    <row r="21" spans="2:14" s="1" customFormat="1" x14ac:dyDescent="0.2">
      <c r="B21" s="1" t="s">
        <v>232</v>
      </c>
      <c r="C21" s="18"/>
      <c r="D21" s="18"/>
      <c r="E21" s="18">
        <f>+E19-E20</f>
        <v>2171.7999999999997</v>
      </c>
      <c r="F21" s="18">
        <f>+F19-F20</f>
        <v>1960.1999999999998</v>
      </c>
      <c r="G21" s="18">
        <f>+G19-G20</f>
        <v>2221.4000000000005</v>
      </c>
      <c r="H21" s="18">
        <f>+H19-H20</f>
        <v>4445</v>
      </c>
      <c r="I21" s="18">
        <f>+I19-I20</f>
        <v>3228.9</v>
      </c>
      <c r="J21" s="18">
        <f>+J19-J20</f>
        <v>4221.5999999999995</v>
      </c>
      <c r="K21" s="18">
        <f>+K19-K20</f>
        <v>2560.6000000000004</v>
      </c>
      <c r="L21" s="18">
        <f>+L19-L20</f>
        <v>2559.4</v>
      </c>
      <c r="M21" s="18">
        <f>+M19*0.9</f>
        <v>2909.9970000000003</v>
      </c>
      <c r="N21" s="18">
        <f>+N19*0.9</f>
        <v>2771.3879999999999</v>
      </c>
    </row>
    <row r="22" spans="2:14" s="1" customFormat="1" x14ac:dyDescent="0.2">
      <c r="B22" s="1" t="s">
        <v>233</v>
      </c>
      <c r="C22" s="18"/>
      <c r="D22" s="18"/>
      <c r="E22" s="18">
        <v>629</v>
      </c>
      <c r="F22" s="18">
        <v>675</v>
      </c>
      <c r="G22" s="18">
        <v>742.9</v>
      </c>
      <c r="H22" s="18">
        <v>714.2</v>
      </c>
      <c r="I22" s="18">
        <v>592</v>
      </c>
      <c r="J22" s="18">
        <v>639</v>
      </c>
      <c r="K22" s="18">
        <v>843.8</v>
      </c>
      <c r="L22" s="18">
        <f>794.3-14.6</f>
        <v>779.69999999999993</v>
      </c>
      <c r="M22" s="18"/>
      <c r="N22" s="18"/>
    </row>
    <row r="23" spans="2:14" s="1" customFormat="1" x14ac:dyDescent="0.2">
      <c r="B23" s="1" t="s">
        <v>234</v>
      </c>
      <c r="C23" s="18"/>
      <c r="D23" s="18"/>
      <c r="E23" s="18">
        <v>291</v>
      </c>
      <c r="F23" s="18">
        <v>381</v>
      </c>
      <c r="G23" s="18">
        <v>405.6</v>
      </c>
      <c r="H23" s="18">
        <v>414.7</v>
      </c>
      <c r="I23" s="18">
        <v>391</v>
      </c>
      <c r="J23" s="18">
        <v>495</v>
      </c>
      <c r="K23" s="18">
        <v>450</v>
      </c>
      <c r="L23" s="18">
        <f>476.3-1.1</f>
        <v>475.2</v>
      </c>
      <c r="M23" s="18"/>
      <c r="N23" s="18"/>
    </row>
    <row r="24" spans="2:14" s="1" customFormat="1" x14ac:dyDescent="0.2">
      <c r="B24" s="1" t="s">
        <v>235</v>
      </c>
      <c r="C24" s="18"/>
      <c r="D24" s="18"/>
      <c r="E24" s="18">
        <f t="shared" ref="E24:I24" si="7">+E23+E22</f>
        <v>920</v>
      </c>
      <c r="F24" s="18">
        <f t="shared" si="7"/>
        <v>1056</v>
      </c>
      <c r="G24" s="18">
        <f t="shared" si="7"/>
        <v>1148.5</v>
      </c>
      <c r="H24" s="18">
        <f t="shared" si="7"/>
        <v>1128.9000000000001</v>
      </c>
      <c r="I24" s="18">
        <f t="shared" si="7"/>
        <v>983</v>
      </c>
      <c r="J24" s="18">
        <f>+J23+J22</f>
        <v>1134</v>
      </c>
      <c r="K24" s="18">
        <f>+K23+K22</f>
        <v>1293.8</v>
      </c>
      <c r="L24" s="18">
        <f>+L23+L22</f>
        <v>1254.8999999999999</v>
      </c>
      <c r="M24" s="18">
        <f>+M23+M22</f>
        <v>0</v>
      </c>
      <c r="N24" s="18">
        <f t="shared" ref="N24" si="8">+N23+N22</f>
        <v>0</v>
      </c>
    </row>
    <row r="25" spans="2:14" s="1" customFormat="1" x14ac:dyDescent="0.2">
      <c r="B25" s="1" t="s">
        <v>236</v>
      </c>
      <c r="C25" s="18"/>
      <c r="D25" s="18"/>
      <c r="E25" s="18">
        <f t="shared" ref="E25:I25" si="9">+E21-E24</f>
        <v>1251.7999999999997</v>
      </c>
      <c r="F25" s="18">
        <f t="shared" si="9"/>
        <v>904.19999999999982</v>
      </c>
      <c r="G25" s="18">
        <f t="shared" si="9"/>
        <v>1072.9000000000005</v>
      </c>
      <c r="H25" s="18">
        <f t="shared" si="9"/>
        <v>3316.1</v>
      </c>
      <c r="I25" s="18">
        <f t="shared" si="9"/>
        <v>2245.9</v>
      </c>
      <c r="J25" s="18">
        <f>+J21-J24</f>
        <v>3087.5999999999995</v>
      </c>
      <c r="K25" s="18">
        <f>+K21-K24</f>
        <v>1266.8000000000004</v>
      </c>
      <c r="L25" s="18">
        <f>+L21-L24</f>
        <v>1304.5000000000002</v>
      </c>
      <c r="M25" s="18">
        <f>+M21-M24</f>
        <v>2909.9970000000003</v>
      </c>
      <c r="N25" s="18">
        <f t="shared" ref="N25" si="10">+N21-N24</f>
        <v>2771.3879999999999</v>
      </c>
    </row>
    <row r="26" spans="2:14" s="1" customFormat="1" x14ac:dyDescent="0.2">
      <c r="B26" s="1" t="s">
        <v>237</v>
      </c>
      <c r="C26" s="18"/>
      <c r="D26" s="18"/>
      <c r="E26" s="18">
        <v>-54.8</v>
      </c>
      <c r="F26" s="18">
        <v>57.6</v>
      </c>
      <c r="G26" s="18">
        <f>40.5-14.6</f>
        <v>25.9</v>
      </c>
      <c r="H26" s="18">
        <f>-14.4-31.3</f>
        <v>-45.7</v>
      </c>
      <c r="I26" s="18">
        <v>-30.6</v>
      </c>
      <c r="J26" s="18">
        <f>15.8-136.3</f>
        <v>-120.50000000000001</v>
      </c>
      <c r="K26" s="18">
        <f>20.2-197.4</f>
        <v>-177.20000000000002</v>
      </c>
      <c r="L26" s="18">
        <f>-133.6-13.1-17.4</f>
        <v>-164.1</v>
      </c>
      <c r="M26" s="18"/>
      <c r="N26" s="18"/>
    </row>
    <row r="27" spans="2:14" s="1" customFormat="1" x14ac:dyDescent="0.2">
      <c r="B27" s="1" t="s">
        <v>238</v>
      </c>
      <c r="C27" s="18"/>
      <c r="D27" s="18"/>
      <c r="E27" s="18">
        <f>E25+E26</f>
        <v>1196.9999999999998</v>
      </c>
      <c r="F27" s="18">
        <f>F25+F26</f>
        <v>961.79999999999984</v>
      </c>
      <c r="G27" s="18">
        <f>G25+G26</f>
        <v>1098.8000000000006</v>
      </c>
      <c r="H27" s="18">
        <f>H25+H26</f>
        <v>3270.4</v>
      </c>
      <c r="I27" s="18">
        <f>I25+I26</f>
        <v>2215.3000000000002</v>
      </c>
      <c r="J27" s="18">
        <f>J25+J26</f>
        <v>2967.0999999999995</v>
      </c>
      <c r="K27" s="18">
        <f>K25+K26</f>
        <v>1089.6000000000004</v>
      </c>
      <c r="L27" s="18">
        <f>L25+L26</f>
        <v>1140.4000000000003</v>
      </c>
      <c r="M27" s="18">
        <f>M25+M26</f>
        <v>2909.9970000000003</v>
      </c>
      <c r="N27" s="18">
        <f>N25+N26</f>
        <v>2771.3879999999999</v>
      </c>
    </row>
    <row r="28" spans="2:14" s="1" customFormat="1" x14ac:dyDescent="0.2">
      <c r="B28" s="1" t="s">
        <v>239</v>
      </c>
      <c r="C28" s="18"/>
      <c r="D28" s="18"/>
      <c r="E28" s="18">
        <v>156.19999999999999</v>
      </c>
      <c r="F28" s="18">
        <v>75.400000000000006</v>
      </c>
      <c r="G28" s="18">
        <v>137.80000000000001</v>
      </c>
      <c r="H28" s="18">
        <v>653.9</v>
      </c>
      <c r="I28" s="18">
        <v>184.4</v>
      </c>
      <c r="J28" s="18">
        <v>274.39999999999998</v>
      </c>
      <c r="K28" s="18">
        <v>87.6</v>
      </c>
      <c r="L28" s="18">
        <v>111.1</v>
      </c>
      <c r="M28" s="18"/>
      <c r="N28" s="18"/>
    </row>
    <row r="29" spans="2:14" s="1" customFormat="1" x14ac:dyDescent="0.2">
      <c r="B29" s="1" t="s">
        <v>240</v>
      </c>
      <c r="C29" s="18"/>
      <c r="D29" s="18"/>
      <c r="E29" s="18">
        <f>+E27-E28</f>
        <v>1040.7999999999997</v>
      </c>
      <c r="F29" s="18">
        <f>+F27-F28</f>
        <v>886.39999999999986</v>
      </c>
      <c r="G29" s="18">
        <f>+G27-G28</f>
        <v>961.00000000000068</v>
      </c>
      <c r="H29" s="18">
        <f>+H27-H28</f>
        <v>2616.5</v>
      </c>
      <c r="I29" s="18">
        <f>+I27-I28</f>
        <v>2030.9</v>
      </c>
      <c r="J29" s="18">
        <f>+J27-J28</f>
        <v>2692.6999999999994</v>
      </c>
      <c r="K29" s="18">
        <f>+K27-K28</f>
        <v>1002.0000000000003</v>
      </c>
      <c r="L29" s="18">
        <f>+L27-L28</f>
        <v>1029.3000000000004</v>
      </c>
      <c r="M29" s="18">
        <f>+M27-M28</f>
        <v>2909.9970000000003</v>
      </c>
      <c r="N29" s="18">
        <f>+N27-N28</f>
        <v>2771.3879999999999</v>
      </c>
    </row>
    <row r="30" spans="2:14" x14ac:dyDescent="0.2">
      <c r="B30" s="1" t="s">
        <v>241</v>
      </c>
      <c r="E30" s="19">
        <f>+E29/E31</f>
        <v>9.1378402107111469</v>
      </c>
      <c r="F30" s="19">
        <f>+F29/F31</f>
        <v>7.900178253119428</v>
      </c>
      <c r="G30" s="19">
        <f>+G29/G31</f>
        <v>8.5727029438001843</v>
      </c>
      <c r="H30" s="19">
        <f>+H29/H31</f>
        <v>23.319964349376114</v>
      </c>
      <c r="I30" s="19">
        <f>+I29/I31</f>
        <v>17.830553116769096</v>
      </c>
      <c r="J30" s="19">
        <f>+J29/J31</f>
        <v>23.787102473498226</v>
      </c>
      <c r="K30" s="19">
        <f>+K29/K31</f>
        <v>8.7358326068003507</v>
      </c>
      <c r="L30" s="19">
        <f>+L29/L31</f>
        <v>8.9194107452339715</v>
      </c>
      <c r="M30" s="19">
        <f>+M29/M31</f>
        <v>25.216611785095321</v>
      </c>
      <c r="N30" s="19">
        <f>+N29/N31</f>
        <v>24.015493934142114</v>
      </c>
    </row>
    <row r="31" spans="2:14" s="1" customFormat="1" x14ac:dyDescent="0.2">
      <c r="B31" s="1" t="s">
        <v>46</v>
      </c>
      <c r="C31" s="18"/>
      <c r="D31" s="18"/>
      <c r="E31" s="18">
        <v>113.9</v>
      </c>
      <c r="F31" s="18">
        <v>112.2</v>
      </c>
      <c r="G31" s="18">
        <v>112.1</v>
      </c>
      <c r="H31" s="18">
        <v>112.2</v>
      </c>
      <c r="I31" s="18">
        <v>113.9</v>
      </c>
      <c r="J31" s="18">
        <v>113.2</v>
      </c>
      <c r="K31" s="18">
        <v>114.7</v>
      </c>
      <c r="L31" s="18">
        <v>115.4</v>
      </c>
      <c r="M31" s="18">
        <f>+L31</f>
        <v>115.4</v>
      </c>
      <c r="N31" s="18">
        <f>+M31</f>
        <v>115.4</v>
      </c>
    </row>
    <row r="33" spans="2:15" x14ac:dyDescent="0.2">
      <c r="B33" s="1" t="s">
        <v>258</v>
      </c>
      <c r="I33" s="52">
        <f t="shared" ref="I33:K33" si="11">I19/E19-1</f>
        <v>0.50531868515127765</v>
      </c>
      <c r="J33" s="52">
        <f t="shared" si="11"/>
        <v>1.153106926990477</v>
      </c>
      <c r="K33" s="52">
        <f t="shared" si="11"/>
        <v>0.17241242982525495</v>
      </c>
      <c r="L33" s="52">
        <f>L19/H19-1</f>
        <v>-0.44412010819857162</v>
      </c>
      <c r="M33" s="52">
        <f t="shared" ref="M33:N33" si="12">M19/I19-1</f>
        <v>-6.3590025775435044E-2</v>
      </c>
      <c r="N33" s="52">
        <f t="shared" si="12"/>
        <v>-0.3781036049681914</v>
      </c>
    </row>
    <row r="34" spans="2:15" x14ac:dyDescent="0.2">
      <c r="B34" s="1" t="s">
        <v>259</v>
      </c>
      <c r="I34" s="52">
        <f>I9/E9-1</f>
        <v>0.64675912821964343</v>
      </c>
      <c r="J34" s="52">
        <f t="shared" ref="J34:O34" si="13">J9/F9-1</f>
        <v>0.63323872595395758</v>
      </c>
      <c r="K34" s="52">
        <f t="shared" si="13"/>
        <v>0.72944078947368385</v>
      </c>
      <c r="L34" s="52">
        <f t="shared" si="13"/>
        <v>0.54786383367603375</v>
      </c>
      <c r="M34" s="52">
        <f t="shared" si="13"/>
        <v>0.39999999999999991</v>
      </c>
      <c r="N34" s="52">
        <f t="shared" si="13"/>
        <v>0.39999999999999991</v>
      </c>
      <c r="O34" s="52"/>
    </row>
    <row r="35" spans="2:15" x14ac:dyDescent="0.2">
      <c r="B35" s="1" t="s">
        <v>260</v>
      </c>
      <c r="I35" s="52">
        <f>I13/E13-1</f>
        <v>0.55034495618124213</v>
      </c>
      <c r="J35" s="52">
        <f t="shared" ref="J35:N35" si="14">J13/F13-1</f>
        <v>0.51348122866894186</v>
      </c>
      <c r="K35" s="52">
        <f t="shared" si="14"/>
        <v>0.43352601156069359</v>
      </c>
      <c r="L35" s="52">
        <f t="shared" si="14"/>
        <v>0.39546364242828558</v>
      </c>
      <c r="M35" s="52">
        <f t="shared" si="14"/>
        <v>-1</v>
      </c>
      <c r="N35" s="52">
        <f t="shared" si="14"/>
        <v>-1</v>
      </c>
    </row>
    <row r="37" spans="2:15" x14ac:dyDescent="0.2">
      <c r="B37" s="1" t="s">
        <v>232</v>
      </c>
      <c r="E37" s="52">
        <f t="shared" ref="E37:L37" si="15">+E21/E19</f>
        <v>0.94681314848722642</v>
      </c>
      <c r="F37" s="52">
        <f t="shared" si="15"/>
        <v>0.85237204852806892</v>
      </c>
      <c r="G37" s="52">
        <f t="shared" si="15"/>
        <v>0.87823199177670597</v>
      </c>
      <c r="H37" s="52">
        <f t="shared" si="15"/>
        <v>0.86500476774281432</v>
      </c>
      <c r="I37" s="52">
        <f t="shared" si="15"/>
        <v>0.93512699470010718</v>
      </c>
      <c r="J37" s="52">
        <f t="shared" si="15"/>
        <v>0.85259012420478653</v>
      </c>
      <c r="K37" s="52">
        <f t="shared" si="15"/>
        <v>0.86346315966953291</v>
      </c>
      <c r="L37" s="52">
        <f>+L21/L19</f>
        <v>0.89599159810957474</v>
      </c>
      <c r="M37" s="52">
        <f t="shared" ref="M37:N37" si="16">+M21/M19</f>
        <v>0.9</v>
      </c>
      <c r="N37" s="52">
        <f t="shared" si="16"/>
        <v>0.9</v>
      </c>
    </row>
  </sheetData>
  <hyperlinks>
    <hyperlink ref="A1" location="Main!A1" display="Main" xr:uid="{D2C01981-FEC3-4A39-A852-FDD02C9DCC1E}"/>
  </hyperlink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2A577-FE61-4AC6-8EA6-0BAD78F2F516}">
  <dimension ref="A1:C15"/>
  <sheetViews>
    <sheetView workbookViewId="0"/>
  </sheetViews>
  <sheetFormatPr defaultRowHeight="12.75" x14ac:dyDescent="0.2"/>
  <cols>
    <col min="1" max="1" width="5" style="12" bestFit="1" customWidth="1"/>
    <col min="2" max="2" width="12.85546875" style="12" bestFit="1" customWidth="1"/>
    <col min="3" max="16384" width="9.140625" style="12"/>
  </cols>
  <sheetData>
    <row r="1" spans="1:3" x14ac:dyDescent="0.2">
      <c r="A1" s="16" t="s">
        <v>87</v>
      </c>
    </row>
    <row r="2" spans="1:3" x14ac:dyDescent="0.2">
      <c r="B2" s="12" t="s">
        <v>86</v>
      </c>
      <c r="C2" s="12" t="s">
        <v>210</v>
      </c>
    </row>
    <row r="3" spans="1:3" x14ac:dyDescent="0.2">
      <c r="B3" s="12" t="s">
        <v>84</v>
      </c>
      <c r="C3" s="12" t="s">
        <v>211</v>
      </c>
    </row>
    <row r="4" spans="1:3" x14ac:dyDescent="0.2">
      <c r="B4" s="12" t="s">
        <v>52</v>
      </c>
      <c r="C4" s="12" t="s">
        <v>209</v>
      </c>
    </row>
    <row r="5" spans="1:3" x14ac:dyDescent="0.2">
      <c r="B5" s="12" t="s">
        <v>56</v>
      </c>
      <c r="C5" s="12" t="s">
        <v>208</v>
      </c>
    </row>
    <row r="6" spans="1:3" x14ac:dyDescent="0.2">
      <c r="B6" s="12" t="s">
        <v>54</v>
      </c>
    </row>
    <row r="7" spans="1:3" x14ac:dyDescent="0.2">
      <c r="B7" s="12" t="s">
        <v>53</v>
      </c>
    </row>
    <row r="8" spans="1:3" x14ac:dyDescent="0.2">
      <c r="B8" s="12" t="s">
        <v>142</v>
      </c>
    </row>
    <row r="9" spans="1:3" x14ac:dyDescent="0.2">
      <c r="B9" s="12" t="s">
        <v>74</v>
      </c>
    </row>
    <row r="11" spans="1:3" x14ac:dyDescent="0.2">
      <c r="C11" s="13" t="s">
        <v>207</v>
      </c>
    </row>
    <row r="15" spans="1:3" x14ac:dyDescent="0.2">
      <c r="C15" s="13" t="s">
        <v>206</v>
      </c>
    </row>
  </sheetData>
  <hyperlinks>
    <hyperlink ref="A1" location="Main!A1" display="Main" xr:uid="{7F512D4E-C7B1-4959-AD4C-AD4ABBB4780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D28E7-A294-46A1-850A-3A0B8CF7E06D}">
  <dimension ref="A1:L68"/>
  <sheetViews>
    <sheetView zoomScaleNormal="100" workbookViewId="0">
      <selection activeCell="C54" sqref="C54"/>
    </sheetView>
  </sheetViews>
  <sheetFormatPr defaultRowHeight="12.75" x14ac:dyDescent="0.2"/>
  <cols>
    <col min="1" max="1" width="5" style="2" bestFit="1" customWidth="1"/>
    <col min="2" max="2" width="13.140625" style="2" customWidth="1"/>
    <col min="3" max="6" width="9.140625" style="2"/>
    <col min="7" max="7" width="12.85546875" style="2" bestFit="1" customWidth="1"/>
    <col min="8" max="8" width="9.140625" style="2"/>
    <col min="9" max="9" width="12.7109375" style="2" bestFit="1" customWidth="1"/>
    <col min="10" max="10" width="14.42578125" style="2" bestFit="1" customWidth="1"/>
    <col min="11" max="11" width="12.7109375" style="2" bestFit="1" customWidth="1"/>
    <col min="12" max="16384" width="9.140625" style="2"/>
  </cols>
  <sheetData>
    <row r="1" spans="1:11" x14ac:dyDescent="0.2">
      <c r="A1" s="8" t="s">
        <v>87</v>
      </c>
    </row>
    <row r="2" spans="1:11" x14ac:dyDescent="0.2">
      <c r="B2" s="2" t="s">
        <v>86</v>
      </c>
      <c r="C2" s="2" t="s">
        <v>40</v>
      </c>
    </row>
    <row r="3" spans="1:11" x14ac:dyDescent="0.2">
      <c r="B3" s="2" t="s">
        <v>84</v>
      </c>
      <c r="C3" s="12" t="s">
        <v>146</v>
      </c>
    </row>
    <row r="4" spans="1:11" x14ac:dyDescent="0.2">
      <c r="B4" s="2" t="s">
        <v>52</v>
      </c>
      <c r="C4" s="2" t="s">
        <v>145</v>
      </c>
    </row>
    <row r="5" spans="1:11" x14ac:dyDescent="0.2">
      <c r="B5" s="2" t="s">
        <v>56</v>
      </c>
      <c r="C5" s="2" t="s">
        <v>39</v>
      </c>
    </row>
    <row r="6" spans="1:11" x14ac:dyDescent="0.2">
      <c r="B6" s="2" t="s">
        <v>54</v>
      </c>
      <c r="C6" s="2" t="s">
        <v>144</v>
      </c>
    </row>
    <row r="7" spans="1:11" x14ac:dyDescent="0.2">
      <c r="B7" s="2" t="s">
        <v>53</v>
      </c>
      <c r="C7" s="2" t="s">
        <v>143</v>
      </c>
    </row>
    <row r="8" spans="1:11" x14ac:dyDescent="0.2">
      <c r="B8" s="2" t="s">
        <v>142</v>
      </c>
      <c r="C8" s="2" t="s">
        <v>141</v>
      </c>
    </row>
    <row r="9" spans="1:11" x14ac:dyDescent="0.2">
      <c r="B9" s="2" t="s">
        <v>74</v>
      </c>
      <c r="C9" s="2" t="s">
        <v>140</v>
      </c>
    </row>
    <row r="11" spans="1:11" x14ac:dyDescent="0.2">
      <c r="C11" s="5" t="s">
        <v>139</v>
      </c>
    </row>
    <row r="12" spans="1:11" x14ac:dyDescent="0.2">
      <c r="C12" s="2" t="s">
        <v>138</v>
      </c>
    </row>
    <row r="13" spans="1:11" x14ac:dyDescent="0.2">
      <c r="C13" s="2" t="s">
        <v>132</v>
      </c>
    </row>
    <row r="14" spans="1:11" x14ac:dyDescent="0.2">
      <c r="C14" s="2" t="s">
        <v>131</v>
      </c>
    </row>
    <row r="15" spans="1:11" x14ac:dyDescent="0.2">
      <c r="C15" s="2" t="s">
        <v>130</v>
      </c>
    </row>
    <row r="16" spans="1:11" x14ac:dyDescent="0.2">
      <c r="C16" s="2" t="s">
        <v>129</v>
      </c>
      <c r="H16" s="2" t="s">
        <v>127</v>
      </c>
      <c r="I16" s="2" t="s">
        <v>126</v>
      </c>
      <c r="J16" s="2" t="s">
        <v>124</v>
      </c>
      <c r="K16" s="2" t="s">
        <v>122</v>
      </c>
    </row>
    <row r="17" spans="3:12" x14ac:dyDescent="0.2">
      <c r="C17" s="2" t="s">
        <v>128</v>
      </c>
      <c r="E17" s="11">
        <v>0.93</v>
      </c>
      <c r="G17" s="2" t="s">
        <v>125</v>
      </c>
      <c r="H17" s="9">
        <v>304</v>
      </c>
      <c r="I17" s="9">
        <v>304</v>
      </c>
      <c r="J17" s="9">
        <v>301</v>
      </c>
      <c r="K17" s="9">
        <v>301</v>
      </c>
    </row>
    <row r="18" spans="3:12" x14ac:dyDescent="0.2">
      <c r="C18" s="2" t="s">
        <v>126</v>
      </c>
      <c r="E18" s="11">
        <v>0.96</v>
      </c>
      <c r="G18" s="2" t="s">
        <v>123</v>
      </c>
      <c r="H18" s="9">
        <v>78</v>
      </c>
      <c r="I18" s="9">
        <v>78</v>
      </c>
      <c r="J18" s="9">
        <v>78</v>
      </c>
      <c r="K18" s="9">
        <v>78</v>
      </c>
    </row>
    <row r="19" spans="3:12" x14ac:dyDescent="0.2">
      <c r="C19" s="2" t="s">
        <v>124</v>
      </c>
      <c r="E19" s="11">
        <v>0.91</v>
      </c>
      <c r="G19" s="2" t="s">
        <v>137</v>
      </c>
      <c r="H19" s="9">
        <v>57</v>
      </c>
      <c r="I19" s="9">
        <v>64</v>
      </c>
      <c r="J19" s="9">
        <v>56</v>
      </c>
      <c r="K19" s="9">
        <v>59</v>
      </c>
    </row>
    <row r="20" spans="3:12" x14ac:dyDescent="0.2">
      <c r="C20" s="2" t="s">
        <v>122</v>
      </c>
      <c r="E20" s="11">
        <v>0.91</v>
      </c>
      <c r="G20" s="2" t="s">
        <v>120</v>
      </c>
      <c r="H20" s="9">
        <v>54</v>
      </c>
      <c r="I20" s="9">
        <v>55</v>
      </c>
      <c r="J20" s="9">
        <v>56</v>
      </c>
      <c r="K20" s="9">
        <v>56</v>
      </c>
    </row>
    <row r="21" spans="3:12" x14ac:dyDescent="0.2">
      <c r="G21" s="4" t="s">
        <v>119</v>
      </c>
      <c r="H21" s="10">
        <v>0.94</v>
      </c>
      <c r="I21" s="10">
        <v>0.95</v>
      </c>
      <c r="J21" s="10">
        <v>0.96</v>
      </c>
      <c r="K21" s="10">
        <v>0.96</v>
      </c>
    </row>
    <row r="22" spans="3:12" x14ac:dyDescent="0.2">
      <c r="G22" s="4" t="s">
        <v>118</v>
      </c>
      <c r="H22" s="9">
        <v>8.1</v>
      </c>
      <c r="I22" s="9">
        <v>10.9</v>
      </c>
      <c r="J22" s="9" t="s">
        <v>136</v>
      </c>
      <c r="K22" s="9" t="s">
        <v>135</v>
      </c>
      <c r="L22" s="2" t="s">
        <v>114</v>
      </c>
    </row>
    <row r="23" spans="3:12" x14ac:dyDescent="0.2">
      <c r="G23" s="4" t="s">
        <v>113</v>
      </c>
      <c r="H23" s="9">
        <v>31</v>
      </c>
      <c r="I23" s="9">
        <v>38</v>
      </c>
      <c r="J23" s="9">
        <v>25</v>
      </c>
      <c r="K23" s="9">
        <v>31</v>
      </c>
    </row>
    <row r="24" spans="3:12" x14ac:dyDescent="0.2">
      <c r="H24" s="9"/>
      <c r="I24" s="9"/>
      <c r="J24" s="9"/>
      <c r="K24" s="9"/>
    </row>
    <row r="25" spans="3:12" x14ac:dyDescent="0.2">
      <c r="C25" s="5" t="s">
        <v>134</v>
      </c>
    </row>
    <row r="26" spans="3:12" x14ac:dyDescent="0.2">
      <c r="C26" s="2" t="s">
        <v>133</v>
      </c>
    </row>
    <row r="27" spans="3:12" x14ac:dyDescent="0.2">
      <c r="C27" s="2" t="s">
        <v>132</v>
      </c>
    </row>
    <row r="28" spans="3:12" x14ac:dyDescent="0.2">
      <c r="C28" s="2" t="s">
        <v>131</v>
      </c>
    </row>
    <row r="29" spans="3:12" x14ac:dyDescent="0.2">
      <c r="C29" s="2" t="s">
        <v>130</v>
      </c>
    </row>
    <row r="30" spans="3:12" x14ac:dyDescent="0.2">
      <c r="C30" s="2" t="s">
        <v>129</v>
      </c>
    </row>
    <row r="31" spans="3:12" x14ac:dyDescent="0.2">
      <c r="C31" s="2" t="s">
        <v>128</v>
      </c>
      <c r="E31" s="11">
        <v>0.91</v>
      </c>
      <c r="H31" s="2" t="s">
        <v>127</v>
      </c>
      <c r="I31" s="2" t="s">
        <v>126</v>
      </c>
      <c r="J31" s="2" t="s">
        <v>124</v>
      </c>
      <c r="K31" s="2" t="s">
        <v>122</v>
      </c>
    </row>
    <row r="32" spans="3:12" x14ac:dyDescent="0.2">
      <c r="C32" s="2" t="s">
        <v>126</v>
      </c>
      <c r="E32" s="11">
        <v>0.9</v>
      </c>
      <c r="G32" s="2" t="s">
        <v>125</v>
      </c>
      <c r="H32" s="9">
        <v>291</v>
      </c>
      <c r="I32" s="9">
        <v>309</v>
      </c>
      <c r="J32" s="9">
        <v>296</v>
      </c>
      <c r="K32" s="9">
        <v>306</v>
      </c>
    </row>
    <row r="33" spans="3:12" x14ac:dyDescent="0.2">
      <c r="C33" s="2" t="s">
        <v>124</v>
      </c>
      <c r="E33" s="11">
        <v>0.88</v>
      </c>
      <c r="G33" s="2" t="s">
        <v>123</v>
      </c>
      <c r="H33" s="9">
        <v>73</v>
      </c>
      <c r="I33" s="9">
        <v>74</v>
      </c>
      <c r="J33" s="9">
        <v>75</v>
      </c>
      <c r="K33" s="9">
        <v>74</v>
      </c>
    </row>
    <row r="34" spans="3:12" x14ac:dyDescent="0.2">
      <c r="C34" s="2" t="s">
        <v>122</v>
      </c>
      <c r="E34" s="11">
        <v>0.91</v>
      </c>
      <c r="G34" s="2" t="s">
        <v>121</v>
      </c>
      <c r="H34" s="9">
        <v>58</v>
      </c>
      <c r="I34" s="9">
        <v>57</v>
      </c>
      <c r="J34" s="9">
        <v>50</v>
      </c>
      <c r="K34" s="9">
        <v>57</v>
      </c>
    </row>
    <row r="35" spans="3:12" x14ac:dyDescent="0.2">
      <c r="G35" s="2" t="s">
        <v>120</v>
      </c>
      <c r="H35" s="9">
        <v>54</v>
      </c>
      <c r="I35" s="9">
        <v>53</v>
      </c>
      <c r="J35" s="9">
        <v>52</v>
      </c>
      <c r="K35" s="9">
        <v>52</v>
      </c>
    </row>
    <row r="36" spans="3:12" x14ac:dyDescent="0.2">
      <c r="G36" s="4" t="s">
        <v>119</v>
      </c>
      <c r="H36" s="10">
        <v>0.94</v>
      </c>
      <c r="I36" s="10">
        <v>0.95</v>
      </c>
      <c r="J36" s="10">
        <v>0.96</v>
      </c>
      <c r="K36" s="10">
        <v>0.96</v>
      </c>
    </row>
    <row r="37" spans="3:12" x14ac:dyDescent="0.2">
      <c r="G37" s="4" t="s">
        <v>118</v>
      </c>
      <c r="H37" s="9">
        <v>9.4</v>
      </c>
      <c r="I37" s="9" t="s">
        <v>117</v>
      </c>
      <c r="J37" s="9" t="s">
        <v>116</v>
      </c>
      <c r="K37" s="9" t="s">
        <v>115</v>
      </c>
      <c r="L37" s="2" t="s">
        <v>114</v>
      </c>
    </row>
    <row r="38" spans="3:12" x14ac:dyDescent="0.2">
      <c r="G38" s="4" t="s">
        <v>113</v>
      </c>
      <c r="H38" s="9">
        <v>34</v>
      </c>
      <c r="I38" s="9">
        <v>29</v>
      </c>
      <c r="J38" s="9">
        <v>35</v>
      </c>
      <c r="K38" s="9">
        <v>31</v>
      </c>
    </row>
    <row r="39" spans="3:12" x14ac:dyDescent="0.2">
      <c r="G39" s="4"/>
      <c r="H39" s="9"/>
      <c r="I39" s="9"/>
      <c r="J39" s="9"/>
      <c r="K39" s="9"/>
    </row>
    <row r="40" spans="3:12" x14ac:dyDescent="0.2">
      <c r="C40" s="5" t="s">
        <v>112</v>
      </c>
      <c r="G40" s="4"/>
      <c r="H40" s="9"/>
      <c r="I40" s="9"/>
      <c r="J40" s="9"/>
      <c r="K40" s="9"/>
    </row>
    <row r="41" spans="3:12" x14ac:dyDescent="0.2">
      <c r="C41" s="2" t="s">
        <v>111</v>
      </c>
      <c r="G41" s="4"/>
      <c r="H41" s="9"/>
      <c r="I41" s="9"/>
      <c r="J41" s="9"/>
      <c r="K41" s="9"/>
    </row>
    <row r="42" spans="3:12" x14ac:dyDescent="0.2">
      <c r="C42" s="2" t="s">
        <v>110</v>
      </c>
      <c r="G42" s="4"/>
      <c r="H42" s="9"/>
      <c r="I42" s="9"/>
      <c r="J42" s="9"/>
      <c r="K42" s="9"/>
    </row>
    <row r="43" spans="3:12" x14ac:dyDescent="0.2">
      <c r="C43" s="2" t="s">
        <v>109</v>
      </c>
      <c r="G43" s="4"/>
      <c r="H43" s="9"/>
      <c r="I43" s="9"/>
      <c r="J43" s="9"/>
      <c r="K43" s="9"/>
    </row>
    <row r="44" spans="3:12" x14ac:dyDescent="0.2">
      <c r="G44" s="4"/>
      <c r="H44" s="9"/>
      <c r="I44" s="9"/>
      <c r="J44" s="9"/>
      <c r="K44" s="9"/>
    </row>
    <row r="45" spans="3:12" x14ac:dyDescent="0.2">
      <c r="C45" s="5" t="s">
        <v>108</v>
      </c>
      <c r="G45" s="4"/>
      <c r="H45" s="9"/>
      <c r="I45" s="9"/>
      <c r="J45" s="9"/>
      <c r="K45" s="9"/>
    </row>
    <row r="46" spans="3:12" x14ac:dyDescent="0.2">
      <c r="C46" s="2" t="s">
        <v>107</v>
      </c>
      <c r="G46" s="4"/>
      <c r="H46" s="9"/>
      <c r="I46" s="9"/>
      <c r="J46" s="9"/>
      <c r="K46" s="9"/>
    </row>
    <row r="47" spans="3:12" x14ac:dyDescent="0.2">
      <c r="C47" s="2" t="s">
        <v>106</v>
      </c>
      <c r="G47" s="4"/>
      <c r="H47" s="9"/>
      <c r="I47" s="9"/>
      <c r="J47" s="9"/>
      <c r="K47" s="9"/>
    </row>
    <row r="48" spans="3:12" x14ac:dyDescent="0.2">
      <c r="C48" s="2" t="s">
        <v>105</v>
      </c>
      <c r="G48" s="4"/>
      <c r="H48" s="9"/>
      <c r="I48" s="9"/>
      <c r="J48" s="9"/>
      <c r="K48" s="9"/>
    </row>
    <row r="49" spans="3:11" x14ac:dyDescent="0.2">
      <c r="C49" s="2" t="s">
        <v>104</v>
      </c>
      <c r="G49" s="4"/>
      <c r="H49" s="9"/>
      <c r="I49" s="9"/>
      <c r="J49" s="9"/>
      <c r="K49" s="9"/>
    </row>
    <row r="50" spans="3:11" x14ac:dyDescent="0.2">
      <c r="C50" s="2" t="s">
        <v>103</v>
      </c>
      <c r="G50" s="4"/>
      <c r="H50" s="9"/>
      <c r="I50" s="9"/>
      <c r="J50" s="9"/>
      <c r="K50" s="9"/>
    </row>
    <row r="51" spans="3:11" x14ac:dyDescent="0.2">
      <c r="C51" s="2" t="s">
        <v>102</v>
      </c>
      <c r="G51" s="4"/>
      <c r="H51" s="9"/>
      <c r="I51" s="9"/>
      <c r="J51" s="9"/>
      <c r="K51" s="9"/>
    </row>
    <row r="52" spans="3:11" x14ac:dyDescent="0.2">
      <c r="C52" s="2" t="s">
        <v>101</v>
      </c>
      <c r="G52" s="4"/>
      <c r="H52" s="9"/>
      <c r="I52" s="9"/>
      <c r="J52" s="9"/>
      <c r="K52" s="9"/>
    </row>
    <row r="53" spans="3:11" x14ac:dyDescent="0.2">
      <c r="C53" s="2" t="s">
        <v>100</v>
      </c>
      <c r="G53" s="4"/>
      <c r="H53" s="9"/>
      <c r="I53" s="9"/>
      <c r="J53" s="9"/>
      <c r="K53" s="9"/>
    </row>
    <row r="54" spans="3:11" x14ac:dyDescent="0.2">
      <c r="C54" s="2" t="s">
        <v>99</v>
      </c>
      <c r="G54" s="4"/>
      <c r="H54" s="9"/>
      <c r="I54" s="9"/>
      <c r="J54" s="9"/>
      <c r="K54" s="9"/>
    </row>
    <row r="56" spans="3:11" x14ac:dyDescent="0.2">
      <c r="C56" s="5" t="s">
        <v>98</v>
      </c>
    </row>
    <row r="57" spans="3:11" x14ac:dyDescent="0.2">
      <c r="C57" s="2" t="s">
        <v>97</v>
      </c>
    </row>
    <row r="59" spans="3:11" x14ac:dyDescent="0.2">
      <c r="C59" s="5" t="s">
        <v>96</v>
      </c>
    </row>
    <row r="60" spans="3:11" x14ac:dyDescent="0.2">
      <c r="C60" s="2" t="s">
        <v>95</v>
      </c>
    </row>
    <row r="61" spans="3:11" x14ac:dyDescent="0.2">
      <c r="C61" s="2" t="s">
        <v>94</v>
      </c>
    </row>
    <row r="62" spans="3:11" x14ac:dyDescent="0.2">
      <c r="C62" s="2" t="s">
        <v>93</v>
      </c>
    </row>
    <row r="64" spans="3:11" x14ac:dyDescent="0.2">
      <c r="C64" s="2" t="s">
        <v>92</v>
      </c>
    </row>
    <row r="65" spans="3:3" x14ac:dyDescent="0.2">
      <c r="C65" s="2" t="s">
        <v>91</v>
      </c>
    </row>
    <row r="66" spans="3:3" x14ac:dyDescent="0.2">
      <c r="C66" s="2" t="s">
        <v>90</v>
      </c>
    </row>
    <row r="67" spans="3:3" x14ac:dyDescent="0.2">
      <c r="C67" s="2" t="s">
        <v>89</v>
      </c>
    </row>
    <row r="68" spans="3:3" x14ac:dyDescent="0.2">
      <c r="C68" s="2" t="s">
        <v>88</v>
      </c>
    </row>
  </sheetData>
  <hyperlinks>
    <hyperlink ref="A1" location="Main!A1" display="Main" xr:uid="{55DDCF10-B603-4C33-8235-AC36ACB13C73}"/>
  </hyperlink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7B461-B0FA-4F01-9F54-E9771F481DED}">
  <dimension ref="A1:F28"/>
  <sheetViews>
    <sheetView zoomScale="110" zoomScaleNormal="110" workbookViewId="0"/>
  </sheetViews>
  <sheetFormatPr defaultRowHeight="12.75" x14ac:dyDescent="0.2"/>
  <cols>
    <col min="1" max="1" width="5" style="2" bestFit="1" customWidth="1"/>
    <col min="2" max="2" width="12.85546875" style="2" bestFit="1" customWidth="1"/>
    <col min="3" max="4" width="9.140625" style="2"/>
    <col min="5" max="5" width="13.7109375" style="2" bestFit="1" customWidth="1"/>
    <col min="6" max="16384" width="9.140625" style="2"/>
  </cols>
  <sheetData>
    <row r="1" spans="1:4" x14ac:dyDescent="0.2">
      <c r="A1" s="8" t="s">
        <v>87</v>
      </c>
    </row>
    <row r="2" spans="1:4" x14ac:dyDescent="0.2">
      <c r="B2" s="2" t="s">
        <v>86</v>
      </c>
      <c r="C2" s="2" t="s">
        <v>85</v>
      </c>
    </row>
    <row r="3" spans="1:4" x14ac:dyDescent="0.2">
      <c r="B3" s="2" t="s">
        <v>84</v>
      </c>
      <c r="C3" s="2" t="s">
        <v>83</v>
      </c>
    </row>
    <row r="4" spans="1:4" x14ac:dyDescent="0.2">
      <c r="B4" s="2" t="s">
        <v>56</v>
      </c>
      <c r="C4" s="2" t="s">
        <v>82</v>
      </c>
    </row>
    <row r="5" spans="1:4" x14ac:dyDescent="0.2">
      <c r="C5" s="2" t="s">
        <v>81</v>
      </c>
    </row>
    <row r="6" spans="1:4" x14ac:dyDescent="0.2">
      <c r="B6" s="2" t="s">
        <v>52</v>
      </c>
      <c r="C6" s="2" t="s">
        <v>80</v>
      </c>
    </row>
    <row r="7" spans="1:4" x14ac:dyDescent="0.2">
      <c r="C7" s="2" t="s">
        <v>79</v>
      </c>
    </row>
    <row r="8" spans="1:4" x14ac:dyDescent="0.2">
      <c r="C8" s="2" t="s">
        <v>78</v>
      </c>
    </row>
    <row r="9" spans="1:4" x14ac:dyDescent="0.2">
      <c r="C9" s="2" t="s">
        <v>77</v>
      </c>
    </row>
    <row r="10" spans="1:4" x14ac:dyDescent="0.2">
      <c r="C10" s="2" t="s">
        <v>76</v>
      </c>
    </row>
    <row r="11" spans="1:4" x14ac:dyDescent="0.2">
      <c r="C11" s="2" t="s">
        <v>75</v>
      </c>
    </row>
    <row r="12" spans="1:4" x14ac:dyDescent="0.2">
      <c r="B12" s="2" t="s">
        <v>74</v>
      </c>
    </row>
    <row r="13" spans="1:4" x14ac:dyDescent="0.2">
      <c r="C13" s="7" t="s">
        <v>73</v>
      </c>
    </row>
    <row r="14" spans="1:4" x14ac:dyDescent="0.2">
      <c r="C14" s="2" t="s">
        <v>72</v>
      </c>
    </row>
    <row r="15" spans="1:4" x14ac:dyDescent="0.2">
      <c r="D15" s="2" t="s">
        <v>71</v>
      </c>
    </row>
    <row r="16" spans="1:4" x14ac:dyDescent="0.2">
      <c r="C16" s="2" t="s">
        <v>70</v>
      </c>
    </row>
    <row r="17" spans="3:6" x14ac:dyDescent="0.2">
      <c r="D17" s="2" t="s">
        <v>69</v>
      </c>
    </row>
    <row r="18" spans="3:6" x14ac:dyDescent="0.2">
      <c r="C18" s="2" t="s">
        <v>68</v>
      </c>
    </row>
    <row r="19" spans="3:6" x14ac:dyDescent="0.2">
      <c r="D19" s="6" t="s">
        <v>67</v>
      </c>
    </row>
    <row r="21" spans="3:6" x14ac:dyDescent="0.2">
      <c r="C21" s="5" t="s">
        <v>66</v>
      </c>
    </row>
    <row r="22" spans="3:6" x14ac:dyDescent="0.2">
      <c r="C22" s="2" t="s">
        <v>65</v>
      </c>
      <c r="D22" s="3"/>
    </row>
    <row r="23" spans="3:6" x14ac:dyDescent="0.2">
      <c r="D23" s="2" t="s">
        <v>64</v>
      </c>
      <c r="E23" s="2" t="s">
        <v>63</v>
      </c>
      <c r="F23" s="2" t="s">
        <v>62</v>
      </c>
    </row>
    <row r="24" spans="3:6" x14ac:dyDescent="0.2">
      <c r="C24" s="4" t="s">
        <v>61</v>
      </c>
      <c r="D24" s="3">
        <v>1.23</v>
      </c>
      <c r="E24" s="2">
        <v>0.35</v>
      </c>
      <c r="F24" s="2">
        <v>0.34</v>
      </c>
    </row>
    <row r="26" spans="3:6" x14ac:dyDescent="0.2">
      <c r="C26" s="2" t="s">
        <v>60</v>
      </c>
    </row>
    <row r="27" spans="3:6" x14ac:dyDescent="0.2">
      <c r="C27" s="2" t="s">
        <v>59</v>
      </c>
    </row>
    <row r="28" spans="3:6" x14ac:dyDescent="0.2">
      <c r="C28" s="2" t="s">
        <v>58</v>
      </c>
    </row>
  </sheetData>
  <hyperlinks>
    <hyperlink ref="A1" location="Main!A1" display="Main" xr:uid="{3F382476-9EC9-4FBC-B2E6-2DD8F39075F6}"/>
  </hyperlinks>
  <pageMargins left="0.75" right="0.75" top="1" bottom="1" header="0.5" footer="0.5"/>
  <pageSetup orientation="portrait" horizontalDpi="200" verticalDpi="2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3CDFA-6D13-4032-9792-01B88E364A31}">
  <dimension ref="A1:F24"/>
  <sheetViews>
    <sheetView workbookViewId="0">
      <selection activeCell="C4" sqref="C4"/>
    </sheetView>
  </sheetViews>
  <sheetFormatPr defaultRowHeight="12.75" x14ac:dyDescent="0.2"/>
  <cols>
    <col min="1" max="1" width="9.140625" style="12"/>
    <col min="2" max="2" width="17.42578125" style="12" bestFit="1" customWidth="1"/>
    <col min="3" max="3" width="9.140625" style="12"/>
    <col min="4" max="4" width="10.85546875" style="12" bestFit="1" customWidth="1"/>
    <col min="5" max="16384" width="9.140625" style="12"/>
  </cols>
  <sheetData>
    <row r="1" spans="1:6" x14ac:dyDescent="0.2">
      <c r="A1" s="8" t="s">
        <v>87</v>
      </c>
      <c r="B1" s="2"/>
      <c r="C1" s="2"/>
      <c r="D1" s="2"/>
    </row>
    <row r="2" spans="1:6" x14ac:dyDescent="0.2">
      <c r="A2" s="2"/>
      <c r="B2" s="2" t="s">
        <v>86</v>
      </c>
      <c r="C2" s="2" t="s">
        <v>45</v>
      </c>
      <c r="D2" s="2"/>
    </row>
    <row r="3" spans="1:6" x14ac:dyDescent="0.2">
      <c r="A3" s="2"/>
      <c r="B3" s="2" t="s">
        <v>84</v>
      </c>
      <c r="C3" s="12" t="s">
        <v>146</v>
      </c>
      <c r="D3" s="2"/>
    </row>
    <row r="4" spans="1:6" x14ac:dyDescent="0.2">
      <c r="A4" s="2"/>
      <c r="B4" s="2" t="s">
        <v>52</v>
      </c>
      <c r="C4" s="2" t="s">
        <v>164</v>
      </c>
      <c r="D4" s="2"/>
    </row>
    <row r="5" spans="1:6" x14ac:dyDescent="0.2">
      <c r="A5" s="2"/>
      <c r="B5" s="2" t="s">
        <v>56</v>
      </c>
      <c r="C5" s="2" t="s">
        <v>44</v>
      </c>
      <c r="D5" s="2"/>
    </row>
    <row r="6" spans="1:6" x14ac:dyDescent="0.2">
      <c r="A6" s="2"/>
      <c r="B6" s="2" t="s">
        <v>54</v>
      </c>
      <c r="C6" s="2"/>
      <c r="D6" s="2"/>
    </row>
    <row r="7" spans="1:6" x14ac:dyDescent="0.2">
      <c r="A7" s="2"/>
      <c r="B7" s="2" t="s">
        <v>53</v>
      </c>
      <c r="C7" s="2" t="s">
        <v>163</v>
      </c>
      <c r="D7" s="2"/>
    </row>
    <row r="8" spans="1:6" x14ac:dyDescent="0.2">
      <c r="A8" s="2"/>
      <c r="B8" s="2" t="s">
        <v>142</v>
      </c>
      <c r="C8" s="2" t="s">
        <v>162</v>
      </c>
      <c r="D8" s="2"/>
    </row>
    <row r="9" spans="1:6" x14ac:dyDescent="0.2">
      <c r="A9" s="2"/>
      <c r="B9" s="2" t="s">
        <v>74</v>
      </c>
      <c r="C9" s="2"/>
      <c r="D9" s="2"/>
    </row>
    <row r="11" spans="1:6" x14ac:dyDescent="0.2">
      <c r="C11" s="13" t="s">
        <v>161</v>
      </c>
    </row>
    <row r="12" spans="1:6" x14ac:dyDescent="0.2">
      <c r="C12" s="12" t="s">
        <v>160</v>
      </c>
      <c r="E12" s="12" t="s">
        <v>159</v>
      </c>
    </row>
    <row r="13" spans="1:6" x14ac:dyDescent="0.2">
      <c r="C13" s="12" t="s">
        <v>158</v>
      </c>
      <c r="D13" s="12" t="s">
        <v>157</v>
      </c>
      <c r="E13" s="12" t="s">
        <v>156</v>
      </c>
      <c r="F13" s="12" t="s">
        <v>155</v>
      </c>
    </row>
    <row r="14" spans="1:6" x14ac:dyDescent="0.2">
      <c r="B14" s="12" t="s">
        <v>125</v>
      </c>
      <c r="C14" s="12">
        <v>292</v>
      </c>
      <c r="D14" s="12">
        <v>293</v>
      </c>
      <c r="E14" s="12">
        <v>612</v>
      </c>
      <c r="F14" s="12">
        <v>614</v>
      </c>
    </row>
    <row r="15" spans="1:6" x14ac:dyDescent="0.2">
      <c r="B15" s="12" t="s">
        <v>154</v>
      </c>
      <c r="C15" s="14">
        <v>8.5999999999999993E-2</v>
      </c>
      <c r="D15" s="14">
        <v>0.22700000000000001</v>
      </c>
      <c r="E15" s="14">
        <v>0.111</v>
      </c>
      <c r="F15" s="14">
        <v>0.19800000000000001</v>
      </c>
    </row>
    <row r="16" spans="1:6" x14ac:dyDescent="0.2">
      <c r="B16" s="12" t="s">
        <v>153</v>
      </c>
      <c r="C16" s="12">
        <v>4.5</v>
      </c>
      <c r="D16" s="12">
        <v>7.5</v>
      </c>
      <c r="E16" s="12">
        <v>4.7</v>
      </c>
      <c r="F16" s="12">
        <v>6.9</v>
      </c>
    </row>
    <row r="17" spans="2:6" x14ac:dyDescent="0.2">
      <c r="B17" s="12" t="s">
        <v>152</v>
      </c>
      <c r="C17" s="12">
        <v>10.8</v>
      </c>
      <c r="D17" s="12">
        <v>12.9</v>
      </c>
      <c r="E17" s="12">
        <v>12.1</v>
      </c>
      <c r="F17" s="12">
        <v>13.5</v>
      </c>
    </row>
    <row r="19" spans="2:6" x14ac:dyDescent="0.2">
      <c r="C19" s="12" t="s">
        <v>151</v>
      </c>
    </row>
    <row r="20" spans="2:6" x14ac:dyDescent="0.2">
      <c r="C20" s="12" t="s">
        <v>150</v>
      </c>
    </row>
    <row r="22" spans="2:6" x14ac:dyDescent="0.2">
      <c r="C22" s="13" t="s">
        <v>149</v>
      </c>
    </row>
    <row r="23" spans="2:6" x14ac:dyDescent="0.2">
      <c r="C23" s="12" t="s">
        <v>148</v>
      </c>
    </row>
    <row r="24" spans="2:6" x14ac:dyDescent="0.2">
      <c r="C24" s="12" t="s">
        <v>147</v>
      </c>
    </row>
  </sheetData>
  <hyperlinks>
    <hyperlink ref="A1" location="Main!A1" display="Main" xr:uid="{C182237B-2283-4E6B-8D81-C09B2FE4724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35DF0-8027-4157-B016-1C12AF5A0969}">
  <dimension ref="A1:C28"/>
  <sheetViews>
    <sheetView zoomScale="115" zoomScaleNormal="115" workbookViewId="0">
      <selection activeCell="C5" sqref="C5"/>
    </sheetView>
  </sheetViews>
  <sheetFormatPr defaultRowHeight="12.75" x14ac:dyDescent="0.2"/>
  <cols>
    <col min="1" max="1" width="5" style="2" bestFit="1" customWidth="1"/>
    <col min="2" max="2" width="12.42578125" style="2" customWidth="1"/>
    <col min="3" max="16384" width="9.140625" style="2"/>
  </cols>
  <sheetData>
    <row r="1" spans="1:3" x14ac:dyDescent="0.2">
      <c r="A1" s="8" t="s">
        <v>87</v>
      </c>
    </row>
    <row r="2" spans="1:3" x14ac:dyDescent="0.2">
      <c r="B2" s="2" t="s">
        <v>86</v>
      </c>
      <c r="C2" s="2" t="s">
        <v>183</v>
      </c>
    </row>
    <row r="3" spans="1:3" x14ac:dyDescent="0.2">
      <c r="B3" s="2" t="s">
        <v>84</v>
      </c>
      <c r="C3" s="2" t="s">
        <v>182</v>
      </c>
    </row>
    <row r="4" spans="1:3" x14ac:dyDescent="0.2">
      <c r="B4" s="2" t="s">
        <v>56</v>
      </c>
      <c r="C4" s="2" t="s">
        <v>181</v>
      </c>
    </row>
    <row r="5" spans="1:3" x14ac:dyDescent="0.2">
      <c r="B5" s="2" t="s">
        <v>52</v>
      </c>
      <c r="C5" s="2" t="s">
        <v>180</v>
      </c>
    </row>
    <row r="6" spans="1:3" x14ac:dyDescent="0.2">
      <c r="B6" s="2" t="s">
        <v>53</v>
      </c>
      <c r="C6" s="2" t="s">
        <v>179</v>
      </c>
    </row>
    <row r="7" spans="1:3" x14ac:dyDescent="0.2">
      <c r="B7" s="2" t="s">
        <v>74</v>
      </c>
    </row>
    <row r="8" spans="1:3" x14ac:dyDescent="0.2">
      <c r="C8" s="5" t="s">
        <v>178</v>
      </c>
    </row>
    <row r="10" spans="1:3" x14ac:dyDescent="0.2">
      <c r="C10" s="5" t="s">
        <v>177</v>
      </c>
    </row>
    <row r="11" spans="1:3" x14ac:dyDescent="0.2">
      <c r="C11" s="5"/>
    </row>
    <row r="12" spans="1:3" x14ac:dyDescent="0.2">
      <c r="C12" s="5" t="s">
        <v>176</v>
      </c>
    </row>
    <row r="13" spans="1:3" x14ac:dyDescent="0.2">
      <c r="C13" s="5"/>
    </row>
    <row r="14" spans="1:3" x14ac:dyDescent="0.2">
      <c r="C14" s="5" t="s">
        <v>175</v>
      </c>
    </row>
    <row r="16" spans="1:3" x14ac:dyDescent="0.2">
      <c r="C16" s="5" t="s">
        <v>174</v>
      </c>
    </row>
    <row r="17" spans="3:3" x14ac:dyDescent="0.2">
      <c r="C17" s="2" t="s">
        <v>173</v>
      </c>
    </row>
    <row r="18" spans="3:3" x14ac:dyDescent="0.2">
      <c r="C18" s="2" t="s">
        <v>172</v>
      </c>
    </row>
    <row r="20" spans="3:3" x14ac:dyDescent="0.2">
      <c r="C20" s="5" t="s">
        <v>171</v>
      </c>
    </row>
    <row r="21" spans="3:3" x14ac:dyDescent="0.2">
      <c r="C21" s="2" t="s">
        <v>170</v>
      </c>
    </row>
    <row r="22" spans="3:3" x14ac:dyDescent="0.2">
      <c r="C22" s="2" t="s">
        <v>169</v>
      </c>
    </row>
    <row r="24" spans="3:3" x14ac:dyDescent="0.2">
      <c r="C24" s="5" t="s">
        <v>168</v>
      </c>
    </row>
    <row r="25" spans="3:3" x14ac:dyDescent="0.2">
      <c r="C25" s="2" t="s">
        <v>167</v>
      </c>
    </row>
    <row r="27" spans="3:3" x14ac:dyDescent="0.2">
      <c r="C27" s="15" t="s">
        <v>166</v>
      </c>
    </row>
    <row r="28" spans="3:3" x14ac:dyDescent="0.2">
      <c r="C28" s="15" t="s">
        <v>165</v>
      </c>
    </row>
  </sheetData>
  <hyperlinks>
    <hyperlink ref="A1" location="Main!A1" display="Main" xr:uid="{3B461243-A27C-412E-8A2C-014DB1DF39EA}"/>
  </hyperlink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9AEC-5D41-41E2-A738-1BC200DF53F7}">
  <dimension ref="A1:C21"/>
  <sheetViews>
    <sheetView workbookViewId="0">
      <selection activeCell="B2" sqref="B2:B9"/>
    </sheetView>
  </sheetViews>
  <sheetFormatPr defaultRowHeight="12.75" x14ac:dyDescent="0.2"/>
  <cols>
    <col min="1" max="1" width="9.140625" style="12"/>
    <col min="2" max="2" width="12.85546875" style="12" bestFit="1" customWidth="1"/>
    <col min="3" max="16384" width="9.140625" style="12"/>
  </cols>
  <sheetData>
    <row r="1" spans="1:3" x14ac:dyDescent="0.2">
      <c r="A1" s="16" t="s">
        <v>87</v>
      </c>
    </row>
    <row r="2" spans="1:3" x14ac:dyDescent="0.2">
      <c r="B2" s="12" t="s">
        <v>86</v>
      </c>
    </row>
    <row r="3" spans="1:3" x14ac:dyDescent="0.2">
      <c r="B3" s="12" t="s">
        <v>84</v>
      </c>
      <c r="C3" s="12" t="s">
        <v>197</v>
      </c>
    </row>
    <row r="4" spans="1:3" x14ac:dyDescent="0.2">
      <c r="B4" s="12" t="s">
        <v>52</v>
      </c>
      <c r="C4" s="12" t="s">
        <v>196</v>
      </c>
    </row>
    <row r="5" spans="1:3" x14ac:dyDescent="0.2">
      <c r="B5" s="12" t="s">
        <v>56</v>
      </c>
      <c r="C5" s="12" t="s">
        <v>195</v>
      </c>
    </row>
    <row r="6" spans="1:3" x14ac:dyDescent="0.2">
      <c r="B6" s="12" t="s">
        <v>54</v>
      </c>
      <c r="C6" s="12" t="s">
        <v>194</v>
      </c>
    </row>
    <row r="7" spans="1:3" x14ac:dyDescent="0.2">
      <c r="B7" s="12" t="s">
        <v>53</v>
      </c>
      <c r="C7" s="12" t="s">
        <v>21</v>
      </c>
    </row>
    <row r="8" spans="1:3" x14ac:dyDescent="0.2">
      <c r="B8" s="12" t="s">
        <v>142</v>
      </c>
      <c r="C8" s="12" t="s">
        <v>193</v>
      </c>
    </row>
    <row r="9" spans="1:3" x14ac:dyDescent="0.2">
      <c r="B9" s="12" t="s">
        <v>74</v>
      </c>
    </row>
    <row r="10" spans="1:3" x14ac:dyDescent="0.2">
      <c r="C10" s="13" t="s">
        <v>192</v>
      </c>
    </row>
    <row r="13" spans="1:3" x14ac:dyDescent="0.2">
      <c r="C13" s="13" t="s">
        <v>191</v>
      </c>
    </row>
    <row r="14" spans="1:3" x14ac:dyDescent="0.2">
      <c r="C14" s="12" t="s">
        <v>190</v>
      </c>
    </row>
    <row r="15" spans="1:3" x14ac:dyDescent="0.2">
      <c r="C15" s="12" t="s">
        <v>189</v>
      </c>
    </row>
    <row r="16" spans="1:3" x14ac:dyDescent="0.2">
      <c r="C16" s="12" t="s">
        <v>188</v>
      </c>
    </row>
    <row r="17" spans="3:3" x14ac:dyDescent="0.2">
      <c r="C17" s="12" t="s">
        <v>187</v>
      </c>
    </row>
    <row r="19" spans="3:3" x14ac:dyDescent="0.2">
      <c r="C19" s="13" t="s">
        <v>186</v>
      </c>
    </row>
    <row r="20" spans="3:3" x14ac:dyDescent="0.2">
      <c r="C20" s="12" t="s">
        <v>185</v>
      </c>
    </row>
    <row r="21" spans="3:3" x14ac:dyDescent="0.2">
      <c r="C21" s="12" t="s">
        <v>184</v>
      </c>
    </row>
  </sheetData>
  <hyperlinks>
    <hyperlink ref="A1" location="Main!A1" display="Main" xr:uid="{018ACD3C-B36E-4B21-86E9-837BC80B5FD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00FF4-2FBC-49A7-B526-7ABB67AE6974}">
  <dimension ref="A1:C17"/>
  <sheetViews>
    <sheetView workbookViewId="0">
      <selection activeCell="B2" sqref="B2:B9"/>
    </sheetView>
  </sheetViews>
  <sheetFormatPr defaultRowHeight="12.75" x14ac:dyDescent="0.2"/>
  <cols>
    <col min="1" max="1" width="9.140625" style="12"/>
    <col min="2" max="2" width="12.85546875" style="12" bestFit="1" customWidth="1"/>
    <col min="3" max="16384" width="9.140625" style="12"/>
  </cols>
  <sheetData>
    <row r="1" spans="1:3" x14ac:dyDescent="0.2">
      <c r="A1" s="16" t="s">
        <v>87</v>
      </c>
    </row>
    <row r="2" spans="1:3" x14ac:dyDescent="0.2">
      <c r="B2" s="12" t="s">
        <v>86</v>
      </c>
    </row>
    <row r="3" spans="1:3" x14ac:dyDescent="0.2">
      <c r="B3" s="12" t="s">
        <v>84</v>
      </c>
      <c r="C3" s="12" t="s">
        <v>205</v>
      </c>
    </row>
    <row r="4" spans="1:3" x14ac:dyDescent="0.2">
      <c r="B4" s="12" t="s">
        <v>52</v>
      </c>
      <c r="C4" s="12" t="s">
        <v>204</v>
      </c>
    </row>
    <row r="5" spans="1:3" x14ac:dyDescent="0.2">
      <c r="B5" s="12" t="s">
        <v>56</v>
      </c>
      <c r="C5" s="12" t="s">
        <v>203</v>
      </c>
    </row>
    <row r="6" spans="1:3" x14ac:dyDescent="0.2">
      <c r="B6" s="12" t="s">
        <v>54</v>
      </c>
      <c r="C6" s="12" t="s">
        <v>202</v>
      </c>
    </row>
    <row r="7" spans="1:3" x14ac:dyDescent="0.2">
      <c r="B7" s="12" t="s">
        <v>53</v>
      </c>
      <c r="C7" s="12" t="s">
        <v>21</v>
      </c>
    </row>
    <row r="8" spans="1:3" x14ac:dyDescent="0.2">
      <c r="B8" s="12" t="s">
        <v>142</v>
      </c>
    </row>
    <row r="9" spans="1:3" x14ac:dyDescent="0.2">
      <c r="B9" s="12" t="s">
        <v>74</v>
      </c>
    </row>
    <row r="10" spans="1:3" x14ac:dyDescent="0.2">
      <c r="C10" s="13" t="s">
        <v>201</v>
      </c>
    </row>
    <row r="13" spans="1:3" x14ac:dyDescent="0.2">
      <c r="C13" s="13" t="s">
        <v>200</v>
      </c>
    </row>
    <row r="16" spans="1:3" x14ac:dyDescent="0.2">
      <c r="C16" s="13" t="s">
        <v>199</v>
      </c>
    </row>
    <row r="17" spans="3:3" x14ac:dyDescent="0.2">
      <c r="C17" s="12" t="s">
        <v>198</v>
      </c>
    </row>
  </sheetData>
  <hyperlinks>
    <hyperlink ref="A1" location="Main!A1" display="Main" xr:uid="{3A765EE9-AE7C-4B13-9916-378DECED3D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Model</vt:lpstr>
      <vt:lpstr>Dupixent</vt:lpstr>
      <vt:lpstr>Eylea</vt:lpstr>
      <vt:lpstr>Arcalyst</vt:lpstr>
      <vt:lpstr>Zaltrap</vt:lpstr>
      <vt:lpstr>VEGF Trap</vt:lpstr>
      <vt:lpstr>REGN727</vt:lpstr>
      <vt:lpstr>REGN88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2022-08-09T05:58:03Z</dcterms:created>
  <dcterms:modified xsi:type="dcterms:W3CDTF">2022-09-16T10:48:29Z</dcterms:modified>
</cp:coreProperties>
</file>