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7B9C228-C007-421C-8FCF-2775E28E4812}" xr6:coauthVersionLast="47" xr6:coauthVersionMax="47" xr10:uidLastSave="{00000000-0000-0000-0000-000000000000}"/>
  <bookViews>
    <workbookView xWindow="53610" yWindow="6735" windowWidth="24495" windowHeight="13590" activeTab="1" xr2:uid="{79B82797-CA5A-45D2-8A30-BD70659F48DF}"/>
  </bookViews>
  <sheets>
    <sheet name="Main" sheetId="1" r:id="rId1"/>
    <sheet name="Model" sheetId="3" r:id="rId2"/>
    <sheet name="Trikafta" sheetId="9" r:id="rId3"/>
    <sheet name="Orkambi" sheetId="11" r:id="rId4"/>
    <sheet name="Symdeko" sheetId="6" r:id="rId5"/>
    <sheet name="Kalydeco" sheetId="2" r:id="rId6"/>
    <sheet name="CTX001" sheetId="8" r:id="rId7"/>
    <sheet name="VX-880" sheetId="7" r:id="rId8"/>
    <sheet name="VX-121" sheetId="12" r:id="rId9"/>
    <sheet name="VX-548" sheetId="13" r:id="rId10"/>
    <sheet name="inaxaplin" sheetId="10" r:id="rId11"/>
    <sheet name="IP" sheetId="4" r:id="rId12"/>
    <sheet name="Compounds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1" i="3" l="1"/>
  <c r="M29" i="3"/>
  <c r="L29" i="3"/>
  <c r="K29" i="3"/>
  <c r="J29" i="3"/>
  <c r="I29" i="3"/>
  <c r="H29" i="3"/>
  <c r="G29" i="3"/>
  <c r="F29" i="3"/>
  <c r="E29" i="3"/>
  <c r="N29" i="3"/>
  <c r="I27" i="3"/>
  <c r="E30" i="3"/>
  <c r="E28" i="3"/>
  <c r="E20" i="3"/>
  <c r="E18" i="3"/>
  <c r="E15" i="3"/>
  <c r="I24" i="3"/>
  <c r="I20" i="3"/>
  <c r="I15" i="3"/>
  <c r="E13" i="3"/>
  <c r="H20" i="3"/>
  <c r="L20" i="3"/>
  <c r="L18" i="3"/>
  <c r="H15" i="3"/>
  <c r="R13" i="3"/>
  <c r="Q13" i="3"/>
  <c r="P13" i="3"/>
  <c r="O13" i="3"/>
  <c r="AJ4" i="3"/>
  <c r="AK4" i="3" s="1"/>
  <c r="AL4" i="3" s="1"/>
  <c r="AM4" i="3" s="1"/>
  <c r="AN4" i="3" s="1"/>
  <c r="AI5" i="3"/>
  <c r="AJ5" i="3" s="1"/>
  <c r="AK5" i="3" s="1"/>
  <c r="AL5" i="3" s="1"/>
  <c r="AM5" i="3" s="1"/>
  <c r="AN5" i="3" s="1"/>
  <c r="AJ6" i="3"/>
  <c r="AK6" i="3" s="1"/>
  <c r="AL6" i="3" s="1"/>
  <c r="AM6" i="3" s="1"/>
  <c r="AN6" i="3" s="1"/>
  <c r="AG7" i="3"/>
  <c r="AH7" i="3" s="1"/>
  <c r="AI7" i="3" s="1"/>
  <c r="AJ7" i="3" s="1"/>
  <c r="AK7" i="3" s="1"/>
  <c r="AL7" i="3" s="1"/>
  <c r="AM7" i="3" s="1"/>
  <c r="AN7" i="3" s="1"/>
  <c r="K71" i="3"/>
  <c r="K64" i="3"/>
  <c r="K65" i="3" s="1"/>
  <c r="K60" i="3"/>
  <c r="K61" i="3" s="1"/>
  <c r="M25" i="3"/>
  <c r="N25" i="3" s="1"/>
  <c r="K46" i="3"/>
  <c r="K50" i="3" s="1"/>
  <c r="K37" i="3"/>
  <c r="K32" i="3"/>
  <c r="F20" i="3"/>
  <c r="J18" i="3"/>
  <c r="J20" i="3"/>
  <c r="F18" i="3"/>
  <c r="Z18" i="3"/>
  <c r="Y18" i="3"/>
  <c r="Y13" i="3"/>
  <c r="Y15" i="3" s="1"/>
  <c r="Z14" i="3"/>
  <c r="Z12" i="3"/>
  <c r="Z11" i="3"/>
  <c r="Z10" i="3"/>
  <c r="Z9" i="3"/>
  <c r="F13" i="3"/>
  <c r="F15" i="3" s="1"/>
  <c r="F28" i="3" s="1"/>
  <c r="G20" i="3"/>
  <c r="K20" i="3"/>
  <c r="M17" i="3"/>
  <c r="N17" i="3" s="1"/>
  <c r="M12" i="3"/>
  <c r="N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M11" i="3"/>
  <c r="M10" i="3"/>
  <c r="N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M9" i="3"/>
  <c r="N9" i="3" s="1"/>
  <c r="U3" i="3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K18" i="3"/>
  <c r="I18" i="3"/>
  <c r="H18" i="3"/>
  <c r="G18" i="3"/>
  <c r="J13" i="3"/>
  <c r="J15" i="3" s="1"/>
  <c r="I13" i="3"/>
  <c r="H13" i="3"/>
  <c r="G13" i="3"/>
  <c r="G15" i="3" s="1"/>
  <c r="G28" i="3" s="1"/>
  <c r="K13" i="3"/>
  <c r="K15" i="3" s="1"/>
  <c r="K28" i="3" s="1"/>
  <c r="M4" i="1"/>
  <c r="E19" i="3" l="1"/>
  <c r="E21" i="3" s="1"/>
  <c r="E23" i="3" s="1"/>
  <c r="E24" i="3" s="1"/>
  <c r="I28" i="3"/>
  <c r="I19" i="3"/>
  <c r="I21" i="3" s="1"/>
  <c r="I30" i="3" s="1"/>
  <c r="J27" i="3"/>
  <c r="K27" i="3"/>
  <c r="H28" i="3"/>
  <c r="H19" i="3"/>
  <c r="H21" i="3" s="1"/>
  <c r="H30" i="3" s="1"/>
  <c r="AA25" i="3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J19" i="3"/>
  <c r="J21" i="3" s="1"/>
  <c r="J30" i="3" s="1"/>
  <c r="Z13" i="3"/>
  <c r="Z15" i="3" s="1"/>
  <c r="Z28" i="3" s="1"/>
  <c r="K41" i="3"/>
  <c r="K73" i="3"/>
  <c r="I23" i="3"/>
  <c r="AA17" i="3"/>
  <c r="M20" i="3"/>
  <c r="N20" i="3" s="1"/>
  <c r="J28" i="3"/>
  <c r="G19" i="3"/>
  <c r="G21" i="3" s="1"/>
  <c r="G23" i="3" s="1"/>
  <c r="G24" i="3" s="1"/>
  <c r="Y19" i="3"/>
  <c r="M16" i="3"/>
  <c r="F19" i="3"/>
  <c r="F21" i="3" s="1"/>
  <c r="N11" i="3"/>
  <c r="AA11" i="3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M13" i="3"/>
  <c r="M27" i="3" s="1"/>
  <c r="N13" i="3"/>
  <c r="N27" i="3" s="1"/>
  <c r="L13" i="3"/>
  <c r="L27" i="3" s="1"/>
  <c r="AA9" i="3"/>
  <c r="AB9" i="3" s="1"/>
  <c r="K19" i="3"/>
  <c r="K21" i="3" s="1"/>
  <c r="M7" i="1"/>
  <c r="H23" i="3" l="1"/>
  <c r="H24" i="3" s="1"/>
  <c r="AA20" i="3"/>
  <c r="AC9" i="3"/>
  <c r="AB13" i="3"/>
  <c r="G30" i="3"/>
  <c r="Z19" i="3"/>
  <c r="J23" i="3"/>
  <c r="J24" i="3" s="1"/>
  <c r="K30" i="3"/>
  <c r="K23" i="3"/>
  <c r="N16" i="3"/>
  <c r="N18" i="3" s="1"/>
  <c r="M18" i="3"/>
  <c r="L15" i="3"/>
  <c r="L19" i="3" s="1"/>
  <c r="N14" i="3"/>
  <c r="N15" i="3" s="1"/>
  <c r="N28" i="3" s="1"/>
  <c r="M14" i="3"/>
  <c r="M15" i="3" s="1"/>
  <c r="M28" i="3" s="1"/>
  <c r="F30" i="3"/>
  <c r="F23" i="3"/>
  <c r="F24" i="3" s="1"/>
  <c r="AA13" i="3"/>
  <c r="AA16" i="3" l="1"/>
  <c r="AA29" i="3"/>
  <c r="AB16" i="3"/>
  <c r="AB29" i="3" s="1"/>
  <c r="AB14" i="3"/>
  <c r="AB15" i="3" s="1"/>
  <c r="AB28" i="3" s="1"/>
  <c r="AA18" i="3"/>
  <c r="AD9" i="3"/>
  <c r="AC13" i="3"/>
  <c r="L28" i="3"/>
  <c r="L21" i="3"/>
  <c r="M19" i="3"/>
  <c r="M21" i="3" s="1"/>
  <c r="AA14" i="3"/>
  <c r="AA15" i="3" s="1"/>
  <c r="N19" i="3"/>
  <c r="N21" i="3" s="1"/>
  <c r="K52" i="3"/>
  <c r="K24" i="3"/>
  <c r="AC16" i="3" l="1"/>
  <c r="AC29" i="3" s="1"/>
  <c r="AC14" i="3"/>
  <c r="AC15" i="3" s="1"/>
  <c r="AC28" i="3" s="1"/>
  <c r="AE9" i="3"/>
  <c r="AD13" i="3"/>
  <c r="AB18" i="3"/>
  <c r="AB19" i="3" s="1"/>
  <c r="AA28" i="3"/>
  <c r="AA19" i="3"/>
  <c r="AA21" i="3" s="1"/>
  <c r="N23" i="3"/>
  <c r="N24" i="3" s="1"/>
  <c r="N30" i="3"/>
  <c r="M30" i="3"/>
  <c r="M23" i="3"/>
  <c r="M24" i="3" s="1"/>
  <c r="L30" i="3" l="1"/>
  <c r="AA22" i="3"/>
  <c r="AA30" i="3" s="1"/>
  <c r="AD16" i="3"/>
  <c r="AD29" i="3" s="1"/>
  <c r="AD14" i="3"/>
  <c r="AD15" i="3" s="1"/>
  <c r="AD28" i="3" s="1"/>
  <c r="AC18" i="3"/>
  <c r="AC19" i="3" s="1"/>
  <c r="AF9" i="3"/>
  <c r="AE13" i="3"/>
  <c r="L23" i="3"/>
  <c r="AA23" i="3" l="1"/>
  <c r="AA24" i="3" s="1"/>
  <c r="AE16" i="3"/>
  <c r="AE29" i="3" s="1"/>
  <c r="AE14" i="3"/>
  <c r="AE15" i="3" s="1"/>
  <c r="AE28" i="3" s="1"/>
  <c r="AG9" i="3"/>
  <c r="AF13" i="3"/>
  <c r="AD18" i="3"/>
  <c r="AD19" i="3" s="1"/>
  <c r="M32" i="3"/>
  <c r="N32" i="3" s="1"/>
  <c r="AA32" i="3" s="1"/>
  <c r="L24" i="3"/>
  <c r="AB20" i="3" l="1"/>
  <c r="AB21" i="3" s="1"/>
  <c r="AF16" i="3"/>
  <c r="AF29" i="3" s="1"/>
  <c r="AF14" i="3"/>
  <c r="AF15" i="3" s="1"/>
  <c r="AF28" i="3" s="1"/>
  <c r="AE18" i="3"/>
  <c r="AE19" i="3" s="1"/>
  <c r="AH9" i="3"/>
  <c r="AG13" i="3"/>
  <c r="AG16" i="3" l="1"/>
  <c r="AG29" i="3" s="1"/>
  <c r="AG14" i="3"/>
  <c r="AG15" i="3" s="1"/>
  <c r="AG28" i="3" s="1"/>
  <c r="AB22" i="3"/>
  <c r="AB30" i="3" s="1"/>
  <c r="AI9" i="3"/>
  <c r="AH13" i="3"/>
  <c r="AF18" i="3"/>
  <c r="AF19" i="3" s="1"/>
  <c r="AB23" i="3" l="1"/>
  <c r="AB24" i="3"/>
  <c r="AB32" i="3"/>
  <c r="AH14" i="3"/>
  <c r="AH16" i="3"/>
  <c r="AH29" i="3" s="1"/>
  <c r="AH15" i="3"/>
  <c r="AH28" i="3" s="1"/>
  <c r="AG18" i="3"/>
  <c r="AG19" i="3" s="1"/>
  <c r="AJ9" i="3"/>
  <c r="AI13" i="3"/>
  <c r="AI16" i="3" l="1"/>
  <c r="AI29" i="3" s="1"/>
  <c r="AI14" i="3"/>
  <c r="AI15" i="3"/>
  <c r="AI28" i="3" s="1"/>
  <c r="AC20" i="3"/>
  <c r="AC21" i="3" s="1"/>
  <c r="AK9" i="3"/>
  <c r="AJ13" i="3"/>
  <c r="AH18" i="3"/>
  <c r="AH19" i="3" s="1"/>
  <c r="AC22" i="3" l="1"/>
  <c r="AC30" i="3" s="1"/>
  <c r="AJ14" i="3"/>
  <c r="AJ16" i="3"/>
  <c r="AJ29" i="3" s="1"/>
  <c r="AJ15" i="3"/>
  <c r="AJ28" i="3" s="1"/>
  <c r="AI18" i="3"/>
  <c r="AI19" i="3" s="1"/>
  <c r="AL9" i="3"/>
  <c r="AK13" i="3"/>
  <c r="AC23" i="3" l="1"/>
  <c r="AK14" i="3"/>
  <c r="AK16" i="3"/>
  <c r="AK29" i="3" s="1"/>
  <c r="AK15" i="3"/>
  <c r="AK28" i="3" s="1"/>
  <c r="AC24" i="3"/>
  <c r="AC32" i="3"/>
  <c r="AM9" i="3"/>
  <c r="AL13" i="3"/>
  <c r="AJ18" i="3"/>
  <c r="AJ19" i="3" s="1"/>
  <c r="AL16" i="3" l="1"/>
  <c r="AL29" i="3" s="1"/>
  <c r="AL14" i="3"/>
  <c r="AL15" i="3"/>
  <c r="AL28" i="3" s="1"/>
  <c r="AD20" i="3"/>
  <c r="AD21" i="3" s="1"/>
  <c r="AK18" i="3"/>
  <c r="AK19" i="3" s="1"/>
  <c r="AN9" i="3"/>
  <c r="AN13" i="3" s="1"/>
  <c r="AM13" i="3"/>
  <c r="AM14" i="3" l="1"/>
  <c r="AM16" i="3"/>
  <c r="AM29" i="3" s="1"/>
  <c r="AM15" i="3"/>
  <c r="AM28" i="3" s="1"/>
  <c r="AD22" i="3"/>
  <c r="AD30" i="3" s="1"/>
  <c r="AN14" i="3"/>
  <c r="AN15" i="3"/>
  <c r="AN28" i="3" s="1"/>
  <c r="AN16" i="3"/>
  <c r="AN29" i="3" s="1"/>
  <c r="AL18" i="3"/>
  <c r="AL19" i="3" s="1"/>
  <c r="AD23" i="3" l="1"/>
  <c r="AN18" i="3"/>
  <c r="AN19" i="3" s="1"/>
  <c r="AM18" i="3"/>
  <c r="AM19" i="3" s="1"/>
  <c r="AD24" i="3" l="1"/>
  <c r="AD32" i="3"/>
  <c r="AE20" i="3" l="1"/>
  <c r="AE21" i="3" s="1"/>
  <c r="AE22" i="3" l="1"/>
  <c r="AE30" i="3" s="1"/>
  <c r="AE23" i="3" l="1"/>
  <c r="AE24" i="3" s="1"/>
  <c r="AE32" i="3" l="1"/>
  <c r="AF20" i="3" s="1"/>
  <c r="AF21" i="3" s="1"/>
  <c r="AF22" i="3" l="1"/>
  <c r="AF30" i="3" s="1"/>
  <c r="AF23" i="3" l="1"/>
  <c r="AF24" i="3" s="1"/>
  <c r="AF32" i="3" l="1"/>
  <c r="AG20" i="3" s="1"/>
  <c r="AG21" i="3" s="1"/>
  <c r="AG22" i="3" l="1"/>
  <c r="AG30" i="3" s="1"/>
  <c r="AG23" i="3" l="1"/>
  <c r="AG24" i="3"/>
  <c r="AG32" i="3"/>
  <c r="AH20" i="3" l="1"/>
  <c r="AH21" i="3" s="1"/>
  <c r="AH22" i="3" l="1"/>
  <c r="AH30" i="3" s="1"/>
  <c r="AH23" i="3" l="1"/>
  <c r="AH24" i="3"/>
  <c r="AH32" i="3"/>
  <c r="AI20" i="3" l="1"/>
  <c r="AI21" i="3" s="1"/>
  <c r="AI22" i="3" l="1"/>
  <c r="AI30" i="3" s="1"/>
  <c r="AI23" i="3"/>
  <c r="AI24" i="3" l="1"/>
  <c r="AI32" i="3"/>
  <c r="AJ20" i="3" l="1"/>
  <c r="AJ21" i="3" s="1"/>
  <c r="AJ22" i="3" l="1"/>
  <c r="AJ30" i="3" s="1"/>
  <c r="AJ23" i="3"/>
  <c r="AJ24" i="3" l="1"/>
  <c r="AJ32" i="3"/>
  <c r="AK20" i="3" l="1"/>
  <c r="AK21" i="3" s="1"/>
  <c r="AK22" i="3" l="1"/>
  <c r="AK30" i="3" s="1"/>
  <c r="AK23" i="3" l="1"/>
  <c r="AK24" i="3" s="1"/>
  <c r="AK32" i="3"/>
  <c r="AL20" i="3" l="1"/>
  <c r="AL21" i="3" s="1"/>
  <c r="AL22" i="3" l="1"/>
  <c r="AL30" i="3" s="1"/>
  <c r="AL23" i="3" l="1"/>
  <c r="AL24" i="3"/>
  <c r="AL32" i="3"/>
  <c r="AM20" i="3" l="1"/>
  <c r="AM21" i="3" s="1"/>
  <c r="AM22" i="3" l="1"/>
  <c r="AM30" i="3" s="1"/>
  <c r="AM23" i="3"/>
  <c r="AM24" i="3" l="1"/>
  <c r="AM32" i="3"/>
  <c r="AN20" i="3" l="1"/>
  <c r="AN21" i="3" s="1"/>
  <c r="AN22" i="3" l="1"/>
  <c r="AN30" i="3" s="1"/>
  <c r="AN23" i="3"/>
  <c r="AO23" i="3" l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AN24" i="3"/>
  <c r="AN32" i="3"/>
  <c r="BZ23" i="3" l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CK23" i="3" s="1"/>
  <c r="CL23" i="3" s="1"/>
  <c r="CM23" i="3" s="1"/>
  <c r="CN23" i="3" s="1"/>
  <c r="CO23" i="3" s="1"/>
  <c r="CP23" i="3" s="1"/>
  <c r="CQ23" i="3" s="1"/>
  <c r="CR23" i="3" s="1"/>
  <c r="CS23" i="3" s="1"/>
  <c r="CT23" i="3" s="1"/>
  <c r="CU23" i="3" s="1"/>
  <c r="CV23" i="3" s="1"/>
  <c r="CW23" i="3" s="1"/>
  <c r="CX23" i="3" s="1"/>
  <c r="CY23" i="3" s="1"/>
  <c r="CZ23" i="3" s="1"/>
  <c r="DA23" i="3" s="1"/>
  <c r="AQ31" i="3"/>
  <c r="AQ3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tc={40D7F6D4-94FB-41AD-9B66-6EAA39E6AF95}</author>
  </authors>
  <commentList>
    <comment ref="AA13" authorId="0" shapeId="0" xr:uid="{40D7F6D4-94FB-41AD-9B66-6EAA39E6AF9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Q122: reiterates 8.4-8.6B guidance</t>
      </text>
    </comment>
  </commentList>
</comments>
</file>

<file path=xl/sharedStrings.xml><?xml version="1.0" encoding="utf-8"?>
<sst xmlns="http://schemas.openxmlformats.org/spreadsheetml/2006/main" count="468" uniqueCount="310">
  <si>
    <t>Price</t>
  </si>
  <si>
    <t>Shares</t>
  </si>
  <si>
    <t>MC</t>
  </si>
  <si>
    <t>Cash</t>
  </si>
  <si>
    <t>Debt</t>
  </si>
  <si>
    <t>EV</t>
  </si>
  <si>
    <t>Q122</t>
  </si>
  <si>
    <t>Brand</t>
  </si>
  <si>
    <t>Generic</t>
  </si>
  <si>
    <t>Indication</t>
  </si>
  <si>
    <t>MOA</t>
  </si>
  <si>
    <t>Approval</t>
  </si>
  <si>
    <t>IP</t>
  </si>
  <si>
    <t>Kalydeco</t>
  </si>
  <si>
    <t>ivacaftor</t>
  </si>
  <si>
    <t>Cystic Fibrosis</t>
  </si>
  <si>
    <t>Cystic Fibrosis (G551D)</t>
  </si>
  <si>
    <t>CFTR potentiator</t>
  </si>
  <si>
    <t>Economics</t>
  </si>
  <si>
    <t>Mitsubishi Tanabe in Japan?</t>
  </si>
  <si>
    <t>Main</t>
  </si>
  <si>
    <t>Trikafta</t>
  </si>
  <si>
    <t>Symdeko</t>
  </si>
  <si>
    <t>Orkambi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</si>
  <si>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</si>
  <si>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</si>
  <si>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</si>
  <si>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</si>
  <si>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</si>
  <si>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</si>
  <si>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</si>
  <si>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</si>
  <si>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</si>
  <si>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</si>
  <si>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</si>
  <si>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</si>
  <si>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CTX001</t>
  </si>
  <si>
    <t>Phase</t>
  </si>
  <si>
    <t>CRSP</t>
  </si>
  <si>
    <t>CFF/RPRX</t>
  </si>
  <si>
    <t>VX-147</t>
  </si>
  <si>
    <t>APOL1 FSGS</t>
  </si>
  <si>
    <t>II/III</t>
  </si>
  <si>
    <t>SCD/TDT</t>
  </si>
  <si>
    <t>III</t>
  </si>
  <si>
    <t>MRNA</t>
  </si>
  <si>
    <t>IND 2H22</t>
  </si>
  <si>
    <t>VX-121</t>
  </si>
  <si>
    <t>VX-548</t>
  </si>
  <si>
    <t>III in 2H22</t>
  </si>
  <si>
    <t>Pain</t>
  </si>
  <si>
    <t>Nav1.8</t>
  </si>
  <si>
    <t>mRNA</t>
  </si>
  <si>
    <t>CRISPR</t>
  </si>
  <si>
    <t>VX-880</t>
  </si>
  <si>
    <t>T1D</t>
  </si>
  <si>
    <t>cell therapy</t>
  </si>
  <si>
    <t>AAT</t>
  </si>
  <si>
    <t>corrector</t>
  </si>
  <si>
    <t>IND 2022</t>
  </si>
  <si>
    <t>I</t>
  </si>
  <si>
    <t>DMD</t>
  </si>
  <si>
    <t>COGS</t>
  </si>
  <si>
    <t>Gross Profit</t>
  </si>
  <si>
    <t>SG&amp;A</t>
  </si>
  <si>
    <t>R&amp;D</t>
  </si>
  <si>
    <t>OpEx</t>
  </si>
  <si>
    <t>OpInc</t>
  </si>
  <si>
    <t>Patent</t>
  </si>
  <si>
    <t>Crystalline forms of C.sub.21H.sub.22Cl.sub.2N.sub.4O.sub.2</t>
  </si>
  <si>
    <t>Title</t>
  </si>
  <si>
    <t>Assignee</t>
  </si>
  <si>
    <t>Biomed Valley Discoveries, Inc. (Kansas City, MO); Vertex Pharmaceuticals Incorporated (Boston, MA)</t>
  </si>
  <si>
    <t>Inventors</t>
  </si>
  <si>
    <t>DeCrescenzo; Gary (Parkville, MO), Welsch; Dean (Parkville, MO), Vlahova; Petinka I. (West Lafayette, IN), Boerrigter; Stephan X. M. (West Lafayette, IN), Aronov; Alexander (Newton, MA), Keshavarz-Shokri; Ali (San Diego, CA), Scangas; Alexander N. (Wilmington, MA), Stavropoulos; Kathy (Quincy, MA), Littler; Benjamin (Carlsbad, CA), Kadiyala; Irina Nikolaevna (Newton, MA), Alargova; Rossitza Gueorguieva (Brighton, MA)</t>
  </si>
  <si>
    <t>Importance</t>
  </si>
  <si>
    <t>BVD-523</t>
  </si>
  <si>
    <t>ulixertinib</t>
  </si>
  <si>
    <t>ERK</t>
  </si>
  <si>
    <t>Compounds useful as inhibitors of ATR kinase</t>
  </si>
  <si>
    <t>Filed</t>
  </si>
  <si>
    <t>Issued</t>
  </si>
  <si>
    <t>Vertex</t>
  </si>
  <si>
    <t>Ahmad; Nadia (Didcot, GB), Boyall; Dean (Faringdon, GB), Charrier; Jean-Damien (Wantage, GB), Davis; Chris (Salisbury, GB), Davis; Rebecca (Witney, GB), Durrant; Steven (Abingdon, GB), Etxebarria I Jardi; Gorka (Abingdon, GB), Fraysse; Damien (Abingdon, GB), Jimenez; Juan-Miguel (Abingdon, GB), Kay; David (Purton, GB), Knegtel; Ronald (Abingdon, GB), Middleton; Donald (Sandwich, GB), O'Donnell; Michael (Abingdon, GB), Panesar; Maninder (Didcot, GB), Pierard; Francoise (Abingdon, GB), Pinder; Joanne (Didcot, GB), Shaw; David (Oxford, GB), Storck; Pierre-Henri (Abingdon, GB), Studley; John (Witney, GB), Twin; Heather (Wantage, GB)</t>
  </si>
  <si>
    <t>Notes</t>
  </si>
  <si>
    <t>Outlicensed ERK inhibitor</t>
  </si>
  <si>
    <t>ATR inhibitor</t>
  </si>
  <si>
    <t>Materials and methods for treatment of Duchenne Muscular Dystrophy</t>
  </si>
  <si>
    <t>Kabadi; Ami Meda (Cambridge, MA), Cowan; Chad Albert (Cambridge, MA), Lundberg; Ante Sven (Cambridge, MA)</t>
  </si>
  <si>
    <t>2016?! CRISPR patent</t>
  </si>
  <si>
    <t>Deuterated pyridone amides and prodrugs thereof as modulators of sodium channels</t>
  </si>
  <si>
    <t>Jiang; Licong (San Diego, CA), Hadida Ruah; Sara Sabina (La Jolla, CA)</t>
  </si>
  <si>
    <t>Tanoury; Gerald J. (Marlborough, MA), Nugent; William Aloysius (Manomet, MA), Dvornikovs; Vadims (Lancaster, MA), Rose; Peter Jamison (Littleton, MA)</t>
  </si>
  <si>
    <t>Methods of preparing inhibitors of influenza viruses replication</t>
  </si>
  <si>
    <t>Why still filing on this post sale to JNJ?</t>
  </si>
  <si>
    <t>Solid forms of n-[2,4-bis(1,1-dimethylethyl)-5-hydroxyphenyl]-1,4-dihydro-4-oxoquinoline- -3-carboxamide</t>
  </si>
  <si>
    <t xml:space="preserve">	Hurter; Patricia (Harvard, MA), Rowe; William (Medford, MA), Young; Christopher R. (Waltham, MA), Costache; Adriana (Cambridge, MA), Connelly; Patrick R. (Harvard, MA), Krawiec; Mariusz (Marlborough, MA), Gong; Yuchuan (Waukegan, IL), Feng; Yushi (Zionsville, IN), Trudeau; Martin (Shannon, CA)</t>
  </si>
  <si>
    <t>Molecule</t>
  </si>
  <si>
    <t>N-[2,4-bis(1,1-dimethylethyl)-5-hydroxyphenyl]-1,4-dihydro-4-oxoquinoline-3-carboxamide</t>
  </si>
  <si>
    <t>Materials and methods for treatment of hemoglobinopathies</t>
  </si>
  <si>
    <t>Chakraborty; Tirtha (Cambridge, MA), Mishra; Bibhu Prasad (Wakefield, MA)</t>
  </si>
  <si>
    <t>CRISPR for HbF; where is CRSP?</t>
  </si>
  <si>
    <t>Methods of treatment for cystic fibrosis</t>
  </si>
  <si>
    <t>Chen; Weichao George (San Diego, CA), Haseltine; Eric L. (Melrose, MA), Moskowitz; Samuel (Waban, MA), Robertson; Sarah (Somerville, MA), Waltz; David (Waban, MA)</t>
  </si>
  <si>
    <t>telaprevir</t>
  </si>
  <si>
    <t>HCV</t>
  </si>
  <si>
    <t>Protease Inhibitor</t>
  </si>
  <si>
    <t>Incivek, aka Incivo, aka Telavic</t>
  </si>
  <si>
    <t>Approved</t>
  </si>
  <si>
    <t>VX-222</t>
  </si>
  <si>
    <t>Non-Nucleoside Polymerase Inhibitor</t>
  </si>
  <si>
    <t>II</t>
  </si>
  <si>
    <t>ALS-2158</t>
  </si>
  <si>
    <t>ALS-2200</t>
  </si>
  <si>
    <t>NS5B Polymerase Inhibitor</t>
  </si>
  <si>
    <t>Oncology</t>
  </si>
  <si>
    <t>lumacaftor</t>
  </si>
  <si>
    <t>Orkambi, fka VX-809</t>
  </si>
  <si>
    <t>CFTR corrector</t>
  </si>
  <si>
    <t>lumacaftor/ivacaftor</t>
  </si>
  <si>
    <t>tezacaftor</t>
  </si>
  <si>
    <t>Symdeko, Trikafta, VX-661</t>
  </si>
  <si>
    <t>elexacaftor</t>
  </si>
  <si>
    <t>tezacaftor/ivacaftor</t>
  </si>
  <si>
    <t>elexacaftor/ivacaftor/tezacaftor</t>
  </si>
  <si>
    <t>Regulatory</t>
  </si>
  <si>
    <t>Interest</t>
  </si>
  <si>
    <t>Pretax</t>
  </si>
  <si>
    <t>Taxes</t>
  </si>
  <si>
    <t>Net Income</t>
  </si>
  <si>
    <t>EPS</t>
  </si>
  <si>
    <t>VERV</t>
  </si>
  <si>
    <t>Liver Disease</t>
  </si>
  <si>
    <t>7/20/22: Verve collaboration for liver disease. $25m upfront.</t>
  </si>
  <si>
    <t>7/18/22: Q2 earnings date.</t>
  </si>
  <si>
    <t>8/4/22: Q2 earnings date.</t>
  </si>
  <si>
    <t>7/11/22: To acquire Viacyte for $320m.</t>
  </si>
  <si>
    <t>Type 1 Diabetes</t>
  </si>
  <si>
    <t>stem cell-derived, fully differentiated pancreatic islet cell replacement therapy</t>
  </si>
  <si>
    <t>Administration</t>
  </si>
  <si>
    <t>infusion into hepatic portal vein with immunosuppression</t>
  </si>
  <si>
    <t>Clinical Trials</t>
  </si>
  <si>
    <t>Phase I/II n=17 single-arm, open-label</t>
  </si>
  <si>
    <t>Part B n=5</t>
  </si>
  <si>
    <t>Part C n=10</t>
  </si>
  <si>
    <t>7/5/22: VX-880 clinical hold lifted.</t>
  </si>
  <si>
    <t>6/11/22: EHA Congress CTX001 data</t>
  </si>
  <si>
    <t>exa-cel, exagamglogene autotemcel</t>
  </si>
  <si>
    <t>beta-thalassemia, sickle cell disease</t>
  </si>
  <si>
    <t>myeloablative conditioning followed by autologous SCT</t>
  </si>
  <si>
    <t xml:space="preserve">    2/44 had -75% and -98% reductions in transfusion volume</t>
  </si>
  <si>
    <t xml:space="preserve">  Increases in HbF, mean Hb &gt;11g/dL by month 3</t>
  </si>
  <si>
    <t xml:space="preserve">  31/31 SCD free from VOCs from 2.0-32.3mo follow-up</t>
  </si>
  <si>
    <t xml:space="preserve">  42/44 TDT transfusion-free, 1.2-37.2mo follow-up</t>
  </si>
  <si>
    <t xml:space="preserve">    two unrelated SAEs</t>
  </si>
  <si>
    <t>CMO: Carmen Bozic</t>
  </si>
  <si>
    <t>EHA2022 update n=44 TDT, n=31 SCD #LB2367</t>
  </si>
  <si>
    <t>Phase I "CLIMB-131" long-term follow-up</t>
  </si>
  <si>
    <t>Phase I/III "CLIMB-121"</t>
  </si>
  <si>
    <t>Phase I/III "CLIMB-111"</t>
  </si>
  <si>
    <t>Phase III component fully enrolled</t>
  </si>
  <si>
    <t>Phase III "CLIMB-141" n=12 pediatric TDT</t>
  </si>
  <si>
    <t>Phase III "CLIMB-151" n=12 pediatric SCD</t>
  </si>
  <si>
    <t>6/10/22: EU CF Conference presentation for Trikafta</t>
  </si>
  <si>
    <t>83,000 CF WW</t>
  </si>
  <si>
    <t>elexacaftor, tezacaftor, ivacaftor</t>
  </si>
  <si>
    <t>6/8/22: investor conference</t>
  </si>
  <si>
    <t>inaxaplin</t>
  </si>
  <si>
    <t>6/8/22: inaxaplin FTD &amp; PRIME designation</t>
  </si>
  <si>
    <t>APOL1-mediated kidney disease, 100k patients US+EU</t>
  </si>
  <si>
    <t>Founded: 1989</t>
  </si>
  <si>
    <t>exagamglogene autotemcel</t>
  </si>
  <si>
    <t>6/6/22: VX-880 data at ADA</t>
  </si>
  <si>
    <t>Part A n=2 half dose</t>
  </si>
  <si>
    <t xml:space="preserve">  P2 35.9% time-in-range to 51.9% with -30% insulin use at day 150</t>
  </si>
  <si>
    <t xml:space="preserve">  P1 40.1% time-in-range to 99.9% with insulin independence at day 270</t>
  </si>
  <si>
    <t>Cell &amp; Genetic Therapies: Bastiano Sanna</t>
  </si>
  <si>
    <t>cell therapy+device</t>
  </si>
  <si>
    <t>6/2/22: CTX001 latebreaker accepted at EHA</t>
  </si>
  <si>
    <t>https://library.ehaweb.org/eha/#!*menu=16*browseby=9*sortby=1*trend=4016</t>
  </si>
  <si>
    <t>5/31/22: VX-880 data to be presented at ADA</t>
  </si>
  <si>
    <t>5/18/22: BOD addition</t>
  </si>
  <si>
    <t>5/17/22: Headquarters expansion</t>
  </si>
  <si>
    <t>5/17/22: Health equity donations</t>
  </si>
  <si>
    <t>5/5/22: Q1 results</t>
  </si>
  <si>
    <t>Gross Margin</t>
  </si>
  <si>
    <t>CEO: Reshma Kewalramani</t>
  </si>
  <si>
    <t>Expanded in children 6-11 years old 6/21</t>
  </si>
  <si>
    <t>Tax Rate</t>
  </si>
  <si>
    <t>Canada</t>
  </si>
  <si>
    <t>MA granted for 6-11yo</t>
  </si>
  <si>
    <t>Australia</t>
  </si>
  <si>
    <t>signed reimbursement agreement with PBS</t>
  </si>
  <si>
    <t>Phase III 2-5yo</t>
  </si>
  <si>
    <t>sNDA by YE22</t>
  </si>
  <si>
    <t>Filed sNDA for 12-24 months old</t>
  </si>
  <si>
    <t>EMA</t>
  </si>
  <si>
    <t>6-11yo label approved</t>
  </si>
  <si>
    <t>UK</t>
  </si>
  <si>
    <t>Reimbursed</t>
  </si>
  <si>
    <t>25 countries approved/reimbursed as of Q122.</t>
  </si>
  <si>
    <t>Phase III "SKYLINE 102"</t>
  </si>
  <si>
    <t>Phase III "SKYLINE 103"</t>
  </si>
  <si>
    <t>VX-121/tezacaftor/VX-561 vs. Trikafta</t>
  </si>
  <si>
    <t>VX-561</t>
  </si>
  <si>
    <t>deutivacaftor</t>
  </si>
  <si>
    <t>deuterated ivacaftor</t>
  </si>
  <si>
    <t>non-viral ex vivo transfection</t>
  </si>
  <si>
    <t>plans submissions in late 2022</t>
  </si>
  <si>
    <t>APOL1 inhibitor</t>
  </si>
  <si>
    <t>Sulfonamides as modulators of sodium channels</t>
  </si>
  <si>
    <t>Hadida-Ruah; Sara Sabina (LaJolla, CA), Anderson; Corey (San Diego, CA), Termin; Andreas P. (Encinitas, CA), Bear; Brian Richard (Carlsbad, CA), Arumugam; Vijayalaksmi (San Marcos, CA), Krenitsky; Paul (San Diego, CA), Johnson; James Philip (San Diego, CA)</t>
  </si>
  <si>
    <t>Modulator of cystic fibrosis transmembrane conductance regulator, pharmaceutical compositions, methods of treatment, and process for making the modulator</t>
  </si>
  <si>
    <t>Alcacio; Timothy (San Diego, CA), Baek; Minson (San Diego, CA), Grootenhuis; Peter (Del Mar, CA), Hadida Ruah; Sara Sabina (La Jolla, CA), Hughes; Robert M. (San Diego, CA), Keshavarz-Shokri; Ali (San Diego, CA), McAuley-Aoki; Rachel (San Diego, CA), McCartney; Jason (Cardiff by the Sea, CA), Miller; Mark Thomas (San Diego, CA), Van Goor; Fredrick (San Diego, CA), Zhang; Beili (San Diego, CA), Anderson; Corey (San Diego, CA), Cleveland; Thomas (San Marcos, CA), Frieman; Bryan A. (La Jolla, CA), Khatuya; Haripada (San Diego, CA), Joshi; Pramod Virupax (San Diego, CA), Krenitsky; Paul John (San Diego, CA), Melillo; Vito (Escondido, CA), Pierre; Fabrice Jean Denis (La Jolla, CA), Termin; Andreas P. (Encinitas, CA), Uy; Johnny (San Diego, CA), Zhou; Jinglan (San Diego, CA), Abela; Alexander Russell (San Diego, CA), Busch; Brett Bradley (San Diego, CA), Paraselli; Prasuna (San Diego, CA)</t>
  </si>
  <si>
    <t>CFTR</t>
  </si>
  <si>
    <t>Method for treating cancer using a combination of Chk1 and ATR inhibitors</t>
  </si>
  <si>
    <t>Helleday; Thomas (Stockholm, SE), Sanjiv; Kumar (Stockholm, SE)</t>
  </si>
  <si>
    <t>ATR/Chk1 MOU</t>
  </si>
  <si>
    <t>Pharmaceutical compositions for treating cystic fibrosis</t>
  </si>
  <si>
    <t xml:space="preserve">	Chu; Cathy (Cambridge, MA), Dhamankar; Varsha (Watertown, MA), Dokou; Eleni (Cambridge, MA), Haseltine; Eric L. (Melrose, MA), Moskowitz; Samuel (Waban, MA), Robertson; Sarah (Somerville, MA), Waltz; David (Waban, MA), Chen; Weichao George (San Diego, CA)</t>
  </si>
  <si>
    <t>Formulation</t>
  </si>
  <si>
    <t>Crystalline forms and compositions of CFTR modulators</t>
  </si>
  <si>
    <t>Dhamankar; Varsha (Watertown, MA), Dinehart; Kirk Raymond (Holliston, MA), Dokou; Eleni (Newton, MA), Ferris; Lori Ann (Wilmington, MA), Gopinathan; Nishanth (Lynnfield, MA), McCarty; Katie (Watertown, MA), Metzler; Catherine (Medford, MA), Zhang; Beili (San Diego, CA), Moskowitz; Samuel (Waban, MA), Robertson; Sarah (Somerville, MA), Waltz; David (Waban, MA), Haseltine; Eric L. (Melrose, MA), Chen; Weichao George (San Diego, CA)</t>
  </si>
  <si>
    <t>Crystal</t>
  </si>
  <si>
    <t>Pharmaceutical composition and administrations thereof</t>
  </si>
  <si>
    <t>Dokou; Eleni (Cambridge, MA), Jamzad; Shahla (Belmont, MA), Caesar, Jr.; John P. (Lancaster, MA), Fawaz; Majed (Foxboro, MA), Das; Laura (Charlestown, MA), Gu; Chong-Hui (Waban, MA), Hurter; Patricia Nell (Harvard, MA), Israni; Meghna Jai (Boston, MA), Johnston; Meghan M. (Wakefield, MA), Knezic; Dragutin (Watertown, MA), Kuzmission; Andrew G. (Shrewsbury, MA), Wang; Hongren (Lexington, MA)</t>
  </si>
  <si>
    <t>Methods, compositions and kits for increasing genome editing efficiency</t>
  </si>
  <si>
    <t>Abdul-Manan; Norzehan (Boston, MA), Newsome; David A. (Boston, MA), Zwahlen; Jacque (Boston, MA)</t>
  </si>
  <si>
    <t>DNAPK inhibitor to increase CRISPR efficiency</t>
  </si>
  <si>
    <t>Method for treating cancer using a combination of DNA-damaging agents and DNA-PK inhibitors</t>
  </si>
  <si>
    <t>Boucher; Diane M. (Boston, MA), Hillier; Shawn M. (Boston, MA), Tsai; Wanjung (Boston, MA), Hare; Brian (Boston, MA), Markland; William (Boston, MA), Newsome; David A. (Boston, MA), Penney; Marina S. (Boston, MA)</t>
  </si>
  <si>
    <t>Compounds useful as inhibitors of ATR kinase and combination therapies thereof</t>
  </si>
  <si>
    <t>Pollard; John Robert (Abingdon, GB), Reaper; Philip Michael (Abingdon, GB), Asmal; Mohammed (Newton, MA)</t>
  </si>
  <si>
    <t>Modulators of ATP-binding cassette transporters</t>
  </si>
  <si>
    <t>Hadida Ruah; Sara S. (La Jolla, CA), Hamilton; Matthew M. (Hackettstown, NJ), Miller; Mark (San Diego, CA), Grootenhuis; Peter D. J. (San Diego, CA)</t>
  </si>
  <si>
    <t xml:space="preserve">	Clemens; Jeremy J. (San Diego, CA), Abela; Alexander Russell (Escondido, CA), Anderson; Corey Don (San Diego, CA), Busch; Brett B. (San Diego, CA), Chen; Weichao George (San Diego, CA), Cleveland; Thomas (San Marcos, CA), Coon; Timothy Richard (Carlsbad, CA), Frieman; Bryan (La Jolla, CA), Ghirmai; Senait G. (San Diego, CA), Grootenhuis; Peter (Del Mar, CA), Gulevich; Anton V. (San Diego, CA), Hadida Ruah; Sara Sabina (La Jolla, CA), Hsia; Clara Kuang-Ju (San Diego, CA), Kang; Ping (San Diego, CA), Khatuya; Haripada (San Diego, CA), McCartney; Jason (Cardiff by the Sea, CA), Miller; Mark Thomas (San Diego, CA), Paraselli; Prasuna (San Diego, CA), Pierre; Fabrice (La Jolla, CA), Swift; Sara E. (San Diego, CA), Termin; Andreas (Encinitas, CA), Uy; Johnny (San Diego, CA), Vogel; Carl V. (Carlsbad, CA), Zhou; Jinglan (San Diego, CA)</t>
  </si>
  <si>
    <t>Modulators of cystic fibrosis transmembrane conductance regulator, pharmaceutical compositions, methods of treatment, and process for making the modulators</t>
  </si>
  <si>
    <t>Pteridinone compounds and uses thereof</t>
  </si>
  <si>
    <t xml:space="preserve">	Lauffer; David J. (Stow, MA), Bemis; Guy (Boston, MA), Boyd; Michael (Boston, MA), Deininger; David (Boston, MA), Deng; Hongbo (Southborough, MA), Dorsch; Warren (Boston, MA), Gu; Wenxin (Concord, MA), Hoover; Russell R. (Harvard, MA), Johnson, Jr.; Mac Arthur (Derry, NH), Ledeboer; Mark Willem (Boston, MA), Ledford; Brian (Boston, MA), Maltais; Francois (Boston, MA), Penney; Marina (Acton, MA), Takemoto; Darin (Belmont, MA), Waal; Nathan D. (Cambridge, MA), Wang; Tiansheng (Concord, MA), Li; Pan (Lexington, MA)</t>
  </si>
  <si>
    <t>WFS1 inhibitor</t>
  </si>
  <si>
    <t>Pharmaceutical compositions of 3-(6-(1-(2,2-difluorobenzo[d][1,3]dioxol-5-yl) cyclopropanecarboxamido)-3-methylpyridin-2-yl) benzoic acid and administration thereof</t>
  </si>
  <si>
    <t>Verwijs; Marinus Jacobus (Framingham, MA), Alargova; Rossitza Gueorguieva (Brighton, MA), Kaushik; Ritu Rohit (Long Island City, NY), Kadiyala; Irina Nikolaevna (Newton, MA), Young; Christopher (Waltham, MA)</t>
  </si>
  <si>
    <t>Phase II/III n=400 proteinuric kidney disease with two APOL1 mutations</t>
  </si>
  <si>
    <t>PE of Phase III portion is 2 year eGFR slope</t>
  </si>
  <si>
    <t>IND-enabling</t>
  </si>
  <si>
    <t>4/21/22: Q1 results day.</t>
  </si>
  <si>
    <t>4/20/22: Health Canada Trikafta approval for 6-11yo</t>
  </si>
  <si>
    <t>Dosing</t>
  </si>
  <si>
    <t>Placebo</t>
  </si>
  <si>
    <t>SPID48 change from baseline</t>
  </si>
  <si>
    <t>100mg first dose/50mg q12h</t>
  </si>
  <si>
    <t>Loading dose with q12h thereafter</t>
  </si>
  <si>
    <t>60mg first dose/30mg q12h</t>
  </si>
  <si>
    <t>20mg first dose/10mg q12h</t>
  </si>
  <si>
    <t>hydrocodone</t>
  </si>
  <si>
    <t>p=0.0251</t>
  </si>
  <si>
    <t>p=NS</t>
  </si>
  <si>
    <t>Phase II n=303 dose-ranging abdominoplasty</t>
  </si>
  <si>
    <t>Phase II n=274 dose-ranging bunionectomy</t>
  </si>
  <si>
    <t>p=0.0097</t>
  </si>
  <si>
    <t>3/31/22: VX-548 Phase II data</t>
  </si>
  <si>
    <t>3/26/22: Australia Trikafta reimbursement agreement</t>
  </si>
  <si>
    <t>3/22/22: VX-147 Phase II/III initiation</t>
  </si>
  <si>
    <t>interim analysis at 1 year</t>
  </si>
  <si>
    <t>3/1/22: investor conference</t>
  </si>
  <si>
    <t>1/26/22: Q421 results</t>
  </si>
  <si>
    <t>VX-150</t>
  </si>
  <si>
    <t>Discontinued?</t>
  </si>
  <si>
    <t>Assets</t>
  </si>
  <si>
    <t>AR</t>
  </si>
  <si>
    <t>Inventory</t>
  </si>
  <si>
    <t>Prepaids</t>
  </si>
  <si>
    <t>PP&amp;E</t>
  </si>
  <si>
    <t>Goodwill</t>
  </si>
  <si>
    <t>Leases</t>
  </si>
  <si>
    <t>Other</t>
  </si>
  <si>
    <t>AP</t>
  </si>
  <si>
    <t>AE</t>
  </si>
  <si>
    <t>OCL</t>
  </si>
  <si>
    <t>CoCo</t>
  </si>
  <si>
    <t>LTL</t>
  </si>
  <si>
    <t>L+SE</t>
  </si>
  <si>
    <t>SE</t>
  </si>
  <si>
    <t>Model NI</t>
  </si>
  <si>
    <t>Reported NI</t>
  </si>
  <si>
    <t>SBC</t>
  </si>
  <si>
    <t>Depreciation</t>
  </si>
  <si>
    <t>Equity</t>
  </si>
  <si>
    <t>NonCash</t>
  </si>
  <si>
    <t>WC</t>
  </si>
  <si>
    <t>CapEx</t>
  </si>
  <si>
    <t>Investments</t>
  </si>
  <si>
    <t>CFFI</t>
  </si>
  <si>
    <t>CFFO</t>
  </si>
  <si>
    <t>CIC</t>
  </si>
  <si>
    <t>FX</t>
  </si>
  <si>
    <t>CFFF</t>
  </si>
  <si>
    <t>ESOP issuance</t>
  </si>
  <si>
    <t>ESOP tax</t>
  </si>
  <si>
    <t>SG&amp;A %</t>
  </si>
  <si>
    <t>ROIC</t>
  </si>
  <si>
    <t>Discount</t>
  </si>
  <si>
    <t>NPV</t>
  </si>
  <si>
    <t>Terminal</t>
  </si>
  <si>
    <t>Share</t>
  </si>
  <si>
    <t>Q123</t>
  </si>
  <si>
    <t>Q223</t>
  </si>
  <si>
    <t>Q323</t>
  </si>
  <si>
    <t>Q423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</si>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</sst>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4" xfId="1" applyBorder="1"/>
    <xf numFmtId="0" fontId="3" fillId="0" borderId="0" xfId="0" applyFont="1"/>
    <xf numFmtId="0" fontId="4" fillId="0" borderId="0" xfId="0" applyFont="1"/>
    <xf numFmtId="9" fontId="0" fillId="0" borderId="0" xfId="0" applyNumberFormat="1" applyAlignment="1">
      <alignment horizontal="right"/>
    </xf>
    <xf numFmtId="0" fontId="5" fillId="0" borderId="4" xfId="1" applyFont="1" applyBorder="1"/>
    <xf numFmtId="4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0</xdr:rowOff>
    </xdr:from>
    <xdr:to>
      <xdr:col>12</xdr:col>
      <xdr:colOff>9525</xdr:colOff>
      <xdr:row>74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B9F702-024A-69B4-71E0-99C142A871D1}"/>
            </a:ext>
          </a:extLst>
        </xdr:cNvPr>
        <xdr:cNvCxnSpPr/>
      </xdr:nvCxnSpPr>
      <xdr:spPr>
        <a:xfrm>
          <a:off x="7610475" y="0"/>
          <a:ext cx="0" cy="1178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0</xdr:row>
      <xdr:rowOff>38100</xdr:rowOff>
    </xdr:from>
    <xdr:to>
      <xdr:col>26</xdr:col>
      <xdr:colOff>28575</xdr:colOff>
      <xdr:row>55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715D485-C164-4435-B335-635A75EE85AD}"/>
            </a:ext>
          </a:extLst>
        </xdr:cNvPr>
        <xdr:cNvCxnSpPr/>
      </xdr:nvCxnSpPr>
      <xdr:spPr>
        <a:xfrm>
          <a:off x="15106650" y="38100"/>
          <a:ext cx="0" cy="774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2</xdr:row>
      <xdr:rowOff>89557</xdr:rowOff>
    </xdr:from>
    <xdr:to>
      <xdr:col>14</xdr:col>
      <xdr:colOff>385978</xdr:colOff>
      <xdr:row>14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766E0-1608-88C4-7544-D8DAFEE9A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413407"/>
          <a:ext cx="3281578" cy="1986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504825</xdr:colOff>
      <xdr:row>16</xdr:row>
      <xdr:rowOff>9525</xdr:rowOff>
    </xdr:from>
    <xdr:to>
      <xdr:col>14</xdr:col>
      <xdr:colOff>314325</xdr:colOff>
      <xdr:row>33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FD0ACF-84D1-38F1-A6FE-CFB3F027B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260032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2</xdr:row>
      <xdr:rowOff>28575</xdr:rowOff>
    </xdr:from>
    <xdr:to>
      <xdr:col>13</xdr:col>
      <xdr:colOff>228600</xdr:colOff>
      <xdr:row>15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6C147-C2F0-EB15-8AD2-BF04A110D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52425"/>
          <a:ext cx="21240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B8BFC03-2370-4716-A729-D8FACAD01755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13" dT="2022-07-21T11:22:03.36" personId="{FB8BFC03-2370-4716-A729-D8FACAD01755}" id="{40D7F6D4-94FB-41AD-9B66-6EAA39E6AF95}">
    <text>Q122: reiterates 8.4-8.6B guidance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ibrary.ehaweb.org/e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4A94-C7D9-4203-913D-E82693A2B152}">
  <dimension ref="B2:N43"/>
  <sheetViews>
    <sheetView workbookViewId="0">
      <selection activeCell="M4" sqref="M4"/>
    </sheetView>
  </sheetViews>
  <sheetFormatPr defaultRowHeight="12.75" x14ac:dyDescent="0.2"/>
  <cols>
    <col min="1" max="1" width="4" customWidth="1"/>
    <col min="2" max="2" width="9.42578125" customWidth="1"/>
    <col min="3" max="3" width="27.5703125" customWidth="1"/>
    <col min="4" max="4" width="22.42578125" customWidth="1"/>
    <col min="5" max="5" width="16.5703125" customWidth="1"/>
    <col min="8" max="8" width="11.5703125" customWidth="1"/>
  </cols>
  <sheetData>
    <row r="2" spans="2:14" x14ac:dyDescent="0.2"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 t="s">
        <v>18</v>
      </c>
      <c r="L2" t="s">
        <v>0</v>
      </c>
      <c r="M2" s="1">
        <v>288</v>
      </c>
    </row>
    <row r="3" spans="2:14" x14ac:dyDescent="0.2">
      <c r="B3" s="17" t="s">
        <v>21</v>
      </c>
      <c r="C3" t="s">
        <v>124</v>
      </c>
      <c r="D3" t="s">
        <v>15</v>
      </c>
      <c r="H3" s="8" t="s">
        <v>39</v>
      </c>
      <c r="L3" t="s">
        <v>1</v>
      </c>
      <c r="M3" s="2">
        <v>256</v>
      </c>
      <c r="N3" s="3" t="s">
        <v>33</v>
      </c>
    </row>
    <row r="4" spans="2:14" x14ac:dyDescent="0.2">
      <c r="B4" s="17" t="s">
        <v>22</v>
      </c>
      <c r="C4" t="s">
        <v>123</v>
      </c>
      <c r="D4" t="s">
        <v>15</v>
      </c>
      <c r="H4" s="8" t="s">
        <v>39</v>
      </c>
      <c r="L4" t="s">
        <v>2</v>
      </c>
      <c r="M4" s="2">
        <f>+M3*M2</f>
        <v>73728</v>
      </c>
      <c r="N4" s="3"/>
    </row>
    <row r="5" spans="2:14" x14ac:dyDescent="0.2">
      <c r="B5" s="17" t="s">
        <v>23</v>
      </c>
      <c r="C5" t="s">
        <v>119</v>
      </c>
      <c r="D5" t="s">
        <v>15</v>
      </c>
      <c r="E5" t="s">
        <v>118</v>
      </c>
      <c r="H5" s="8" t="s">
        <v>39</v>
      </c>
      <c r="L5" t="s">
        <v>3</v>
      </c>
      <c r="M5" s="2">
        <v>9253.4</v>
      </c>
      <c r="N5" s="3" t="s">
        <v>33</v>
      </c>
    </row>
    <row r="6" spans="2:14" x14ac:dyDescent="0.2">
      <c r="B6" s="17" t="s">
        <v>13</v>
      </c>
      <c r="C6" t="s">
        <v>14</v>
      </c>
      <c r="D6" t="s">
        <v>16</v>
      </c>
      <c r="E6" t="s">
        <v>17</v>
      </c>
      <c r="H6" s="8" t="s">
        <v>19</v>
      </c>
      <c r="L6" t="s">
        <v>4</v>
      </c>
      <c r="M6" s="2">
        <v>0</v>
      </c>
      <c r="N6" s="3" t="s">
        <v>33</v>
      </c>
    </row>
    <row r="7" spans="2:14" x14ac:dyDescent="0.2">
      <c r="B7" s="7"/>
      <c r="H7" s="8"/>
      <c r="L7" t="s">
        <v>5</v>
      </c>
      <c r="M7" s="2">
        <f>+M4-M5+M6</f>
        <v>64474.6</v>
      </c>
      <c r="N7" s="3"/>
    </row>
    <row r="8" spans="2:14" x14ac:dyDescent="0.2">
      <c r="B8" s="7"/>
      <c r="H8" s="8"/>
    </row>
    <row r="9" spans="2:14" x14ac:dyDescent="0.2">
      <c r="B9" s="4"/>
      <c r="C9" s="5"/>
      <c r="D9" s="5"/>
      <c r="E9" s="5"/>
      <c r="F9" s="5" t="s">
        <v>37</v>
      </c>
      <c r="G9" s="5"/>
      <c r="H9" s="6"/>
    </row>
    <row r="10" spans="2:14" x14ac:dyDescent="0.2">
      <c r="B10" s="17" t="s">
        <v>36</v>
      </c>
      <c r="C10" t="s">
        <v>171</v>
      </c>
      <c r="D10" t="s">
        <v>43</v>
      </c>
      <c r="E10" t="s">
        <v>53</v>
      </c>
      <c r="F10" t="s">
        <v>44</v>
      </c>
      <c r="H10" s="8" t="s">
        <v>38</v>
      </c>
    </row>
    <row r="11" spans="2:14" x14ac:dyDescent="0.2">
      <c r="B11" s="7" t="s">
        <v>47</v>
      </c>
      <c r="D11" t="s">
        <v>15</v>
      </c>
      <c r="F11" t="s">
        <v>44</v>
      </c>
      <c r="H11" s="8"/>
    </row>
    <row r="12" spans="2:14" x14ac:dyDescent="0.2">
      <c r="B12" s="17" t="s">
        <v>40</v>
      </c>
      <c r="C12" t="s">
        <v>167</v>
      </c>
      <c r="D12" t="s">
        <v>41</v>
      </c>
      <c r="F12" t="s">
        <v>42</v>
      </c>
      <c r="H12" s="8"/>
    </row>
    <row r="13" spans="2:14" x14ac:dyDescent="0.2">
      <c r="B13" s="17" t="s">
        <v>48</v>
      </c>
      <c r="D13" t="s">
        <v>50</v>
      </c>
      <c r="E13" t="s">
        <v>51</v>
      </c>
      <c r="F13" t="s">
        <v>49</v>
      </c>
      <c r="H13" s="8"/>
      <c r="J13" t="s">
        <v>170</v>
      </c>
    </row>
    <row r="14" spans="2:14" x14ac:dyDescent="0.2">
      <c r="B14" s="17" t="s">
        <v>54</v>
      </c>
      <c r="D14" t="s">
        <v>55</v>
      </c>
      <c r="E14" t="s">
        <v>56</v>
      </c>
      <c r="F14" t="s">
        <v>60</v>
      </c>
      <c r="H14" s="8"/>
      <c r="J14" t="s">
        <v>155</v>
      </c>
    </row>
    <row r="15" spans="2:14" x14ac:dyDescent="0.2">
      <c r="B15" s="21" t="s">
        <v>204</v>
      </c>
      <c r="C15" t="s">
        <v>205</v>
      </c>
      <c r="D15" t="s">
        <v>15</v>
      </c>
      <c r="E15" t="s">
        <v>206</v>
      </c>
      <c r="F15" t="s">
        <v>44</v>
      </c>
      <c r="H15" s="8"/>
    </row>
    <row r="16" spans="2:14" x14ac:dyDescent="0.2">
      <c r="B16" s="7"/>
      <c r="D16" t="s">
        <v>15</v>
      </c>
      <c r="E16" t="s">
        <v>52</v>
      </c>
      <c r="F16" t="s">
        <v>46</v>
      </c>
      <c r="H16" s="8" t="s">
        <v>45</v>
      </c>
      <c r="J16" t="s">
        <v>176</v>
      </c>
    </row>
    <row r="17" spans="2:10" x14ac:dyDescent="0.2">
      <c r="B17" s="7"/>
      <c r="D17" t="s">
        <v>61</v>
      </c>
      <c r="E17" t="s">
        <v>53</v>
      </c>
      <c r="F17" t="s">
        <v>244</v>
      </c>
      <c r="H17" s="8"/>
      <c r="J17" t="s">
        <v>186</v>
      </c>
    </row>
    <row r="18" spans="2:10" x14ac:dyDescent="0.2">
      <c r="B18" s="7"/>
      <c r="D18" t="s">
        <v>132</v>
      </c>
      <c r="E18" t="s">
        <v>53</v>
      </c>
      <c r="H18" s="8" t="s">
        <v>131</v>
      </c>
    </row>
    <row r="19" spans="2:10" x14ac:dyDescent="0.2">
      <c r="B19" s="7"/>
      <c r="D19" t="s">
        <v>55</v>
      </c>
      <c r="E19" t="s">
        <v>177</v>
      </c>
      <c r="F19" t="s">
        <v>59</v>
      </c>
      <c r="H19" s="8"/>
    </row>
    <row r="20" spans="2:10" x14ac:dyDescent="0.2">
      <c r="B20" s="9"/>
      <c r="C20" s="10"/>
      <c r="D20" s="10" t="s">
        <v>57</v>
      </c>
      <c r="E20" s="10" t="s">
        <v>58</v>
      </c>
      <c r="F20" s="10" t="s">
        <v>59</v>
      </c>
      <c r="G20" s="10"/>
      <c r="H20" s="11"/>
    </row>
    <row r="22" spans="2:10" x14ac:dyDescent="0.2">
      <c r="B22" t="s">
        <v>135</v>
      </c>
      <c r="E22" s="18" t="s">
        <v>133</v>
      </c>
    </row>
    <row r="23" spans="2:10" x14ac:dyDescent="0.2">
      <c r="E23" s="18" t="s">
        <v>134</v>
      </c>
    </row>
    <row r="24" spans="2:10" x14ac:dyDescent="0.2">
      <c r="E24" s="18" t="s">
        <v>136</v>
      </c>
    </row>
    <row r="25" spans="2:10" x14ac:dyDescent="0.2">
      <c r="E25" s="18" t="s">
        <v>145</v>
      </c>
    </row>
    <row r="26" spans="2:10" x14ac:dyDescent="0.2">
      <c r="E26" s="18" t="s">
        <v>146</v>
      </c>
    </row>
    <row r="27" spans="2:10" x14ac:dyDescent="0.2">
      <c r="E27" s="18" t="s">
        <v>163</v>
      </c>
    </row>
    <row r="28" spans="2:10" x14ac:dyDescent="0.2">
      <c r="E28" s="18" t="s">
        <v>166</v>
      </c>
    </row>
    <row r="29" spans="2:10" x14ac:dyDescent="0.2">
      <c r="E29" s="18" t="s">
        <v>168</v>
      </c>
    </row>
    <row r="30" spans="2:10" x14ac:dyDescent="0.2">
      <c r="E30" s="18" t="s">
        <v>172</v>
      </c>
    </row>
    <row r="31" spans="2:10" x14ac:dyDescent="0.2">
      <c r="E31" s="18" t="s">
        <v>178</v>
      </c>
    </row>
    <row r="32" spans="2:10" x14ac:dyDescent="0.2">
      <c r="E32" s="18" t="s">
        <v>180</v>
      </c>
    </row>
    <row r="33" spans="5:5" x14ac:dyDescent="0.2">
      <c r="E33" s="18" t="s">
        <v>181</v>
      </c>
    </row>
    <row r="34" spans="5:5" x14ac:dyDescent="0.2">
      <c r="E34" s="18" t="s">
        <v>182</v>
      </c>
    </row>
    <row r="35" spans="5:5" x14ac:dyDescent="0.2">
      <c r="E35" s="18" t="s">
        <v>183</v>
      </c>
    </row>
    <row r="36" spans="5:5" x14ac:dyDescent="0.2">
      <c r="E36" s="18" t="s">
        <v>184</v>
      </c>
    </row>
    <row r="37" spans="5:5" x14ac:dyDescent="0.2">
      <c r="E37" s="18" t="s">
        <v>245</v>
      </c>
    </row>
    <row r="38" spans="5:5" x14ac:dyDescent="0.2">
      <c r="E38" s="18" t="s">
        <v>246</v>
      </c>
    </row>
    <row r="39" spans="5:5" x14ac:dyDescent="0.2">
      <c r="E39" s="18" t="s">
        <v>260</v>
      </c>
    </row>
    <row r="40" spans="5:5" x14ac:dyDescent="0.2">
      <c r="E40" s="18" t="s">
        <v>261</v>
      </c>
    </row>
    <row r="41" spans="5:5" x14ac:dyDescent="0.2">
      <c r="E41" s="18" t="s">
        <v>262</v>
      </c>
    </row>
    <row r="42" spans="5:5" x14ac:dyDescent="0.2">
      <c r="E42" s="18" t="s">
        <v>264</v>
      </c>
    </row>
    <row r="43" spans="5:5" x14ac:dyDescent="0.2">
      <c r="E43" s="18" t="s">
        <v>265</v>
      </c>
    </row>
  </sheetData>
  <hyperlinks>
    <hyperlink ref="B4" location="Symdeko!A1" display="Symdeko" xr:uid="{C2ABB3C4-317B-4C42-B59A-79B30666B3E0}"/>
    <hyperlink ref="B6" location="Kalydeco!A1" display="Kalydeco" xr:uid="{EEBD4082-1D83-43E3-A2D1-75DBB6BD2997}"/>
    <hyperlink ref="B14" location="'VX-880'!A1" display="VX-880" xr:uid="{E8018D7F-9B73-4E6B-A79D-A97660AF55C8}"/>
    <hyperlink ref="B3" location="Trikafta!A1" display="Trikafta" xr:uid="{FCEBE0EB-001B-4AF7-8302-88E3A55A88B1}"/>
    <hyperlink ref="B12" location="inaxaplin!A1" display="VX-147" xr:uid="{362A6FBB-2244-4147-8746-8E7FC462FB02}"/>
    <hyperlink ref="B10" location="'CTX001'!A1" display="CTX001" xr:uid="{EE1FBA3F-8223-4960-A117-1323E22DA27E}"/>
    <hyperlink ref="B5" location="Orkambi!A1" display="Orkambi" xr:uid="{5B227DE1-747D-41D9-AFFC-27BF0DF44345}"/>
    <hyperlink ref="B13" location="'VX-548'!A1" display="VX-548" xr:uid="{C5FCC979-874F-4CAD-BE67-3603EB5F3567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47AF-768E-4B06-9E84-BC4ABCFB8ABD}">
  <dimension ref="A1:E22"/>
  <sheetViews>
    <sheetView workbookViewId="0">
      <selection activeCell="E23" sqref="E23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5" x14ac:dyDescent="0.2">
      <c r="A1" s="12" t="s">
        <v>20</v>
      </c>
    </row>
    <row r="2" spans="1:5" x14ac:dyDescent="0.2">
      <c r="B2" t="s">
        <v>7</v>
      </c>
      <c r="C2" t="s">
        <v>48</v>
      </c>
    </row>
    <row r="3" spans="1:5" x14ac:dyDescent="0.2">
      <c r="B3" t="s">
        <v>8</v>
      </c>
    </row>
    <row r="4" spans="1:5" x14ac:dyDescent="0.2">
      <c r="B4" t="s">
        <v>9</v>
      </c>
      <c r="C4" t="s">
        <v>50</v>
      </c>
    </row>
    <row r="5" spans="1:5" x14ac:dyDescent="0.2">
      <c r="B5" t="s">
        <v>10</v>
      </c>
      <c r="C5" t="s">
        <v>51</v>
      </c>
    </row>
    <row r="6" spans="1:5" x14ac:dyDescent="0.2">
      <c r="B6" t="s">
        <v>247</v>
      </c>
      <c r="C6" t="s">
        <v>251</v>
      </c>
    </row>
    <row r="7" spans="1:5" x14ac:dyDescent="0.2">
      <c r="B7" t="s">
        <v>141</v>
      </c>
    </row>
    <row r="8" spans="1:5" x14ac:dyDescent="0.2">
      <c r="C8" s="19" t="s">
        <v>258</v>
      </c>
    </row>
    <row r="9" spans="1:5" x14ac:dyDescent="0.2">
      <c r="C9" s="19"/>
      <c r="D9" t="s">
        <v>249</v>
      </c>
    </row>
    <row r="10" spans="1:5" x14ac:dyDescent="0.2">
      <c r="C10" t="s">
        <v>248</v>
      </c>
      <c r="D10" s="23">
        <v>101</v>
      </c>
    </row>
    <row r="11" spans="1:5" x14ac:dyDescent="0.2">
      <c r="C11" t="s">
        <v>250</v>
      </c>
      <c r="D11" s="23">
        <v>137.80000000000001</v>
      </c>
      <c r="E11" t="s">
        <v>255</v>
      </c>
    </row>
    <row r="12" spans="1:5" x14ac:dyDescent="0.2">
      <c r="C12" t="s">
        <v>252</v>
      </c>
      <c r="D12" s="23">
        <v>86.9</v>
      </c>
      <c r="E12" t="s">
        <v>256</v>
      </c>
    </row>
    <row r="13" spans="1:5" x14ac:dyDescent="0.2">
      <c r="C13" t="s">
        <v>253</v>
      </c>
      <c r="D13" s="23">
        <v>112.9</v>
      </c>
      <c r="E13" t="s">
        <v>256</v>
      </c>
    </row>
    <row r="14" spans="1:5" x14ac:dyDescent="0.2">
      <c r="C14" t="s">
        <v>254</v>
      </c>
      <c r="D14" s="23">
        <v>115.6</v>
      </c>
      <c r="E14" t="s">
        <v>256</v>
      </c>
    </row>
    <row r="15" spans="1:5" x14ac:dyDescent="0.2">
      <c r="D15" s="23"/>
    </row>
    <row r="16" spans="1:5" x14ac:dyDescent="0.2">
      <c r="D16" s="23"/>
    </row>
    <row r="17" spans="3:5" x14ac:dyDescent="0.2">
      <c r="C17" s="19" t="s">
        <v>257</v>
      </c>
    </row>
    <row r="18" spans="3:5" x14ac:dyDescent="0.2">
      <c r="D18" t="s">
        <v>249</v>
      </c>
    </row>
    <row r="19" spans="3:5" x14ac:dyDescent="0.2">
      <c r="C19" t="s">
        <v>248</v>
      </c>
      <c r="D19">
        <v>72.7</v>
      </c>
    </row>
    <row r="20" spans="3:5" x14ac:dyDescent="0.2">
      <c r="C20" t="s">
        <v>250</v>
      </c>
      <c r="D20">
        <v>110.5</v>
      </c>
      <c r="E20" t="s">
        <v>259</v>
      </c>
    </row>
    <row r="21" spans="3:5" x14ac:dyDescent="0.2">
      <c r="C21" t="s">
        <v>252</v>
      </c>
      <c r="D21">
        <v>95.1</v>
      </c>
      <c r="E21" t="s">
        <v>256</v>
      </c>
    </row>
    <row r="22" spans="3:5" x14ac:dyDescent="0.2">
      <c r="C22" t="s">
        <v>254</v>
      </c>
      <c r="D22">
        <v>85.2</v>
      </c>
      <c r="E22" t="s">
        <v>256</v>
      </c>
    </row>
  </sheetData>
  <hyperlinks>
    <hyperlink ref="A1" location="Main!A1" display="Main" xr:uid="{9F1444FB-1FC7-4AF6-9D19-F860F1DDD4D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0169-374E-454F-AD84-2EA69EF52EB1}">
  <dimension ref="A1:C9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2" t="s">
        <v>20</v>
      </c>
    </row>
    <row r="2" spans="1:3" x14ac:dyDescent="0.2">
      <c r="B2" t="s">
        <v>7</v>
      </c>
      <c r="C2" t="s">
        <v>40</v>
      </c>
    </row>
    <row r="3" spans="1:3" x14ac:dyDescent="0.2">
      <c r="B3" t="s">
        <v>8</v>
      </c>
      <c r="C3" t="s">
        <v>167</v>
      </c>
    </row>
    <row r="4" spans="1:3" x14ac:dyDescent="0.2">
      <c r="B4" t="s">
        <v>9</v>
      </c>
      <c r="C4" t="s">
        <v>169</v>
      </c>
    </row>
    <row r="5" spans="1:3" x14ac:dyDescent="0.2">
      <c r="B5" t="s">
        <v>10</v>
      </c>
      <c r="C5" t="s">
        <v>209</v>
      </c>
    </row>
    <row r="6" spans="1:3" x14ac:dyDescent="0.2">
      <c r="B6" t="s">
        <v>141</v>
      </c>
    </row>
    <row r="7" spans="1:3" x14ac:dyDescent="0.2">
      <c r="C7" s="19" t="s">
        <v>242</v>
      </c>
    </row>
    <row r="8" spans="1:3" x14ac:dyDescent="0.2">
      <c r="C8" t="s">
        <v>243</v>
      </c>
    </row>
    <row r="9" spans="1:3" x14ac:dyDescent="0.2">
      <c r="C9" t="s">
        <v>263</v>
      </c>
    </row>
  </sheetData>
  <hyperlinks>
    <hyperlink ref="A1" location="Main!A1" display="Main" xr:uid="{8E17983A-F281-41DE-94AE-3C971B03D303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003B-178C-466F-BE10-E90BCC8A1B78}">
  <dimension ref="A1:I24"/>
  <sheetViews>
    <sheetView workbookViewId="0"/>
  </sheetViews>
  <sheetFormatPr defaultRowHeight="12.75" x14ac:dyDescent="0.2"/>
  <cols>
    <col min="1" max="1" width="5" bestFit="1" customWidth="1"/>
    <col min="3" max="3" width="15.85546875" customWidth="1"/>
    <col min="7" max="8" width="10.140625" bestFit="1" customWidth="1"/>
  </cols>
  <sheetData>
    <row r="1" spans="1:9" x14ac:dyDescent="0.2">
      <c r="A1" s="12" t="s">
        <v>20</v>
      </c>
    </row>
    <row r="2" spans="1:9" x14ac:dyDescent="0.2">
      <c r="B2" t="s">
        <v>68</v>
      </c>
      <c r="C2" t="s">
        <v>70</v>
      </c>
      <c r="D2" t="s">
        <v>71</v>
      </c>
      <c r="E2" t="s">
        <v>73</v>
      </c>
      <c r="F2" t="s">
        <v>75</v>
      </c>
      <c r="G2" t="s">
        <v>80</v>
      </c>
      <c r="H2" t="s">
        <v>81</v>
      </c>
      <c r="I2" t="s">
        <v>84</v>
      </c>
    </row>
    <row r="3" spans="1:9" x14ac:dyDescent="0.2">
      <c r="B3">
        <v>11390600</v>
      </c>
      <c r="C3" t="s">
        <v>69</v>
      </c>
      <c r="D3" t="s">
        <v>72</v>
      </c>
      <c r="E3" t="s">
        <v>74</v>
      </c>
      <c r="F3">
        <v>2</v>
      </c>
      <c r="G3" s="16">
        <v>44019</v>
      </c>
      <c r="H3" s="16">
        <v>44761</v>
      </c>
      <c r="I3" t="s">
        <v>85</v>
      </c>
    </row>
    <row r="4" spans="1:9" x14ac:dyDescent="0.2">
      <c r="B4">
        <v>11370798</v>
      </c>
      <c r="C4" t="s">
        <v>79</v>
      </c>
      <c r="D4" t="s">
        <v>82</v>
      </c>
      <c r="E4" t="s">
        <v>83</v>
      </c>
      <c r="F4">
        <v>2</v>
      </c>
      <c r="G4" s="16">
        <v>44074</v>
      </c>
      <c r="H4" s="16">
        <v>44740</v>
      </c>
      <c r="I4" t="s">
        <v>86</v>
      </c>
    </row>
    <row r="5" spans="1:9" x14ac:dyDescent="0.2">
      <c r="B5">
        <v>11369692</v>
      </c>
      <c r="C5" t="s">
        <v>87</v>
      </c>
      <c r="D5" t="s">
        <v>82</v>
      </c>
      <c r="E5" t="s">
        <v>88</v>
      </c>
      <c r="F5">
        <v>5</v>
      </c>
      <c r="G5" s="16">
        <v>42671</v>
      </c>
      <c r="H5" s="16">
        <v>44740</v>
      </c>
      <c r="I5" t="s">
        <v>89</v>
      </c>
    </row>
    <row r="6" spans="1:9" x14ac:dyDescent="0.2">
      <c r="B6">
        <v>11358977</v>
      </c>
      <c r="C6" t="s">
        <v>90</v>
      </c>
      <c r="D6" t="s">
        <v>82</v>
      </c>
      <c r="E6" t="s">
        <v>91</v>
      </c>
      <c r="F6">
        <v>8</v>
      </c>
      <c r="G6" s="16">
        <v>43236</v>
      </c>
      <c r="H6" s="16">
        <v>44726</v>
      </c>
      <c r="I6" t="s">
        <v>51</v>
      </c>
    </row>
    <row r="7" spans="1:9" x14ac:dyDescent="0.2">
      <c r="B7">
        <v>11345700</v>
      </c>
      <c r="C7" t="s">
        <v>93</v>
      </c>
      <c r="D7" t="s">
        <v>82</v>
      </c>
      <c r="E7" t="s">
        <v>92</v>
      </c>
      <c r="F7">
        <v>1</v>
      </c>
      <c r="G7" s="16">
        <v>43899</v>
      </c>
      <c r="H7" s="16">
        <v>44712</v>
      </c>
      <c r="I7" t="s">
        <v>94</v>
      </c>
    </row>
    <row r="8" spans="1:9" x14ac:dyDescent="0.2">
      <c r="B8">
        <v>11291662</v>
      </c>
      <c r="C8" t="s">
        <v>95</v>
      </c>
      <c r="D8" t="s">
        <v>82</v>
      </c>
      <c r="E8" t="s">
        <v>96</v>
      </c>
      <c r="F8">
        <v>3</v>
      </c>
      <c r="G8" s="16">
        <v>43804</v>
      </c>
      <c r="H8" s="16">
        <v>44656</v>
      </c>
      <c r="I8" t="s">
        <v>13</v>
      </c>
    </row>
    <row r="9" spans="1:9" x14ac:dyDescent="0.2">
      <c r="B9">
        <v>11268077</v>
      </c>
      <c r="C9" t="s">
        <v>99</v>
      </c>
      <c r="D9" t="s">
        <v>82</v>
      </c>
      <c r="E9" t="s">
        <v>100</v>
      </c>
      <c r="F9">
        <v>5</v>
      </c>
      <c r="G9" s="16">
        <v>43501</v>
      </c>
      <c r="H9" s="16">
        <v>44628</v>
      </c>
      <c r="I9" t="s">
        <v>101</v>
      </c>
    </row>
    <row r="10" spans="1:9" x14ac:dyDescent="0.2">
      <c r="B10">
        <v>11253509</v>
      </c>
      <c r="C10" t="s">
        <v>102</v>
      </c>
      <c r="D10" t="s">
        <v>82</v>
      </c>
      <c r="E10" t="s">
        <v>103</v>
      </c>
      <c r="F10">
        <v>2</v>
      </c>
      <c r="G10" s="16">
        <v>43259</v>
      </c>
      <c r="H10" s="16">
        <v>44614</v>
      </c>
    </row>
    <row r="11" spans="1:9" x14ac:dyDescent="0.2">
      <c r="B11">
        <v>11203571</v>
      </c>
      <c r="C11" t="s">
        <v>210</v>
      </c>
      <c r="D11" t="s">
        <v>82</v>
      </c>
      <c r="E11" t="s">
        <v>211</v>
      </c>
      <c r="F11">
        <v>8</v>
      </c>
      <c r="G11" s="16">
        <v>41835</v>
      </c>
      <c r="H11" s="16">
        <v>44551</v>
      </c>
      <c r="I11" t="s">
        <v>51</v>
      </c>
    </row>
    <row r="12" spans="1:9" x14ac:dyDescent="0.2">
      <c r="B12">
        <v>11186566</v>
      </c>
      <c r="C12" t="s">
        <v>212</v>
      </c>
      <c r="D12" t="s">
        <v>82</v>
      </c>
      <c r="E12" t="s">
        <v>213</v>
      </c>
      <c r="F12">
        <v>6</v>
      </c>
      <c r="G12" s="16">
        <v>43803</v>
      </c>
      <c r="H12" s="16">
        <v>44530</v>
      </c>
      <c r="I12" t="s">
        <v>214</v>
      </c>
    </row>
    <row r="13" spans="1:9" x14ac:dyDescent="0.2">
      <c r="B13">
        <v>11179394</v>
      </c>
      <c r="C13" t="s">
        <v>215</v>
      </c>
      <c r="D13" t="s">
        <v>82</v>
      </c>
      <c r="E13" t="s">
        <v>216</v>
      </c>
      <c r="F13">
        <v>3</v>
      </c>
      <c r="G13" s="16">
        <v>42172</v>
      </c>
      <c r="H13" s="16">
        <v>44523</v>
      </c>
      <c r="I13" t="s">
        <v>217</v>
      </c>
    </row>
    <row r="14" spans="1:9" x14ac:dyDescent="0.2">
      <c r="B14">
        <v>11179367</v>
      </c>
      <c r="C14" t="s">
        <v>218</v>
      </c>
      <c r="D14" t="s">
        <v>82</v>
      </c>
      <c r="E14" t="s">
        <v>219</v>
      </c>
      <c r="F14">
        <v>2</v>
      </c>
      <c r="G14" s="16">
        <v>43500</v>
      </c>
      <c r="H14" s="16">
        <v>44523</v>
      </c>
      <c r="I14" t="s">
        <v>220</v>
      </c>
    </row>
    <row r="15" spans="1:9" x14ac:dyDescent="0.2">
      <c r="B15">
        <v>11155533</v>
      </c>
      <c r="C15" t="s">
        <v>221</v>
      </c>
      <c r="D15" t="s">
        <v>82</v>
      </c>
      <c r="E15" t="s">
        <v>222</v>
      </c>
      <c r="F15">
        <v>2</v>
      </c>
      <c r="G15" s="16">
        <v>43915</v>
      </c>
      <c r="H15" s="16">
        <v>44495</v>
      </c>
      <c r="I15" t="s">
        <v>223</v>
      </c>
    </row>
    <row r="16" spans="1:9" x14ac:dyDescent="0.2">
      <c r="B16">
        <v>11147770</v>
      </c>
      <c r="C16" t="s">
        <v>224</v>
      </c>
      <c r="D16" t="s">
        <v>82</v>
      </c>
      <c r="E16" t="s">
        <v>225</v>
      </c>
      <c r="F16">
        <v>2</v>
      </c>
      <c r="G16" s="16">
        <v>43536</v>
      </c>
      <c r="H16" s="16">
        <v>44488</v>
      </c>
      <c r="I16" t="s">
        <v>220</v>
      </c>
    </row>
    <row r="17" spans="2:9" x14ac:dyDescent="0.2">
      <c r="B17">
        <v>11124805</v>
      </c>
      <c r="C17" t="s">
        <v>226</v>
      </c>
      <c r="D17" t="s">
        <v>82</v>
      </c>
      <c r="E17" t="s">
        <v>227</v>
      </c>
      <c r="F17">
        <v>7</v>
      </c>
      <c r="G17" s="16">
        <v>42929</v>
      </c>
      <c r="H17" s="16">
        <v>44460</v>
      </c>
      <c r="I17" t="s">
        <v>228</v>
      </c>
    </row>
    <row r="18" spans="2:9" x14ac:dyDescent="0.2">
      <c r="B18">
        <v>11117900</v>
      </c>
      <c r="C18" t="s">
        <v>79</v>
      </c>
      <c r="D18" t="s">
        <v>82</v>
      </c>
      <c r="E18" t="s">
        <v>83</v>
      </c>
      <c r="F18">
        <v>3</v>
      </c>
      <c r="G18" s="16">
        <v>43683</v>
      </c>
      <c r="H18" s="16">
        <v>44453</v>
      </c>
    </row>
    <row r="19" spans="2:9" x14ac:dyDescent="0.2">
      <c r="B19">
        <v>11110108</v>
      </c>
      <c r="C19" t="s">
        <v>229</v>
      </c>
      <c r="D19" t="s">
        <v>82</v>
      </c>
      <c r="E19" t="s">
        <v>230</v>
      </c>
      <c r="F19">
        <v>2</v>
      </c>
      <c r="G19" s="16">
        <v>43005</v>
      </c>
      <c r="H19" s="16">
        <v>44446</v>
      </c>
    </row>
    <row r="20" spans="2:9" x14ac:dyDescent="0.2">
      <c r="B20">
        <v>11110086</v>
      </c>
      <c r="C20" t="s">
        <v>231</v>
      </c>
      <c r="D20" t="s">
        <v>82</v>
      </c>
      <c r="E20" t="s">
        <v>232</v>
      </c>
      <c r="F20">
        <v>3</v>
      </c>
      <c r="G20" s="16">
        <v>43656</v>
      </c>
      <c r="H20" s="16">
        <v>44446</v>
      </c>
    </row>
    <row r="21" spans="2:9" x14ac:dyDescent="0.2">
      <c r="B21">
        <v>11084804</v>
      </c>
      <c r="C21" t="s">
        <v>233</v>
      </c>
      <c r="D21" t="s">
        <v>82</v>
      </c>
      <c r="E21" t="s">
        <v>234</v>
      </c>
      <c r="F21">
        <v>5</v>
      </c>
      <c r="G21" s="16">
        <v>43874</v>
      </c>
      <c r="H21" s="16">
        <v>44418</v>
      </c>
      <c r="I21" t="s">
        <v>214</v>
      </c>
    </row>
    <row r="22" spans="2:9" x14ac:dyDescent="0.2">
      <c r="B22">
        <v>11066417</v>
      </c>
      <c r="C22" t="s">
        <v>236</v>
      </c>
      <c r="D22" t="s">
        <v>82</v>
      </c>
      <c r="E22" t="s">
        <v>235</v>
      </c>
      <c r="F22">
        <v>6</v>
      </c>
      <c r="G22" s="16">
        <v>43510</v>
      </c>
      <c r="H22" s="16">
        <v>44397</v>
      </c>
    </row>
    <row r="23" spans="2:9" x14ac:dyDescent="0.2">
      <c r="B23">
        <v>11059826</v>
      </c>
      <c r="C23" t="s">
        <v>237</v>
      </c>
      <c r="D23" t="s">
        <v>82</v>
      </c>
      <c r="E23" t="s">
        <v>238</v>
      </c>
      <c r="F23">
        <v>5</v>
      </c>
      <c r="G23" s="16">
        <v>43578</v>
      </c>
      <c r="H23" s="16">
        <v>44390</v>
      </c>
      <c r="I23" t="s">
        <v>239</v>
      </c>
    </row>
    <row r="24" spans="2:9" x14ac:dyDescent="0.2">
      <c r="B24">
        <v>11052075</v>
      </c>
      <c r="C24" t="s">
        <v>240</v>
      </c>
      <c r="D24" t="s">
        <v>82</v>
      </c>
      <c r="E24" t="s">
        <v>241</v>
      </c>
      <c r="G24" s="16">
        <v>43679</v>
      </c>
      <c r="H24" s="16">
        <v>44383</v>
      </c>
      <c r="I24" t="s">
        <v>220</v>
      </c>
    </row>
  </sheetData>
  <hyperlinks>
    <hyperlink ref="A1" location="Main!A1" display="Main" xr:uid="{28B9CEB8-4D0A-4224-9448-513A0C99A97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8C55-E312-4CB5-A877-7A6998D5236F}">
  <dimension ref="A1:F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3" sqref="E13"/>
    </sheetView>
  </sheetViews>
  <sheetFormatPr defaultRowHeight="12.75" x14ac:dyDescent="0.2"/>
  <cols>
    <col min="1" max="1" width="5" bestFit="1" customWidth="1"/>
    <col min="2" max="2" width="17.28515625" customWidth="1"/>
  </cols>
  <sheetData>
    <row r="1" spans="1:6" x14ac:dyDescent="0.2">
      <c r="A1" s="12" t="s">
        <v>20</v>
      </c>
    </row>
    <row r="2" spans="1:6" x14ac:dyDescent="0.2">
      <c r="B2" t="s">
        <v>7</v>
      </c>
      <c r="C2" t="s">
        <v>8</v>
      </c>
      <c r="D2" t="s">
        <v>10</v>
      </c>
      <c r="E2" t="s">
        <v>9</v>
      </c>
      <c r="F2" t="s">
        <v>108</v>
      </c>
    </row>
    <row r="3" spans="1:6" x14ac:dyDescent="0.2">
      <c r="B3" t="s">
        <v>107</v>
      </c>
      <c r="C3" t="s">
        <v>104</v>
      </c>
      <c r="D3" t="s">
        <v>106</v>
      </c>
      <c r="E3" t="s">
        <v>105</v>
      </c>
      <c r="F3" s="16">
        <v>40686</v>
      </c>
    </row>
    <row r="4" spans="1:6" x14ac:dyDescent="0.2">
      <c r="B4" t="s">
        <v>117</v>
      </c>
      <c r="C4" t="s">
        <v>116</v>
      </c>
      <c r="D4" t="s">
        <v>118</v>
      </c>
      <c r="E4" t="s">
        <v>15</v>
      </c>
      <c r="F4" s="16">
        <v>42187</v>
      </c>
    </row>
    <row r="5" spans="1:6" x14ac:dyDescent="0.2">
      <c r="B5" t="s">
        <v>121</v>
      </c>
      <c r="C5" t="s">
        <v>120</v>
      </c>
      <c r="E5" t="s">
        <v>15</v>
      </c>
    </row>
    <row r="6" spans="1:6" x14ac:dyDescent="0.2">
      <c r="B6" t="s">
        <v>21</v>
      </c>
      <c r="C6" t="s">
        <v>122</v>
      </c>
      <c r="E6" t="s">
        <v>15</v>
      </c>
    </row>
    <row r="8" spans="1:6" x14ac:dyDescent="0.2">
      <c r="F8" t="s">
        <v>37</v>
      </c>
    </row>
    <row r="9" spans="1:6" x14ac:dyDescent="0.2">
      <c r="B9" t="s">
        <v>112</v>
      </c>
      <c r="D9" t="s">
        <v>114</v>
      </c>
      <c r="E9" t="s">
        <v>105</v>
      </c>
      <c r="F9" t="s">
        <v>60</v>
      </c>
    </row>
    <row r="10" spans="1:6" x14ac:dyDescent="0.2">
      <c r="B10" t="s">
        <v>113</v>
      </c>
      <c r="D10" t="s">
        <v>114</v>
      </c>
      <c r="E10" t="s">
        <v>105</v>
      </c>
      <c r="F10" t="s">
        <v>60</v>
      </c>
    </row>
    <row r="11" spans="1:6" x14ac:dyDescent="0.2">
      <c r="B11" t="s">
        <v>76</v>
      </c>
      <c r="C11" t="s">
        <v>77</v>
      </c>
      <c r="D11" t="s">
        <v>78</v>
      </c>
      <c r="E11" t="s">
        <v>115</v>
      </c>
      <c r="F11" t="s">
        <v>60</v>
      </c>
    </row>
    <row r="12" spans="1:6" x14ac:dyDescent="0.2">
      <c r="B12" t="s">
        <v>266</v>
      </c>
      <c r="D12" t="s">
        <v>51</v>
      </c>
      <c r="E12" t="s">
        <v>50</v>
      </c>
      <c r="F12" t="s">
        <v>267</v>
      </c>
    </row>
    <row r="13" spans="1:6" x14ac:dyDescent="0.2">
      <c r="B13" t="s">
        <v>109</v>
      </c>
      <c r="D13" t="s">
        <v>110</v>
      </c>
      <c r="E13" t="s">
        <v>105</v>
      </c>
      <c r="F13" t="s">
        <v>111</v>
      </c>
    </row>
  </sheetData>
  <hyperlinks>
    <hyperlink ref="A1" location="Main!A1" display="Main" xr:uid="{BFCC45F9-5F22-4038-BA76-0C95746441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267B-C4D8-4F55-9938-4004F5DC3025}">
  <dimension ref="A1:DA74"/>
  <sheetViews>
    <sheetView tabSelected="1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L32" sqref="L32"/>
    </sheetView>
  </sheetViews>
  <sheetFormatPr defaultRowHeight="12.75" x14ac:dyDescent="0.2"/>
  <cols>
    <col min="1" max="1" width="5" bestFit="1" customWidth="1"/>
    <col min="2" max="2" width="17.5703125" customWidth="1"/>
    <col min="3" max="15" width="9.140625" style="3"/>
    <col min="43" max="43" width="10.7109375" bestFit="1" customWidth="1"/>
  </cols>
  <sheetData>
    <row r="1" spans="1:40" x14ac:dyDescent="0.2">
      <c r="A1" s="12" t="s">
        <v>20</v>
      </c>
    </row>
    <row r="3" spans="1:40" x14ac:dyDescent="0.2"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30</v>
      </c>
      <c r="I3" s="3" t="s">
        <v>31</v>
      </c>
      <c r="J3" s="3" t="s">
        <v>32</v>
      </c>
      <c r="K3" s="3" t="s">
        <v>6</v>
      </c>
      <c r="L3" s="3" t="s">
        <v>33</v>
      </c>
      <c r="M3" s="3" t="s">
        <v>34</v>
      </c>
      <c r="N3" s="3" t="s">
        <v>35</v>
      </c>
      <c r="O3" s="3" t="s">
        <v>305</v>
      </c>
      <c r="P3" s="3" t="s">
        <v>306</v>
      </c>
      <c r="Q3" s="3" t="s">
        <v>307</v>
      </c>
      <c r="R3" s="3" t="s">
        <v>308</v>
      </c>
      <c r="T3">
        <v>2015</v>
      </c>
      <c r="U3">
        <f>+T3+1</f>
        <v>2016</v>
      </c>
      <c r="V3">
        <f t="shared" ref="V3:AN3" si="0">+U3+1</f>
        <v>2017</v>
      </c>
      <c r="W3">
        <f t="shared" si="0"/>
        <v>2018</v>
      </c>
      <c r="X3">
        <f t="shared" si="0"/>
        <v>2019</v>
      </c>
      <c r="Y3">
        <f t="shared" si="0"/>
        <v>2020</v>
      </c>
      <c r="Z3">
        <f t="shared" si="0"/>
        <v>2021</v>
      </c>
      <c r="AA3">
        <f t="shared" si="0"/>
        <v>2022</v>
      </c>
      <c r="AB3">
        <f t="shared" si="0"/>
        <v>2023</v>
      </c>
      <c r="AC3">
        <f t="shared" si="0"/>
        <v>2024</v>
      </c>
      <c r="AD3">
        <f t="shared" si="0"/>
        <v>2025</v>
      </c>
      <c r="AE3">
        <f t="shared" si="0"/>
        <v>2026</v>
      </c>
      <c r="AF3">
        <f t="shared" si="0"/>
        <v>2027</v>
      </c>
      <c r="AG3">
        <f t="shared" si="0"/>
        <v>2028</v>
      </c>
      <c r="AH3">
        <f t="shared" si="0"/>
        <v>2029</v>
      </c>
      <c r="AI3">
        <f t="shared" si="0"/>
        <v>2030</v>
      </c>
      <c r="AJ3">
        <f t="shared" si="0"/>
        <v>2031</v>
      </c>
      <c r="AK3">
        <f t="shared" si="0"/>
        <v>2032</v>
      </c>
      <c r="AL3">
        <f t="shared" si="0"/>
        <v>2033</v>
      </c>
      <c r="AM3">
        <f t="shared" si="0"/>
        <v>2034</v>
      </c>
      <c r="AN3">
        <f t="shared" si="0"/>
        <v>2035</v>
      </c>
    </row>
    <row r="4" spans="1:40" x14ac:dyDescent="0.2">
      <c r="B4" t="s">
        <v>54</v>
      </c>
      <c r="AE4" s="2">
        <v>200</v>
      </c>
      <c r="AF4" s="2">
        <v>400</v>
      </c>
      <c r="AG4" s="2">
        <v>600</v>
      </c>
      <c r="AH4" s="2">
        <v>800</v>
      </c>
      <c r="AI4" s="2">
        <v>1000</v>
      </c>
      <c r="AJ4" s="2">
        <f>+AI4*1.01</f>
        <v>1010</v>
      </c>
      <c r="AK4" s="2">
        <f t="shared" ref="AK4:AN6" si="1">+AJ4*1.01</f>
        <v>1020.1</v>
      </c>
      <c r="AL4" s="2">
        <f t="shared" si="1"/>
        <v>1030.3009999999999</v>
      </c>
      <c r="AM4" s="2">
        <f t="shared" si="1"/>
        <v>1040.60401</v>
      </c>
      <c r="AN4" s="2">
        <f t="shared" si="1"/>
        <v>1051.0100500999999</v>
      </c>
    </row>
    <row r="5" spans="1:40" s="2" customFormat="1" x14ac:dyDescent="0.2">
      <c r="B5" s="2" t="s">
        <v>48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AC5" s="2">
        <v>200</v>
      </c>
      <c r="AD5" s="2">
        <v>500</v>
      </c>
      <c r="AE5" s="2">
        <v>800</v>
      </c>
      <c r="AF5" s="2">
        <v>1100</v>
      </c>
      <c r="AG5" s="2">
        <v>1400</v>
      </c>
      <c r="AH5" s="2">
        <v>1700</v>
      </c>
      <c r="AI5" s="2">
        <f>+AH5*1.01</f>
        <v>1717</v>
      </c>
      <c r="AJ5" s="2">
        <f t="shared" ref="AJ5:AN5" si="2">+AI5*1.01</f>
        <v>1734.17</v>
      </c>
      <c r="AK5" s="2">
        <f t="shared" si="2"/>
        <v>1751.5117</v>
      </c>
      <c r="AL5" s="2">
        <f t="shared" si="2"/>
        <v>1769.0268169999999</v>
      </c>
      <c r="AM5" s="2">
        <f t="shared" si="2"/>
        <v>1786.71708517</v>
      </c>
      <c r="AN5" s="2">
        <f t="shared" si="2"/>
        <v>1804.5842560217</v>
      </c>
    </row>
    <row r="6" spans="1:40" s="2" customFormat="1" x14ac:dyDescent="0.2">
      <c r="B6" s="2" t="s">
        <v>40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AE6" s="2">
        <v>200</v>
      </c>
      <c r="AF6" s="2">
        <v>400</v>
      </c>
      <c r="AG6" s="2">
        <v>600</v>
      </c>
      <c r="AH6" s="2">
        <v>800</v>
      </c>
      <c r="AI6" s="2">
        <v>1000</v>
      </c>
      <c r="AJ6" s="2">
        <f>+AI6*1.01</f>
        <v>1010</v>
      </c>
      <c r="AK6" s="2">
        <f t="shared" si="1"/>
        <v>1020.1</v>
      </c>
      <c r="AL6" s="2">
        <f t="shared" si="1"/>
        <v>1030.3009999999999</v>
      </c>
      <c r="AM6" s="2">
        <f t="shared" si="1"/>
        <v>1040.60401</v>
      </c>
      <c r="AN6" s="2">
        <f t="shared" si="1"/>
        <v>1051.0100500999999</v>
      </c>
    </row>
    <row r="7" spans="1:40" s="2" customFormat="1" x14ac:dyDescent="0.2">
      <c r="B7" s="2" t="s">
        <v>36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AB7" s="2">
        <v>100</v>
      </c>
      <c r="AC7" s="2">
        <v>300</v>
      </c>
      <c r="AD7" s="2">
        <v>500</v>
      </c>
      <c r="AE7" s="2">
        <v>800</v>
      </c>
      <c r="AF7" s="2">
        <v>1000</v>
      </c>
      <c r="AG7" s="2">
        <f>+AF7*1.01</f>
        <v>1010</v>
      </c>
      <c r="AH7" s="2">
        <f t="shared" ref="AH7:AN7" si="3">+AG7*1.01</f>
        <v>1020.1</v>
      </c>
      <c r="AI7" s="2">
        <f t="shared" si="3"/>
        <v>1030.3009999999999</v>
      </c>
      <c r="AJ7" s="2">
        <f t="shared" si="3"/>
        <v>1040.60401</v>
      </c>
      <c r="AK7" s="2">
        <f t="shared" si="3"/>
        <v>1051.0100500999999</v>
      </c>
      <c r="AL7" s="2">
        <f t="shared" si="3"/>
        <v>1061.5201506009998</v>
      </c>
      <c r="AM7" s="2">
        <f t="shared" si="3"/>
        <v>1072.1353521070098</v>
      </c>
      <c r="AN7" s="2">
        <f t="shared" si="3"/>
        <v>1082.8567056280799</v>
      </c>
    </row>
    <row r="8" spans="1:40" s="2" customFormat="1" x14ac:dyDescent="0.2">
      <c r="B8" s="2" t="s">
        <v>275</v>
      </c>
      <c r="C8" s="13"/>
      <c r="D8" s="13"/>
      <c r="E8" s="13">
        <v>2</v>
      </c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40" s="2" customFormat="1" x14ac:dyDescent="0.2">
      <c r="B9" s="2" t="s">
        <v>21</v>
      </c>
      <c r="C9" s="13"/>
      <c r="D9" s="13"/>
      <c r="E9" s="13">
        <v>960</v>
      </c>
      <c r="F9" s="13">
        <v>1091</v>
      </c>
      <c r="G9" s="13">
        <v>1193.2</v>
      </c>
      <c r="H9" s="13">
        <v>1256</v>
      </c>
      <c r="I9" s="13">
        <v>1556</v>
      </c>
      <c r="J9" s="13">
        <v>1693</v>
      </c>
      <c r="K9" s="13">
        <v>1761.6</v>
      </c>
      <c r="L9" s="13">
        <v>1893</v>
      </c>
      <c r="M9" s="13">
        <f t="shared" ref="M9:N9" si="4">+L9+100</f>
        <v>1993</v>
      </c>
      <c r="N9" s="13">
        <f t="shared" si="4"/>
        <v>2093</v>
      </c>
      <c r="O9" s="13"/>
      <c r="Z9" s="2">
        <f>SUM(G9:J9)</f>
        <v>5698.2</v>
      </c>
      <c r="AA9" s="2">
        <f t="shared" ref="AA9:AA11" si="5">SUM(K9:N9)</f>
        <v>7740.6</v>
      </c>
      <c r="AB9" s="2">
        <f>+AA9*1.2</f>
        <v>9288.7199999999993</v>
      </c>
      <c r="AC9" s="2">
        <f>+AB9*1.1</f>
        <v>10217.592000000001</v>
      </c>
      <c r="AD9" s="2">
        <f>+AC9*1.02</f>
        <v>10421.94384</v>
      </c>
      <c r="AE9" s="2">
        <f t="shared" ref="AE9:AL9" si="6">+AD9*1.02</f>
        <v>10630.382716800001</v>
      </c>
      <c r="AF9" s="2">
        <f t="shared" si="6"/>
        <v>10842.990371136</v>
      </c>
      <c r="AG9" s="2">
        <f t="shared" si="6"/>
        <v>11059.85017855872</v>
      </c>
      <c r="AH9" s="2">
        <f t="shared" si="6"/>
        <v>11281.047182129894</v>
      </c>
      <c r="AI9" s="2">
        <f t="shared" si="6"/>
        <v>11506.668125772492</v>
      </c>
      <c r="AJ9" s="2">
        <f t="shared" si="6"/>
        <v>11736.801488287942</v>
      </c>
      <c r="AK9" s="2">
        <f t="shared" si="6"/>
        <v>11971.537518053701</v>
      </c>
      <c r="AL9" s="2">
        <f t="shared" si="6"/>
        <v>12210.968268414776</v>
      </c>
      <c r="AM9" s="2">
        <f>+AL9*0.5</f>
        <v>6105.4841342073878</v>
      </c>
      <c r="AN9" s="2">
        <f>+AM9*0.1</f>
        <v>610.54841342073883</v>
      </c>
    </row>
    <row r="10" spans="1:40" s="2" customFormat="1" x14ac:dyDescent="0.2">
      <c r="B10" s="2" t="s">
        <v>22</v>
      </c>
      <c r="C10" s="13"/>
      <c r="D10" s="13"/>
      <c r="E10" s="13">
        <v>156</v>
      </c>
      <c r="F10" s="13">
        <v>128</v>
      </c>
      <c r="G10" s="13">
        <v>125.1</v>
      </c>
      <c r="H10" s="13">
        <v>134</v>
      </c>
      <c r="I10" s="13">
        <v>81</v>
      </c>
      <c r="J10" s="13">
        <v>80</v>
      </c>
      <c r="K10" s="13">
        <v>64.8</v>
      </c>
      <c r="L10" s="13">
        <v>43</v>
      </c>
      <c r="M10" s="13">
        <f t="shared" ref="M10:N10" si="7">L10-1</f>
        <v>42</v>
      </c>
      <c r="N10" s="13">
        <f t="shared" si="7"/>
        <v>41</v>
      </c>
      <c r="O10" s="13"/>
      <c r="Z10" s="2">
        <f t="shared" ref="Z10:Z14" si="8">SUM(G10:J10)</f>
        <v>420.1</v>
      </c>
      <c r="AA10" s="2">
        <f t="shared" si="5"/>
        <v>190.8</v>
      </c>
      <c r="AB10" s="2">
        <f>+AA10*0.9</f>
        <v>171.72000000000003</v>
      </c>
      <c r="AC10" s="2">
        <f t="shared" ref="AC10:AN10" si="9">+AB10*0.9</f>
        <v>154.54800000000003</v>
      </c>
      <c r="AD10" s="2">
        <f t="shared" si="9"/>
        <v>139.09320000000002</v>
      </c>
      <c r="AE10" s="2">
        <f t="shared" si="9"/>
        <v>125.18388000000003</v>
      </c>
      <c r="AF10" s="2">
        <f t="shared" si="9"/>
        <v>112.66549200000003</v>
      </c>
      <c r="AG10" s="2">
        <f t="shared" si="9"/>
        <v>101.39894280000003</v>
      </c>
      <c r="AH10" s="2">
        <f t="shared" si="9"/>
        <v>91.259048520000022</v>
      </c>
      <c r="AI10" s="2">
        <f t="shared" si="9"/>
        <v>82.133143668000017</v>
      </c>
      <c r="AJ10" s="2">
        <f t="shared" si="9"/>
        <v>73.919829301200011</v>
      </c>
      <c r="AK10" s="2">
        <f t="shared" si="9"/>
        <v>66.527846371080017</v>
      </c>
      <c r="AL10" s="2">
        <f t="shared" si="9"/>
        <v>59.875061733972018</v>
      </c>
      <c r="AM10" s="2">
        <f t="shared" si="9"/>
        <v>53.887555560574818</v>
      </c>
      <c r="AN10" s="2">
        <f t="shared" si="9"/>
        <v>48.498800004517335</v>
      </c>
    </row>
    <row r="11" spans="1:40" s="2" customFormat="1" x14ac:dyDescent="0.2">
      <c r="B11" s="2" t="s">
        <v>23</v>
      </c>
      <c r="C11" s="13"/>
      <c r="D11" s="13"/>
      <c r="E11" s="13">
        <v>226</v>
      </c>
      <c r="F11" s="13">
        <v>215</v>
      </c>
      <c r="G11" s="13">
        <v>218.7</v>
      </c>
      <c r="H11" s="13">
        <v>221</v>
      </c>
      <c r="I11" s="13">
        <v>185</v>
      </c>
      <c r="J11" s="13">
        <v>147</v>
      </c>
      <c r="K11" s="13">
        <v>132.1</v>
      </c>
      <c r="L11" s="13">
        <v>122</v>
      </c>
      <c r="M11" s="13">
        <f t="shared" ref="M11:N11" si="10">L11-1</f>
        <v>121</v>
      </c>
      <c r="N11" s="13">
        <f t="shared" si="10"/>
        <v>120</v>
      </c>
      <c r="O11" s="13"/>
      <c r="Z11" s="2">
        <f t="shared" si="8"/>
        <v>771.7</v>
      </c>
      <c r="AA11" s="2">
        <f t="shared" si="5"/>
        <v>495.1</v>
      </c>
      <c r="AB11" s="2">
        <f t="shared" ref="AB11:AN11" si="11">+AA11*0.9</f>
        <v>445.59000000000003</v>
      </c>
      <c r="AC11" s="2">
        <f t="shared" si="11"/>
        <v>401.03100000000006</v>
      </c>
      <c r="AD11" s="2">
        <f t="shared" si="11"/>
        <v>360.92790000000008</v>
      </c>
      <c r="AE11" s="2">
        <f t="shared" si="11"/>
        <v>324.8351100000001</v>
      </c>
      <c r="AF11" s="2">
        <f t="shared" si="11"/>
        <v>292.35159900000008</v>
      </c>
      <c r="AG11" s="2">
        <f t="shared" si="11"/>
        <v>263.11643910000009</v>
      </c>
      <c r="AH11" s="2">
        <f t="shared" si="11"/>
        <v>236.80479519000008</v>
      </c>
      <c r="AI11" s="2">
        <f t="shared" si="11"/>
        <v>213.12431567100006</v>
      </c>
      <c r="AJ11" s="2">
        <f t="shared" si="11"/>
        <v>191.81188410390007</v>
      </c>
      <c r="AK11" s="2">
        <f t="shared" si="11"/>
        <v>172.63069569351006</v>
      </c>
      <c r="AL11" s="2">
        <f t="shared" si="11"/>
        <v>155.36762612415907</v>
      </c>
      <c r="AM11" s="2">
        <f t="shared" si="11"/>
        <v>139.83086351174316</v>
      </c>
      <c r="AN11" s="2">
        <f t="shared" si="11"/>
        <v>125.84777716056885</v>
      </c>
    </row>
    <row r="12" spans="1:40" s="2" customFormat="1" x14ac:dyDescent="0.2">
      <c r="B12" s="2" t="s">
        <v>13</v>
      </c>
      <c r="C12" s="13"/>
      <c r="D12" s="13"/>
      <c r="E12" s="13">
        <v>194</v>
      </c>
      <c r="F12" s="13">
        <v>193</v>
      </c>
      <c r="G12" s="13">
        <v>186.3</v>
      </c>
      <c r="H12" s="13">
        <v>183</v>
      </c>
      <c r="I12" s="13">
        <v>162</v>
      </c>
      <c r="J12" s="13">
        <v>152</v>
      </c>
      <c r="K12" s="13">
        <v>139</v>
      </c>
      <c r="L12" s="13">
        <v>139</v>
      </c>
      <c r="M12" s="13">
        <f t="shared" ref="M12:N12" si="12">L12-1</f>
        <v>138</v>
      </c>
      <c r="N12" s="13">
        <f t="shared" si="12"/>
        <v>137</v>
      </c>
      <c r="O12" s="13"/>
      <c r="Z12" s="2">
        <f t="shared" si="8"/>
        <v>683.3</v>
      </c>
      <c r="AA12" s="2">
        <f>SUM(K12:N12)</f>
        <v>553</v>
      </c>
      <c r="AB12" s="2">
        <f t="shared" ref="AB12:AN12" si="13">+AA12*0.9</f>
        <v>497.7</v>
      </c>
      <c r="AC12" s="2">
        <f t="shared" si="13"/>
        <v>447.93</v>
      </c>
      <c r="AD12" s="2">
        <f t="shared" si="13"/>
        <v>403.137</v>
      </c>
      <c r="AE12" s="2">
        <f t="shared" si="13"/>
        <v>362.82330000000002</v>
      </c>
      <c r="AF12" s="2">
        <f t="shared" si="13"/>
        <v>326.54097000000002</v>
      </c>
      <c r="AG12" s="2">
        <f t="shared" si="13"/>
        <v>293.88687300000004</v>
      </c>
      <c r="AH12" s="2">
        <f t="shared" si="13"/>
        <v>264.49818570000002</v>
      </c>
      <c r="AI12" s="2">
        <f t="shared" si="13"/>
        <v>238.04836713000003</v>
      </c>
      <c r="AJ12" s="2">
        <f t="shared" si="13"/>
        <v>214.24353041700004</v>
      </c>
      <c r="AK12" s="2">
        <f t="shared" si="13"/>
        <v>192.81917737530006</v>
      </c>
      <c r="AL12" s="2">
        <f t="shared" si="13"/>
        <v>173.53725963777006</v>
      </c>
      <c r="AM12" s="2">
        <f t="shared" si="13"/>
        <v>156.18353367399305</v>
      </c>
      <c r="AN12" s="2">
        <f t="shared" si="13"/>
        <v>140.56518030659376</v>
      </c>
    </row>
    <row r="13" spans="1:40" s="14" customFormat="1" x14ac:dyDescent="0.2">
      <c r="B13" s="14" t="s">
        <v>24</v>
      </c>
      <c r="C13" s="15"/>
      <c r="D13" s="15"/>
      <c r="E13" s="15">
        <f>SUM(E9:E12)+E8</f>
        <v>1538</v>
      </c>
      <c r="F13" s="15">
        <f t="shared" ref="E13:J13" si="14">SUM(F9:F12)</f>
        <v>1627</v>
      </c>
      <c r="G13" s="15">
        <f t="shared" si="14"/>
        <v>1723.3</v>
      </c>
      <c r="H13" s="15">
        <f t="shared" si="14"/>
        <v>1794</v>
      </c>
      <c r="I13" s="15">
        <f t="shared" si="14"/>
        <v>1984</v>
      </c>
      <c r="J13" s="15">
        <f t="shared" si="14"/>
        <v>2072</v>
      </c>
      <c r="K13" s="15">
        <f>SUM(K9:K12)</f>
        <v>2097.5</v>
      </c>
      <c r="L13" s="15">
        <f t="shared" ref="L13:R13" si="15">SUM(L9:L12)</f>
        <v>2197</v>
      </c>
      <c r="M13" s="15">
        <f t="shared" si="15"/>
        <v>2294</v>
      </c>
      <c r="N13" s="15">
        <f t="shared" si="15"/>
        <v>2391</v>
      </c>
      <c r="O13" s="15">
        <f t="shared" si="15"/>
        <v>0</v>
      </c>
      <c r="P13" s="15">
        <f t="shared" si="15"/>
        <v>0</v>
      </c>
      <c r="Q13" s="15">
        <f t="shared" si="15"/>
        <v>0</v>
      </c>
      <c r="R13" s="15">
        <f t="shared" si="15"/>
        <v>0</v>
      </c>
      <c r="Y13" s="14">
        <f t="shared" ref="Y13" si="16">SUM(Y9:Y12)</f>
        <v>0</v>
      </c>
      <c r="Z13" s="14">
        <f>SUM(Z9:Z12)</f>
        <v>7573.3</v>
      </c>
      <c r="AA13" s="14">
        <f>SUM(AA9:AA12)</f>
        <v>8979.5</v>
      </c>
      <c r="AB13" s="14">
        <f>SUM(AB4:AB12)</f>
        <v>10503.73</v>
      </c>
      <c r="AC13" s="14">
        <f t="shared" ref="AC13:AN13" si="17">SUM(AC4:AC12)</f>
        <v>11721.101000000002</v>
      </c>
      <c r="AD13" s="14">
        <f t="shared" si="17"/>
        <v>12325.10194</v>
      </c>
      <c r="AE13" s="14">
        <f t="shared" si="17"/>
        <v>13443.225006800001</v>
      </c>
      <c r="AF13" s="14">
        <f t="shared" si="17"/>
        <v>14474.548432136</v>
      </c>
      <c r="AG13" s="14">
        <f t="shared" si="17"/>
        <v>15328.25243345872</v>
      </c>
      <c r="AH13" s="14">
        <f t="shared" si="17"/>
        <v>16193.709211539895</v>
      </c>
      <c r="AI13" s="14">
        <f t="shared" si="17"/>
        <v>16787.274952241489</v>
      </c>
      <c r="AJ13" s="14">
        <f t="shared" si="17"/>
        <v>17011.550742110041</v>
      </c>
      <c r="AK13" s="14">
        <f t="shared" si="17"/>
        <v>17246.236987593587</v>
      </c>
      <c r="AL13" s="14">
        <f t="shared" si="17"/>
        <v>17490.897183511679</v>
      </c>
      <c r="AM13" s="14">
        <f t="shared" si="17"/>
        <v>11395.44654423071</v>
      </c>
      <c r="AN13" s="14">
        <f t="shared" si="17"/>
        <v>5914.9212327421992</v>
      </c>
    </row>
    <row r="14" spans="1:40" s="2" customFormat="1" x14ac:dyDescent="0.2">
      <c r="B14" s="2" t="s">
        <v>62</v>
      </c>
      <c r="C14" s="13"/>
      <c r="D14" s="13"/>
      <c r="E14" s="13">
        <v>186.18199999999999</v>
      </c>
      <c r="F14" s="13">
        <v>203.1</v>
      </c>
      <c r="G14" s="13">
        <v>192.3</v>
      </c>
      <c r="H14" s="13">
        <v>228</v>
      </c>
      <c r="I14" s="13">
        <v>236.512</v>
      </c>
      <c r="J14" s="13">
        <v>247.4</v>
      </c>
      <c r="K14" s="13">
        <v>145.80000000000001</v>
      </c>
      <c r="L14" s="13">
        <v>261.8</v>
      </c>
      <c r="M14" s="13">
        <f>M13*0.07</f>
        <v>160.58000000000001</v>
      </c>
      <c r="N14" s="13">
        <f>N13*0.07</f>
        <v>167.37</v>
      </c>
      <c r="O14" s="13"/>
      <c r="Z14" s="2">
        <f t="shared" si="8"/>
        <v>904.21199999999999</v>
      </c>
      <c r="AA14" s="2">
        <f>SUM(K14:N14)</f>
        <v>735.55000000000007</v>
      </c>
      <c r="AB14" s="2">
        <f>+AB13*0.07</f>
        <v>735.26110000000006</v>
      </c>
      <c r="AC14" s="2">
        <f t="shared" ref="AC14:AN14" si="18">+AC13*0.07</f>
        <v>820.47707000000025</v>
      </c>
      <c r="AD14" s="2">
        <f t="shared" si="18"/>
        <v>862.75713580000013</v>
      </c>
      <c r="AE14" s="2">
        <f t="shared" si="18"/>
        <v>941.02575047600021</v>
      </c>
      <c r="AF14" s="2">
        <f t="shared" si="18"/>
        <v>1013.2183902495201</v>
      </c>
      <c r="AG14" s="2">
        <f t="shared" si="18"/>
        <v>1072.9776703421105</v>
      </c>
      <c r="AH14" s="2">
        <f t="shared" si="18"/>
        <v>1133.5596448077929</v>
      </c>
      <c r="AI14" s="2">
        <f t="shared" si="18"/>
        <v>1175.1092466569044</v>
      </c>
      <c r="AJ14" s="2">
        <f t="shared" si="18"/>
        <v>1190.8085519477029</v>
      </c>
      <c r="AK14" s="2">
        <f t="shared" si="18"/>
        <v>1207.2365891315512</v>
      </c>
      <c r="AL14" s="2">
        <f t="shared" si="18"/>
        <v>1224.3628028458177</v>
      </c>
      <c r="AM14" s="2">
        <f t="shared" si="18"/>
        <v>797.6812580961498</v>
      </c>
      <c r="AN14" s="2">
        <f t="shared" si="18"/>
        <v>414.044486291954</v>
      </c>
    </row>
    <row r="15" spans="1:40" s="2" customFormat="1" x14ac:dyDescent="0.2">
      <c r="B15" s="2" t="s">
        <v>63</v>
      </c>
      <c r="C15" s="13"/>
      <c r="D15" s="13"/>
      <c r="E15" s="13">
        <f t="shared" ref="E15:F15" si="19">+E13-E14</f>
        <v>1351.818</v>
      </c>
      <c r="F15" s="13">
        <f t="shared" si="19"/>
        <v>1423.9</v>
      </c>
      <c r="G15" s="13">
        <f>+G13-G14</f>
        <v>1531</v>
      </c>
      <c r="H15" s="13">
        <f>+H13-H14</f>
        <v>1566</v>
      </c>
      <c r="I15" s="13">
        <f>+I13-I14</f>
        <v>1747.4880000000001</v>
      </c>
      <c r="J15" s="13">
        <f>+J13-J14</f>
        <v>1824.6</v>
      </c>
      <c r="K15" s="13">
        <f>+K13-K14</f>
        <v>1951.7</v>
      </c>
      <c r="L15" s="13">
        <f t="shared" ref="L15:N15" si="20">+L13-L14</f>
        <v>1935.2</v>
      </c>
      <c r="M15" s="13">
        <f t="shared" si="20"/>
        <v>2133.42</v>
      </c>
      <c r="N15" s="13">
        <f t="shared" si="20"/>
        <v>2223.63</v>
      </c>
      <c r="O15" s="13"/>
      <c r="Y15" s="2">
        <f t="shared" ref="Y15" si="21">+Y13-Y14</f>
        <v>0</v>
      </c>
      <c r="Z15" s="2">
        <f>+Z13-Z14</f>
        <v>6669.0879999999997</v>
      </c>
      <c r="AA15" s="2">
        <f>+AA13-AA14</f>
        <v>8243.9500000000007</v>
      </c>
      <c r="AB15" s="2">
        <f>+AB13-AB14</f>
        <v>9768.4688999999998</v>
      </c>
      <c r="AC15" s="2">
        <f t="shared" ref="AC15:AN15" si="22">+AC13-AC14</f>
        <v>10900.623930000002</v>
      </c>
      <c r="AD15" s="2">
        <f t="shared" si="22"/>
        <v>11462.3448042</v>
      </c>
      <c r="AE15" s="2">
        <f t="shared" si="22"/>
        <v>12502.199256324002</v>
      </c>
      <c r="AF15" s="2">
        <f t="shared" si="22"/>
        <v>13461.33004188648</v>
      </c>
      <c r="AG15" s="2">
        <f t="shared" si="22"/>
        <v>14255.274763116609</v>
      </c>
      <c r="AH15" s="2">
        <f t="shared" si="22"/>
        <v>15060.149566732103</v>
      </c>
      <c r="AI15" s="2">
        <f t="shared" si="22"/>
        <v>15612.165705584584</v>
      </c>
      <c r="AJ15" s="2">
        <f t="shared" si="22"/>
        <v>15820.742190162338</v>
      </c>
      <c r="AK15" s="2">
        <f t="shared" si="22"/>
        <v>16039.000398462036</v>
      </c>
      <c r="AL15" s="2">
        <f t="shared" si="22"/>
        <v>16266.534380665862</v>
      </c>
      <c r="AM15" s="2">
        <f t="shared" si="22"/>
        <v>10597.76528613456</v>
      </c>
      <c r="AN15" s="2">
        <f t="shared" si="22"/>
        <v>5500.8767464502453</v>
      </c>
    </row>
    <row r="16" spans="1:40" s="2" customFormat="1" x14ac:dyDescent="0.2">
      <c r="B16" s="2" t="s">
        <v>64</v>
      </c>
      <c r="C16" s="13"/>
      <c r="D16" s="13"/>
      <c r="E16" s="13">
        <v>184.55099999999999</v>
      </c>
      <c r="F16" s="13">
        <v>175</v>
      </c>
      <c r="G16" s="13">
        <v>151</v>
      </c>
      <c r="H16" s="13">
        <v>194.6</v>
      </c>
      <c r="I16" s="13">
        <v>198.18899999999999</v>
      </c>
      <c r="J16" s="13">
        <v>210</v>
      </c>
      <c r="K16" s="13">
        <v>167</v>
      </c>
      <c r="L16" s="13">
        <v>215.3</v>
      </c>
      <c r="M16" s="13">
        <f t="shared" ref="M16:N16" si="23">+L16</f>
        <v>215.3</v>
      </c>
      <c r="N16" s="13">
        <f t="shared" si="23"/>
        <v>215.3</v>
      </c>
      <c r="O16" s="13"/>
      <c r="Y16" s="2">
        <v>609</v>
      </c>
      <c r="Z16" s="2">
        <v>673</v>
      </c>
      <c r="AA16" s="2">
        <f t="shared" ref="AA16:AA17" si="24">SUM(K16:N16)</f>
        <v>812.90000000000009</v>
      </c>
      <c r="AB16" s="2">
        <f>+AB13*0.1</f>
        <v>1050.373</v>
      </c>
      <c r="AC16" s="2">
        <f t="shared" ref="AC16:AN16" si="25">+AC13*0.1</f>
        <v>1172.1101000000003</v>
      </c>
      <c r="AD16" s="2">
        <f t="shared" si="25"/>
        <v>1232.5101940000002</v>
      </c>
      <c r="AE16" s="2">
        <f t="shared" si="25"/>
        <v>1344.3225006800003</v>
      </c>
      <c r="AF16" s="2">
        <f t="shared" si="25"/>
        <v>1447.4548432136</v>
      </c>
      <c r="AG16" s="2">
        <f t="shared" si="25"/>
        <v>1532.825243345872</v>
      </c>
      <c r="AH16" s="2">
        <f t="shared" si="25"/>
        <v>1619.3709211539897</v>
      </c>
      <c r="AI16" s="2">
        <f t="shared" si="25"/>
        <v>1678.7274952241489</v>
      </c>
      <c r="AJ16" s="2">
        <f t="shared" si="25"/>
        <v>1701.1550742110041</v>
      </c>
      <c r="AK16" s="2">
        <f t="shared" si="25"/>
        <v>1724.6236987593588</v>
      </c>
      <c r="AL16" s="2">
        <f t="shared" si="25"/>
        <v>1749.0897183511679</v>
      </c>
      <c r="AM16" s="2">
        <f t="shared" si="25"/>
        <v>1139.5446544230711</v>
      </c>
      <c r="AN16" s="2">
        <f t="shared" si="25"/>
        <v>591.49212327421992</v>
      </c>
    </row>
    <row r="17" spans="2:105" s="2" customFormat="1" x14ac:dyDescent="0.2">
      <c r="B17" s="2" t="s">
        <v>65</v>
      </c>
      <c r="C17" s="13"/>
      <c r="D17" s="13"/>
      <c r="E17" s="13">
        <v>493.49700000000001</v>
      </c>
      <c r="F17" s="13">
        <v>364</v>
      </c>
      <c r="G17" s="13">
        <v>380</v>
      </c>
      <c r="H17" s="13">
        <v>448.7</v>
      </c>
      <c r="I17" s="13">
        <v>493.75099999999998</v>
      </c>
      <c r="J17" s="13">
        <v>493</v>
      </c>
      <c r="K17" s="13">
        <v>520</v>
      </c>
      <c r="L17" s="13">
        <v>600.1</v>
      </c>
      <c r="M17" s="13">
        <f t="shared" ref="M17:N17" si="26">+L17</f>
        <v>600.1</v>
      </c>
      <c r="N17" s="13">
        <f t="shared" si="26"/>
        <v>600.1</v>
      </c>
      <c r="O17" s="13"/>
      <c r="Y17" s="2">
        <v>1372</v>
      </c>
      <c r="Z17" s="2">
        <v>1658</v>
      </c>
      <c r="AA17" s="2">
        <f t="shared" si="24"/>
        <v>2320.2999999999997</v>
      </c>
    </row>
    <row r="18" spans="2:105" s="2" customFormat="1" x14ac:dyDescent="0.2">
      <c r="B18" s="2" t="s">
        <v>66</v>
      </c>
      <c r="C18" s="13"/>
      <c r="D18" s="13"/>
      <c r="E18" s="13">
        <f t="shared" ref="E18:F18" si="27">SUM(E16:E17)</f>
        <v>678.048</v>
      </c>
      <c r="F18" s="13">
        <f t="shared" si="27"/>
        <v>539</v>
      </c>
      <c r="G18" s="13">
        <f>SUM(G16:G17)</f>
        <v>531</v>
      </c>
      <c r="H18" s="13">
        <f t="shared" ref="H18:K18" si="28">SUM(H16:H17)</f>
        <v>643.29999999999995</v>
      </c>
      <c r="I18" s="13">
        <f t="shared" si="28"/>
        <v>691.93999999999994</v>
      </c>
      <c r="J18" s="13">
        <f>SUM(J16:J17)</f>
        <v>703</v>
      </c>
      <c r="K18" s="13">
        <f t="shared" si="28"/>
        <v>687</v>
      </c>
      <c r="L18" s="13">
        <f>SUM(L16:L17)</f>
        <v>815.40000000000009</v>
      </c>
      <c r="M18" s="13">
        <f t="shared" ref="M18:N18" si="29">SUM(M16:M17)</f>
        <v>815.40000000000009</v>
      </c>
      <c r="N18" s="13">
        <f t="shared" si="29"/>
        <v>815.40000000000009</v>
      </c>
      <c r="O18" s="13"/>
      <c r="Y18" s="13">
        <f t="shared" ref="Y18:AA18" si="30">SUM(Y16:Y17)</f>
        <v>1981</v>
      </c>
      <c r="Z18" s="13">
        <f t="shared" si="30"/>
        <v>2331</v>
      </c>
      <c r="AA18" s="13">
        <f t="shared" si="30"/>
        <v>3133.2</v>
      </c>
      <c r="AB18" s="13">
        <f t="shared" ref="AB18:AN18" si="31">SUM(AB16:AB17)</f>
        <v>1050.373</v>
      </c>
      <c r="AC18" s="13">
        <f t="shared" si="31"/>
        <v>1172.1101000000003</v>
      </c>
      <c r="AD18" s="13">
        <f t="shared" si="31"/>
        <v>1232.5101940000002</v>
      </c>
      <c r="AE18" s="13">
        <f t="shared" si="31"/>
        <v>1344.3225006800003</v>
      </c>
      <c r="AF18" s="13">
        <f t="shared" si="31"/>
        <v>1447.4548432136</v>
      </c>
      <c r="AG18" s="13">
        <f t="shared" si="31"/>
        <v>1532.825243345872</v>
      </c>
      <c r="AH18" s="13">
        <f t="shared" si="31"/>
        <v>1619.3709211539897</v>
      </c>
      <c r="AI18" s="13">
        <f t="shared" si="31"/>
        <v>1678.7274952241489</v>
      </c>
      <c r="AJ18" s="13">
        <f t="shared" si="31"/>
        <v>1701.1550742110041</v>
      </c>
      <c r="AK18" s="13">
        <f t="shared" si="31"/>
        <v>1724.6236987593588</v>
      </c>
      <c r="AL18" s="13">
        <f t="shared" si="31"/>
        <v>1749.0897183511679</v>
      </c>
      <c r="AM18" s="13">
        <f t="shared" si="31"/>
        <v>1139.5446544230711</v>
      </c>
      <c r="AN18" s="13">
        <f t="shared" si="31"/>
        <v>591.49212327421992</v>
      </c>
    </row>
    <row r="19" spans="2:105" x14ac:dyDescent="0.2">
      <c r="B19" s="2" t="s">
        <v>67</v>
      </c>
      <c r="E19" s="13">
        <f t="shared" ref="E19:F19" si="32">E15-E18</f>
        <v>673.77</v>
      </c>
      <c r="F19" s="13">
        <f t="shared" si="32"/>
        <v>884.90000000000009</v>
      </c>
      <c r="G19" s="13">
        <f>G15-G18</f>
        <v>1000</v>
      </c>
      <c r="H19" s="13">
        <f t="shared" ref="H19:K19" si="33">H15-H18</f>
        <v>922.7</v>
      </c>
      <c r="I19" s="13">
        <f t="shared" si="33"/>
        <v>1055.5480000000002</v>
      </c>
      <c r="J19" s="13">
        <f>J15-J18</f>
        <v>1121.5999999999999</v>
      </c>
      <c r="K19" s="13">
        <f t="shared" si="33"/>
        <v>1264.7</v>
      </c>
      <c r="L19" s="13">
        <f>L15-L18</f>
        <v>1119.8</v>
      </c>
      <c r="M19" s="13">
        <f t="shared" ref="M19:N19" si="34">M15-M18</f>
        <v>1318.02</v>
      </c>
      <c r="N19" s="13">
        <f t="shared" si="34"/>
        <v>1408.23</v>
      </c>
      <c r="O19" s="13"/>
      <c r="Y19" s="13">
        <f t="shared" ref="Y19:AA19" si="35">Y15-Y18</f>
        <v>-1981</v>
      </c>
      <c r="Z19" s="13">
        <f t="shared" si="35"/>
        <v>4338.0879999999997</v>
      </c>
      <c r="AA19" s="13">
        <f t="shared" si="35"/>
        <v>5110.7500000000009</v>
      </c>
      <c r="AB19" s="13">
        <f t="shared" ref="AB19:AN19" si="36">AB15-AB18</f>
        <v>8718.0959000000003</v>
      </c>
      <c r="AC19" s="13">
        <f t="shared" si="36"/>
        <v>9728.5138300000017</v>
      </c>
      <c r="AD19" s="13">
        <f t="shared" si="36"/>
        <v>10229.8346102</v>
      </c>
      <c r="AE19" s="13">
        <f t="shared" si="36"/>
        <v>11157.876755644002</v>
      </c>
      <c r="AF19" s="13">
        <f t="shared" si="36"/>
        <v>12013.87519867288</v>
      </c>
      <c r="AG19" s="13">
        <f t="shared" si="36"/>
        <v>12722.449519770737</v>
      </c>
      <c r="AH19" s="13">
        <f t="shared" si="36"/>
        <v>13440.778645578113</v>
      </c>
      <c r="AI19" s="13">
        <f t="shared" si="36"/>
        <v>13933.438210360435</v>
      </c>
      <c r="AJ19" s="13">
        <f t="shared" si="36"/>
        <v>14119.587115951334</v>
      </c>
      <c r="AK19" s="13">
        <f t="shared" si="36"/>
        <v>14314.376699702678</v>
      </c>
      <c r="AL19" s="13">
        <f t="shared" si="36"/>
        <v>14517.444662314694</v>
      </c>
      <c r="AM19" s="13">
        <f t="shared" si="36"/>
        <v>9458.2206317114887</v>
      </c>
      <c r="AN19" s="13">
        <f t="shared" si="36"/>
        <v>4909.3846231760253</v>
      </c>
    </row>
    <row r="20" spans="2:105" s="2" customFormat="1" x14ac:dyDescent="0.2">
      <c r="B20" s="2" t="s">
        <v>126</v>
      </c>
      <c r="C20" s="13"/>
      <c r="D20" s="13"/>
      <c r="E20" s="13">
        <f>3.1-13.856</f>
        <v>-10.756</v>
      </c>
      <c r="F20" s="13">
        <f>2.3-16.3</f>
        <v>-14</v>
      </c>
      <c r="G20" s="13">
        <f>1.5-15.7</f>
        <v>-14.2</v>
      </c>
      <c r="H20" s="13">
        <f>1.1-15.5</f>
        <v>-14.4</v>
      </c>
      <c r="I20" s="13">
        <f>1.116-15.255</f>
        <v>-14.139000000000001</v>
      </c>
      <c r="J20" s="13">
        <f>1.2-15.1</f>
        <v>-13.9</v>
      </c>
      <c r="K20" s="13">
        <f>1.6-14.9</f>
        <v>-13.3</v>
      </c>
      <c r="L20" s="13">
        <f>10.8-14.6</f>
        <v>-3.7999999999999989</v>
      </c>
      <c r="M20" s="13">
        <f t="shared" ref="M20:N20" si="37">+L20</f>
        <v>-3.7999999999999989</v>
      </c>
      <c r="N20" s="13">
        <f t="shared" si="37"/>
        <v>-3.7999999999999989</v>
      </c>
      <c r="O20" s="13"/>
      <c r="AA20" s="2">
        <f t="shared" ref="AA20:AA22" si="38">SUM(K20:N20)</f>
        <v>-24.699999999999996</v>
      </c>
      <c r="AB20" s="2">
        <f t="shared" ref="AB20:AN20" si="39">+AA32*$AQ$30</f>
        <v>114.73649999999999</v>
      </c>
      <c r="AC20" s="2">
        <f t="shared" si="39"/>
        <v>185.39915919999999</v>
      </c>
      <c r="AD20" s="2">
        <f t="shared" si="39"/>
        <v>264.71046311360004</v>
      </c>
      <c r="AE20" s="2">
        <f t="shared" si="39"/>
        <v>348.66682370010881</v>
      </c>
      <c r="AF20" s="2">
        <f t="shared" si="39"/>
        <v>440.71917233486164</v>
      </c>
      <c r="AG20" s="2">
        <f t="shared" si="39"/>
        <v>540.35592730292365</v>
      </c>
      <c r="AH20" s="2">
        <f t="shared" si="39"/>
        <v>646.45837087951293</v>
      </c>
      <c r="AI20" s="2">
        <f t="shared" si="39"/>
        <v>759.1562670111739</v>
      </c>
      <c r="AJ20" s="2">
        <f t="shared" si="39"/>
        <v>876.69702283014681</v>
      </c>
      <c r="AK20" s="2">
        <f t="shared" si="39"/>
        <v>996.66729594039862</v>
      </c>
      <c r="AL20" s="2">
        <f t="shared" si="39"/>
        <v>1119.1556479055432</v>
      </c>
      <c r="AM20" s="2">
        <f t="shared" si="39"/>
        <v>1244.2484503873052</v>
      </c>
      <c r="AN20" s="2">
        <f t="shared" si="39"/>
        <v>1329.8682030440955</v>
      </c>
    </row>
    <row r="21" spans="2:105" x14ac:dyDescent="0.2">
      <c r="B21" s="2" t="s">
        <v>127</v>
      </c>
      <c r="E21" s="13">
        <f>+E19+E20</f>
        <v>663.01400000000001</v>
      </c>
      <c r="F21" s="13">
        <f>+F19+F20</f>
        <v>870.90000000000009</v>
      </c>
      <c r="G21" s="13">
        <f>+G19+G20</f>
        <v>985.8</v>
      </c>
      <c r="H21" s="13">
        <f t="shared" ref="H21:K21" si="40">+H19+H20</f>
        <v>908.30000000000007</v>
      </c>
      <c r="I21" s="13">
        <f t="shared" si="40"/>
        <v>1041.4090000000003</v>
      </c>
      <c r="J21" s="13">
        <f t="shared" si="40"/>
        <v>1107.6999999999998</v>
      </c>
      <c r="K21" s="13">
        <f t="shared" si="40"/>
        <v>1251.4000000000001</v>
      </c>
      <c r="L21" s="13">
        <f t="shared" ref="L21" si="41">+L19+L20</f>
        <v>1116</v>
      </c>
      <c r="M21" s="13">
        <f t="shared" ref="M21" si="42">+M19+M20</f>
        <v>1314.22</v>
      </c>
      <c r="N21" s="13">
        <f t="shared" ref="N21" si="43">+N19+N20</f>
        <v>1404.43</v>
      </c>
      <c r="O21" s="13"/>
      <c r="AA21" s="2">
        <f>+AA19+AA20</f>
        <v>5086.0500000000011</v>
      </c>
      <c r="AB21" s="2">
        <f t="shared" ref="AB21:AN21" si="44">+AB19+AB20</f>
        <v>8832.8324000000011</v>
      </c>
      <c r="AC21" s="2">
        <f t="shared" si="44"/>
        <v>9913.9129892000019</v>
      </c>
      <c r="AD21" s="2">
        <f t="shared" si="44"/>
        <v>10494.5450733136</v>
      </c>
      <c r="AE21" s="2">
        <f t="shared" si="44"/>
        <v>11506.54357934411</v>
      </c>
      <c r="AF21" s="2">
        <f t="shared" si="44"/>
        <v>12454.594371007743</v>
      </c>
      <c r="AG21" s="2">
        <f t="shared" si="44"/>
        <v>13262.805447073661</v>
      </c>
      <c r="AH21" s="2">
        <f t="shared" si="44"/>
        <v>14087.237016457626</v>
      </c>
      <c r="AI21" s="2">
        <f t="shared" si="44"/>
        <v>14692.594477371609</v>
      </c>
      <c r="AJ21" s="2">
        <f t="shared" si="44"/>
        <v>14996.284138781481</v>
      </c>
      <c r="AK21" s="2">
        <f t="shared" si="44"/>
        <v>15311.043995643076</v>
      </c>
      <c r="AL21" s="2">
        <f t="shared" si="44"/>
        <v>15636.600310220238</v>
      </c>
      <c r="AM21" s="2">
        <f t="shared" si="44"/>
        <v>10702.469082098794</v>
      </c>
      <c r="AN21" s="2">
        <f t="shared" si="44"/>
        <v>6239.2528262201213</v>
      </c>
    </row>
    <row r="22" spans="2:105" s="2" customFormat="1" x14ac:dyDescent="0.2">
      <c r="B22" s="2" t="s">
        <v>128</v>
      </c>
      <c r="C22" s="13"/>
      <c r="D22" s="13"/>
      <c r="E22" s="13">
        <v>78.436999999999998</v>
      </c>
      <c r="F22" s="13">
        <v>198</v>
      </c>
      <c r="G22" s="13">
        <v>206</v>
      </c>
      <c r="H22" s="13">
        <v>10.9</v>
      </c>
      <c r="I22" s="13">
        <v>230.81299999999999</v>
      </c>
      <c r="J22" s="13">
        <v>239</v>
      </c>
      <c r="K22" s="13">
        <v>249</v>
      </c>
      <c r="L22" s="13">
        <v>258.60000000000002</v>
      </c>
      <c r="M22" s="13">
        <v>249</v>
      </c>
      <c r="N22" s="13">
        <v>249</v>
      </c>
      <c r="O22" s="13"/>
      <c r="AA22" s="2">
        <f t="shared" si="38"/>
        <v>1005.6</v>
      </c>
      <c r="AB22" s="2">
        <f>+AB21*0.2</f>
        <v>1766.5664800000004</v>
      </c>
      <c r="AC22" s="2">
        <f t="shared" ref="AC22:AN22" si="45">+AC21*0.2</f>
        <v>1982.7825978400006</v>
      </c>
      <c r="AD22" s="2">
        <f t="shared" si="45"/>
        <v>2098.90901466272</v>
      </c>
      <c r="AE22" s="2">
        <f t="shared" si="45"/>
        <v>2301.3087158688222</v>
      </c>
      <c r="AF22" s="2">
        <f t="shared" si="45"/>
        <v>2490.9188742015485</v>
      </c>
      <c r="AG22" s="2">
        <f t="shared" si="45"/>
        <v>2652.5610894147321</v>
      </c>
      <c r="AH22" s="2">
        <f t="shared" si="45"/>
        <v>2817.4474032915255</v>
      </c>
      <c r="AI22" s="2">
        <f t="shared" si="45"/>
        <v>2938.5188954743221</v>
      </c>
      <c r="AJ22" s="2">
        <f t="shared" si="45"/>
        <v>2999.2568277562964</v>
      </c>
      <c r="AK22" s="2">
        <f t="shared" si="45"/>
        <v>3062.2087991286153</v>
      </c>
      <c r="AL22" s="2">
        <f t="shared" si="45"/>
        <v>3127.3200620440475</v>
      </c>
      <c r="AM22" s="2">
        <f t="shared" si="45"/>
        <v>2140.4938164197588</v>
      </c>
      <c r="AN22" s="2">
        <f t="shared" si="45"/>
        <v>1247.8505652440244</v>
      </c>
    </row>
    <row r="23" spans="2:105" x14ac:dyDescent="0.2">
      <c r="B23" s="2" t="s">
        <v>129</v>
      </c>
      <c r="E23" s="13">
        <f>+E21-E22</f>
        <v>584.577</v>
      </c>
      <c r="F23" s="13">
        <f>+F21-F22</f>
        <v>672.90000000000009</v>
      </c>
      <c r="G23" s="13">
        <f>+G21-G22</f>
        <v>779.8</v>
      </c>
      <c r="H23" s="13">
        <f t="shared" ref="H23:N23" si="46">+H21-H22</f>
        <v>897.40000000000009</v>
      </c>
      <c r="I23" s="13">
        <f t="shared" si="46"/>
        <v>810.59600000000034</v>
      </c>
      <c r="J23" s="13">
        <f t="shared" si="46"/>
        <v>868.69999999999982</v>
      </c>
      <c r="K23" s="13">
        <f t="shared" si="46"/>
        <v>1002.4000000000001</v>
      </c>
      <c r="L23" s="13">
        <f t="shared" si="46"/>
        <v>857.4</v>
      </c>
      <c r="M23" s="13">
        <f t="shared" si="46"/>
        <v>1065.22</v>
      </c>
      <c r="N23" s="13">
        <f t="shared" si="46"/>
        <v>1155.43</v>
      </c>
      <c r="O23" s="13"/>
      <c r="AA23" s="2">
        <f>+AA21-AA22</f>
        <v>4080.4500000000012</v>
      </c>
      <c r="AB23" s="2">
        <f t="shared" ref="AB23:AN23" si="47">+AB21-AB22</f>
        <v>7066.2659200000007</v>
      </c>
      <c r="AC23" s="2">
        <f t="shared" si="47"/>
        <v>7931.1303913600013</v>
      </c>
      <c r="AD23" s="2">
        <f t="shared" si="47"/>
        <v>8395.6360586508799</v>
      </c>
      <c r="AE23" s="2">
        <f t="shared" si="47"/>
        <v>9205.2348634752889</v>
      </c>
      <c r="AF23" s="2">
        <f t="shared" si="47"/>
        <v>9963.6754968061941</v>
      </c>
      <c r="AG23" s="2">
        <f t="shared" si="47"/>
        <v>10610.244357658928</v>
      </c>
      <c r="AH23" s="2">
        <f t="shared" si="47"/>
        <v>11269.7896131661</v>
      </c>
      <c r="AI23" s="2">
        <f t="shared" si="47"/>
        <v>11754.075581897287</v>
      </c>
      <c r="AJ23" s="2">
        <f t="shared" si="47"/>
        <v>11997.027311025184</v>
      </c>
      <c r="AK23" s="2">
        <f t="shared" si="47"/>
        <v>12248.835196514461</v>
      </c>
      <c r="AL23" s="2">
        <f t="shared" si="47"/>
        <v>12509.28024817619</v>
      </c>
      <c r="AM23" s="2">
        <f t="shared" si="47"/>
        <v>8561.9752656790351</v>
      </c>
      <c r="AN23" s="2">
        <f t="shared" si="47"/>
        <v>4991.4022609760968</v>
      </c>
      <c r="AO23" s="2">
        <f>+AN23*(1+$AQ$28)</f>
        <v>4741.8321479272918</v>
      </c>
      <c r="AP23" s="2">
        <f t="shared" ref="AP23:DA23" si="48">+AO23*(1+$AQ$28)</f>
        <v>4504.7405405309273</v>
      </c>
      <c r="AQ23" s="2">
        <f t="shared" si="48"/>
        <v>4279.5035135043809</v>
      </c>
      <c r="AR23" s="2">
        <f t="shared" si="48"/>
        <v>4065.5283378291615</v>
      </c>
      <c r="AS23" s="2">
        <f t="shared" si="48"/>
        <v>3862.2519209377033</v>
      </c>
      <c r="AT23" s="2">
        <f t="shared" si="48"/>
        <v>3669.139324890818</v>
      </c>
      <c r="AU23" s="2">
        <f t="shared" si="48"/>
        <v>3485.682358646277</v>
      </c>
      <c r="AV23" s="2">
        <f t="shared" si="48"/>
        <v>3311.3982407139629</v>
      </c>
      <c r="AW23" s="2">
        <f t="shared" si="48"/>
        <v>3145.8283286782644</v>
      </c>
      <c r="AX23" s="2">
        <f t="shared" si="48"/>
        <v>2988.5369122443508</v>
      </c>
      <c r="AY23" s="2">
        <f t="shared" si="48"/>
        <v>2839.1100666321331</v>
      </c>
      <c r="AZ23" s="2">
        <f t="shared" si="48"/>
        <v>2697.1545633005262</v>
      </c>
      <c r="BA23" s="2">
        <f t="shared" si="48"/>
        <v>2562.2968351354998</v>
      </c>
      <c r="BB23" s="2">
        <f t="shared" si="48"/>
        <v>2434.1819933787247</v>
      </c>
      <c r="BC23" s="2">
        <f t="shared" si="48"/>
        <v>2312.4728937097884</v>
      </c>
      <c r="BD23" s="2">
        <f t="shared" si="48"/>
        <v>2196.8492490242988</v>
      </c>
      <c r="BE23" s="2">
        <f t="shared" si="48"/>
        <v>2087.0067865730839</v>
      </c>
      <c r="BF23" s="2">
        <f t="shared" si="48"/>
        <v>1982.6564472444295</v>
      </c>
      <c r="BG23" s="2">
        <f t="shared" si="48"/>
        <v>1883.523624882208</v>
      </c>
      <c r="BH23" s="2">
        <f t="shared" si="48"/>
        <v>1789.3474436380975</v>
      </c>
      <c r="BI23" s="2">
        <f t="shared" si="48"/>
        <v>1699.8800714561926</v>
      </c>
      <c r="BJ23" s="2">
        <f t="shared" si="48"/>
        <v>1614.8860678833828</v>
      </c>
      <c r="BK23" s="2">
        <f t="shared" si="48"/>
        <v>1534.1417644892135</v>
      </c>
      <c r="BL23" s="2">
        <f t="shared" si="48"/>
        <v>1457.4346762647529</v>
      </c>
      <c r="BM23" s="2">
        <f t="shared" si="48"/>
        <v>1384.5629424515153</v>
      </c>
      <c r="BN23" s="2">
        <f t="shared" si="48"/>
        <v>1315.3347953289394</v>
      </c>
      <c r="BO23" s="2">
        <f t="shared" si="48"/>
        <v>1249.5680555624924</v>
      </c>
      <c r="BP23" s="2">
        <f t="shared" si="48"/>
        <v>1187.0896527843677</v>
      </c>
      <c r="BQ23" s="2">
        <f t="shared" si="48"/>
        <v>1127.7351701451491</v>
      </c>
      <c r="BR23" s="2">
        <f t="shared" si="48"/>
        <v>1071.3484116378916</v>
      </c>
      <c r="BS23" s="2">
        <f t="shared" si="48"/>
        <v>1017.7809910559969</v>
      </c>
      <c r="BT23" s="2">
        <f t="shared" si="48"/>
        <v>966.89194150319702</v>
      </c>
      <c r="BU23" s="2">
        <f t="shared" si="48"/>
        <v>918.54734442803715</v>
      </c>
      <c r="BV23" s="2">
        <f t="shared" si="48"/>
        <v>872.61997720663521</v>
      </c>
      <c r="BW23" s="2">
        <f t="shared" si="48"/>
        <v>828.98897834630338</v>
      </c>
      <c r="BX23" s="2">
        <f t="shared" si="48"/>
        <v>787.5395294289882</v>
      </c>
      <c r="BY23" s="2">
        <f t="shared" si="48"/>
        <v>748.16255295753876</v>
      </c>
      <c r="BZ23" s="2">
        <f t="shared" si="48"/>
        <v>710.75442530966177</v>
      </c>
      <c r="CA23" s="2">
        <f t="shared" si="48"/>
        <v>675.21670404417864</v>
      </c>
      <c r="CB23" s="2">
        <f t="shared" si="48"/>
        <v>641.45586884196973</v>
      </c>
      <c r="CC23" s="2">
        <f t="shared" si="48"/>
        <v>609.38307539987125</v>
      </c>
      <c r="CD23" s="2">
        <f t="shared" si="48"/>
        <v>578.91392162987768</v>
      </c>
      <c r="CE23" s="2">
        <f t="shared" si="48"/>
        <v>549.96822554838377</v>
      </c>
      <c r="CF23" s="2">
        <f t="shared" si="48"/>
        <v>522.46981427096455</v>
      </c>
      <c r="CG23" s="2">
        <f t="shared" si="48"/>
        <v>496.34632355741627</v>
      </c>
      <c r="CH23" s="2">
        <f t="shared" si="48"/>
        <v>471.52900737954542</v>
      </c>
      <c r="CI23" s="2">
        <f t="shared" si="48"/>
        <v>447.95255701056811</v>
      </c>
      <c r="CJ23" s="2">
        <f t="shared" si="48"/>
        <v>425.55492916003971</v>
      </c>
      <c r="CK23" s="2">
        <f t="shared" si="48"/>
        <v>404.27718270203769</v>
      </c>
      <c r="CL23" s="2">
        <f t="shared" si="48"/>
        <v>384.06332356693576</v>
      </c>
      <c r="CM23" s="2">
        <f t="shared" si="48"/>
        <v>364.86015738858896</v>
      </c>
      <c r="CN23" s="2">
        <f t="shared" si="48"/>
        <v>346.61714951915951</v>
      </c>
      <c r="CO23" s="2">
        <f t="shared" si="48"/>
        <v>329.28629204320151</v>
      </c>
      <c r="CP23" s="2">
        <f t="shared" si="48"/>
        <v>312.82197744104144</v>
      </c>
      <c r="CQ23" s="2">
        <f t="shared" si="48"/>
        <v>297.18087856898933</v>
      </c>
      <c r="CR23" s="2">
        <f t="shared" si="48"/>
        <v>282.32183464053986</v>
      </c>
      <c r="CS23" s="2">
        <f t="shared" si="48"/>
        <v>268.20574290851283</v>
      </c>
      <c r="CT23" s="2">
        <f t="shared" si="48"/>
        <v>254.79545576308718</v>
      </c>
      <c r="CU23" s="2">
        <f t="shared" si="48"/>
        <v>242.05568297493281</v>
      </c>
      <c r="CV23" s="2">
        <f t="shared" si="48"/>
        <v>229.95289882618616</v>
      </c>
      <c r="CW23" s="2">
        <f t="shared" si="48"/>
        <v>218.45525388487684</v>
      </c>
      <c r="CX23" s="2">
        <f t="shared" si="48"/>
        <v>207.53249119063298</v>
      </c>
      <c r="CY23" s="2">
        <f t="shared" si="48"/>
        <v>197.15586663110133</v>
      </c>
      <c r="CZ23" s="2">
        <f t="shared" si="48"/>
        <v>187.29807329954625</v>
      </c>
      <c r="DA23" s="2">
        <f t="shared" si="48"/>
        <v>177.93316963456891</v>
      </c>
    </row>
    <row r="24" spans="2:105" s="1" customFormat="1" x14ac:dyDescent="0.2">
      <c r="B24" s="1" t="s">
        <v>130</v>
      </c>
      <c r="C24" s="22"/>
      <c r="D24" s="22"/>
      <c r="E24" s="22">
        <f t="shared" ref="E24" si="49">+E23/E25</f>
        <v>2.2136444018645935</v>
      </c>
      <c r="F24" s="22">
        <f t="shared" ref="F24:J24" si="50">+F23/F25</f>
        <v>2.5575826681870013</v>
      </c>
      <c r="G24" s="22">
        <f t="shared" si="50"/>
        <v>2.9774723176785032</v>
      </c>
      <c r="H24" s="22">
        <f t="shared" si="50"/>
        <v>3.438314176245211</v>
      </c>
      <c r="I24" s="22">
        <f t="shared" si="50"/>
        <v>3.1211942689261374</v>
      </c>
      <c r="J24" s="22">
        <f t="shared" si="50"/>
        <v>3.3801556420233454</v>
      </c>
      <c r="K24" s="22">
        <f>+K23/K25</f>
        <v>3.8867778208607993</v>
      </c>
      <c r="L24" s="22">
        <f t="shared" ref="L24:N24" si="51">+L23/L25</f>
        <v>3.3142636258214146</v>
      </c>
      <c r="M24" s="22">
        <f t="shared" si="51"/>
        <v>4.1175879396984927</v>
      </c>
      <c r="N24" s="22">
        <f t="shared" si="51"/>
        <v>4.4662930034789339</v>
      </c>
      <c r="O24" s="22"/>
      <c r="AA24" s="1">
        <f>+AA23/AA25</f>
        <v>15.785106382978729</v>
      </c>
      <c r="AB24" s="1">
        <f t="shared" ref="AB24:AN24" si="52">+AB23/AB25</f>
        <v>27.335651528046423</v>
      </c>
      <c r="AC24" s="1">
        <f t="shared" si="52"/>
        <v>30.681355479148941</v>
      </c>
      <c r="AD24" s="1">
        <f t="shared" si="52"/>
        <v>32.478282625341897</v>
      </c>
      <c r="AE24" s="1">
        <f t="shared" si="52"/>
        <v>35.610192895455661</v>
      </c>
      <c r="AF24" s="1">
        <f t="shared" si="52"/>
        <v>38.544199213950463</v>
      </c>
      <c r="AG24" s="1">
        <f t="shared" si="52"/>
        <v>41.045432718216361</v>
      </c>
      <c r="AH24" s="1">
        <f t="shared" si="52"/>
        <v>43.596865041261509</v>
      </c>
      <c r="AI24" s="1">
        <f t="shared" si="52"/>
        <v>45.470311728809619</v>
      </c>
      <c r="AJ24" s="1">
        <f t="shared" si="52"/>
        <v>46.410163679014254</v>
      </c>
      <c r="AK24" s="1">
        <f t="shared" si="52"/>
        <v>47.384275421719387</v>
      </c>
      <c r="AL24" s="1">
        <f t="shared" si="52"/>
        <v>48.391799799521046</v>
      </c>
      <c r="AM24" s="1">
        <f t="shared" si="52"/>
        <v>33.121761182510774</v>
      </c>
      <c r="AN24" s="1">
        <f t="shared" si="52"/>
        <v>19.309099655613526</v>
      </c>
    </row>
    <row r="25" spans="2:105" s="2" customFormat="1" x14ac:dyDescent="0.2">
      <c r="B25" s="2" t="s">
        <v>1</v>
      </c>
      <c r="C25" s="13"/>
      <c r="D25" s="13"/>
      <c r="E25" s="13">
        <v>264.07900000000001</v>
      </c>
      <c r="F25" s="13">
        <v>263.10000000000002</v>
      </c>
      <c r="G25" s="13">
        <v>261.89999999999998</v>
      </c>
      <c r="H25" s="13">
        <v>261</v>
      </c>
      <c r="I25" s="13">
        <v>259.70699999999999</v>
      </c>
      <c r="J25" s="13">
        <v>257</v>
      </c>
      <c r="K25" s="13">
        <v>257.89999999999998</v>
      </c>
      <c r="L25" s="13">
        <v>258.7</v>
      </c>
      <c r="M25" s="13">
        <f t="shared" ref="M25:N25" si="53">+L25</f>
        <v>258.7</v>
      </c>
      <c r="N25" s="13">
        <f t="shared" si="53"/>
        <v>258.7</v>
      </c>
      <c r="O25" s="13"/>
      <c r="AA25" s="2">
        <f>AVERAGE(K25:N25)</f>
        <v>258.5</v>
      </c>
      <c r="AB25" s="2">
        <f>+AA25</f>
        <v>258.5</v>
      </c>
      <c r="AC25" s="2">
        <f t="shared" ref="AC25:AN25" si="54">+AB25</f>
        <v>258.5</v>
      </c>
      <c r="AD25" s="2">
        <f t="shared" si="54"/>
        <v>258.5</v>
      </c>
      <c r="AE25" s="2">
        <f t="shared" si="54"/>
        <v>258.5</v>
      </c>
      <c r="AF25" s="2">
        <f t="shared" si="54"/>
        <v>258.5</v>
      </c>
      <c r="AG25" s="2">
        <f t="shared" si="54"/>
        <v>258.5</v>
      </c>
      <c r="AH25" s="2">
        <f t="shared" si="54"/>
        <v>258.5</v>
      </c>
      <c r="AI25" s="2">
        <f t="shared" si="54"/>
        <v>258.5</v>
      </c>
      <c r="AJ25" s="2">
        <f t="shared" si="54"/>
        <v>258.5</v>
      </c>
      <c r="AK25" s="2">
        <f t="shared" si="54"/>
        <v>258.5</v>
      </c>
      <c r="AL25" s="2">
        <f t="shared" si="54"/>
        <v>258.5</v>
      </c>
      <c r="AM25" s="2">
        <f t="shared" si="54"/>
        <v>258.5</v>
      </c>
      <c r="AN25" s="2">
        <f t="shared" si="54"/>
        <v>258.5</v>
      </c>
    </row>
    <row r="27" spans="2:105" s="27" customFormat="1" x14ac:dyDescent="0.2">
      <c r="B27" s="14" t="s">
        <v>309</v>
      </c>
      <c r="C27" s="25"/>
      <c r="D27" s="25"/>
      <c r="E27" s="25"/>
      <c r="F27" s="25"/>
      <c r="G27" s="25"/>
      <c r="H27" s="25"/>
      <c r="I27" s="26">
        <f>+I13/E13-1</f>
        <v>0.28998699609882972</v>
      </c>
      <c r="J27" s="26">
        <f>+J13/F13-1</f>
        <v>0.27350952673632456</v>
      </c>
      <c r="K27" s="26">
        <f t="shared" ref="K27:N27" si="55">+K13/G13-1</f>
        <v>0.21714153078396103</v>
      </c>
      <c r="L27" s="26">
        <f t="shared" si="55"/>
        <v>0.2246376811594204</v>
      </c>
      <c r="M27" s="26">
        <f t="shared" si="55"/>
        <v>0.15625</v>
      </c>
      <c r="N27" s="26">
        <f t="shared" si="55"/>
        <v>0.15395752895752901</v>
      </c>
      <c r="O27" s="25"/>
    </row>
    <row r="28" spans="2:105" x14ac:dyDescent="0.2">
      <c r="B28" s="2" t="s">
        <v>185</v>
      </c>
      <c r="E28" s="20">
        <f t="shared" ref="E28:F28" si="56">E15/E13</f>
        <v>0.87894538361508456</v>
      </c>
      <c r="F28" s="20">
        <f t="shared" si="56"/>
        <v>0.87516902274124164</v>
      </c>
      <c r="G28" s="20">
        <f t="shared" ref="G28:J28" si="57">G15/G13</f>
        <v>0.888411768119306</v>
      </c>
      <c r="H28" s="20">
        <f t="shared" si="57"/>
        <v>0.87290969899665549</v>
      </c>
      <c r="I28" s="20">
        <f t="shared" si="57"/>
        <v>0.88079032258064516</v>
      </c>
      <c r="J28" s="20">
        <f t="shared" si="57"/>
        <v>0.88059845559845551</v>
      </c>
      <c r="K28" s="20">
        <f t="shared" ref="K28:L28" si="58">K15/K13</f>
        <v>0.93048867699642435</v>
      </c>
      <c r="L28" s="20">
        <f t="shared" si="58"/>
        <v>0.88083750568957675</v>
      </c>
      <c r="M28" s="20">
        <f>M15/M13</f>
        <v>0.93</v>
      </c>
      <c r="N28" s="20">
        <f>N15/N13</f>
        <v>0.93</v>
      </c>
      <c r="O28" s="20"/>
      <c r="Z28" s="20">
        <f t="shared" ref="Z28:AA28" si="59">Z15/Z13</f>
        <v>0.88060528435424446</v>
      </c>
      <c r="AA28" s="20">
        <f t="shared" si="59"/>
        <v>0.91808563951222233</v>
      </c>
      <c r="AB28" s="20">
        <f t="shared" ref="AB28:AN28" si="60">AB15/AB13</f>
        <v>0.93</v>
      </c>
      <c r="AC28" s="20">
        <f t="shared" si="60"/>
        <v>0.92999999999999994</v>
      </c>
      <c r="AD28" s="20">
        <f t="shared" si="60"/>
        <v>0.92999999999999994</v>
      </c>
      <c r="AE28" s="20">
        <f t="shared" si="60"/>
        <v>0.93</v>
      </c>
      <c r="AF28" s="20">
        <f t="shared" si="60"/>
        <v>0.93</v>
      </c>
      <c r="AG28" s="20">
        <f t="shared" si="60"/>
        <v>0.93</v>
      </c>
      <c r="AH28" s="20">
        <f t="shared" si="60"/>
        <v>0.93</v>
      </c>
      <c r="AI28" s="20">
        <f t="shared" si="60"/>
        <v>0.92999999999999994</v>
      </c>
      <c r="AJ28" s="20">
        <f t="shared" si="60"/>
        <v>0.93</v>
      </c>
      <c r="AK28" s="20">
        <f t="shared" si="60"/>
        <v>0.93</v>
      </c>
      <c r="AL28" s="20">
        <f t="shared" si="60"/>
        <v>0.93</v>
      </c>
      <c r="AM28" s="20">
        <f t="shared" si="60"/>
        <v>0.92999999999999994</v>
      </c>
      <c r="AN28" s="20">
        <f t="shared" si="60"/>
        <v>0.93</v>
      </c>
      <c r="AP28" t="s">
        <v>303</v>
      </c>
      <c r="AQ28" s="24">
        <v>-0.05</v>
      </c>
    </row>
    <row r="29" spans="2:105" x14ac:dyDescent="0.2">
      <c r="B29" s="2" t="s">
        <v>299</v>
      </c>
      <c r="E29" s="20">
        <f t="shared" ref="E29:N29" si="61">+E16/E13</f>
        <v>0.11999414824447334</v>
      </c>
      <c r="F29" s="20">
        <f t="shared" si="61"/>
        <v>0.107559926244622</v>
      </c>
      <c r="G29" s="20">
        <f t="shared" si="61"/>
        <v>8.7622584576103987E-2</v>
      </c>
      <c r="H29" s="20">
        <f t="shared" si="61"/>
        <v>0.1084726867335563</v>
      </c>
      <c r="I29" s="20">
        <f t="shared" si="61"/>
        <v>9.9893649193548387E-2</v>
      </c>
      <c r="J29" s="20">
        <f t="shared" si="61"/>
        <v>0.10135135135135136</v>
      </c>
      <c r="K29" s="20">
        <f t="shared" si="61"/>
        <v>7.9618593563766382E-2</v>
      </c>
      <c r="L29" s="20">
        <f t="shared" si="61"/>
        <v>9.7997269003186172E-2</v>
      </c>
      <c r="M29" s="20">
        <f t="shared" si="61"/>
        <v>9.3853530950305145E-2</v>
      </c>
      <c r="N29" s="20">
        <f>+N16/N13</f>
        <v>9.0046005855290684E-2</v>
      </c>
      <c r="O29" s="20"/>
      <c r="Z29" s="20"/>
      <c r="AA29" s="20">
        <f>+AA16/AA13</f>
        <v>9.0528425858900835E-2</v>
      </c>
      <c r="AB29" s="20">
        <f t="shared" ref="AB29:AN29" si="62">+AB16/AB13</f>
        <v>0.1</v>
      </c>
      <c r="AC29" s="20">
        <f t="shared" si="62"/>
        <v>0.1</v>
      </c>
      <c r="AD29" s="20">
        <f t="shared" si="62"/>
        <v>0.1</v>
      </c>
      <c r="AE29" s="20">
        <f t="shared" si="62"/>
        <v>0.10000000000000002</v>
      </c>
      <c r="AF29" s="20">
        <f t="shared" si="62"/>
        <v>0.1</v>
      </c>
      <c r="AG29" s="20">
        <f t="shared" si="62"/>
        <v>0.1</v>
      </c>
      <c r="AH29" s="20">
        <f t="shared" si="62"/>
        <v>0.1</v>
      </c>
      <c r="AI29" s="20">
        <f t="shared" si="62"/>
        <v>0.1</v>
      </c>
      <c r="AJ29" s="20">
        <f t="shared" si="62"/>
        <v>0.1</v>
      </c>
      <c r="AK29" s="20">
        <f t="shared" si="62"/>
        <v>0.1</v>
      </c>
      <c r="AL29" s="20">
        <f t="shared" si="62"/>
        <v>0.1</v>
      </c>
      <c r="AM29" s="20">
        <f t="shared" si="62"/>
        <v>0.1</v>
      </c>
      <c r="AN29" s="20">
        <f t="shared" si="62"/>
        <v>0.1</v>
      </c>
      <c r="AP29" t="s">
        <v>301</v>
      </c>
      <c r="AQ29" s="24">
        <v>7.0000000000000007E-2</v>
      </c>
    </row>
    <row r="30" spans="2:105" x14ac:dyDescent="0.2">
      <c r="B30" s="2" t="s">
        <v>188</v>
      </c>
      <c r="E30" s="20">
        <f t="shared" ref="E30:F30" si="63">E22/E21</f>
        <v>0.1183036858950188</v>
      </c>
      <c r="F30" s="20">
        <f t="shared" si="63"/>
        <v>0.22735101619014811</v>
      </c>
      <c r="G30" s="20">
        <f>G22/G21</f>
        <v>0.20896733617366606</v>
      </c>
      <c r="H30" s="20">
        <f t="shared" ref="H30:N30" si="64">H22/H21</f>
        <v>1.2000440383133325E-2</v>
      </c>
      <c r="I30" s="20">
        <f t="shared" si="64"/>
        <v>0.22163530370872531</v>
      </c>
      <c r="J30" s="20">
        <f t="shared" si="64"/>
        <v>0.21576239053895463</v>
      </c>
      <c r="K30" s="20">
        <f t="shared" si="64"/>
        <v>0.19897714559693142</v>
      </c>
      <c r="L30" s="20">
        <f t="shared" si="64"/>
        <v>0.23172043010752691</v>
      </c>
      <c r="M30" s="20">
        <f t="shared" si="64"/>
        <v>0.18946599503888237</v>
      </c>
      <c r="N30" s="20">
        <f t="shared" si="64"/>
        <v>0.17729612725447333</v>
      </c>
      <c r="O30" s="20"/>
      <c r="AA30" s="24">
        <f>+AA22/AA21</f>
        <v>0.19771728551626505</v>
      </c>
      <c r="AB30" s="24">
        <f t="shared" ref="AB30:AN30" si="65">+AB22/AB21</f>
        <v>0.2</v>
      </c>
      <c r="AC30" s="24">
        <f t="shared" si="65"/>
        <v>0.2</v>
      </c>
      <c r="AD30" s="24">
        <f t="shared" si="65"/>
        <v>0.19999999999999998</v>
      </c>
      <c r="AE30" s="24">
        <f t="shared" si="65"/>
        <v>0.2</v>
      </c>
      <c r="AF30" s="24">
        <f t="shared" si="65"/>
        <v>0.2</v>
      </c>
      <c r="AG30" s="24">
        <f t="shared" si="65"/>
        <v>0.2</v>
      </c>
      <c r="AH30" s="24">
        <f t="shared" si="65"/>
        <v>0.2</v>
      </c>
      <c r="AI30" s="24">
        <f t="shared" si="65"/>
        <v>0.2</v>
      </c>
      <c r="AJ30" s="24">
        <f t="shared" si="65"/>
        <v>0.2</v>
      </c>
      <c r="AK30" s="24">
        <f t="shared" si="65"/>
        <v>0.2</v>
      </c>
      <c r="AL30" s="24">
        <f t="shared" si="65"/>
        <v>0.2</v>
      </c>
      <c r="AM30" s="24">
        <f t="shared" si="65"/>
        <v>0.19999999999999998</v>
      </c>
      <c r="AN30" s="24">
        <f t="shared" si="65"/>
        <v>0.20000000000000004</v>
      </c>
      <c r="AP30" t="s">
        <v>300</v>
      </c>
      <c r="AQ30" s="24">
        <v>0.01</v>
      </c>
    </row>
    <row r="31" spans="2:105" x14ac:dyDescent="0.2">
      <c r="AP31" t="s">
        <v>302</v>
      </c>
      <c r="AQ31" s="2">
        <f>NPV(AQ29,AB23:BY23)+Main!M5-Main!M6</f>
        <v>105458.5449224412</v>
      </c>
    </row>
    <row r="32" spans="2:105" s="2" customFormat="1" x14ac:dyDescent="0.2">
      <c r="B32" s="2" t="s">
        <v>3</v>
      </c>
      <c r="C32" s="13"/>
      <c r="D32" s="13"/>
      <c r="E32" s="13"/>
      <c r="F32" s="13"/>
      <c r="G32" s="13"/>
      <c r="H32" s="13"/>
      <c r="I32" s="13"/>
      <c r="J32" s="13"/>
      <c r="K32" s="13">
        <f>7600.1+638</f>
        <v>8238.1</v>
      </c>
      <c r="L32" s="13">
        <v>9253</v>
      </c>
      <c r="M32" s="13">
        <f t="shared" ref="M32:N32" si="66">+L32+M23</f>
        <v>10318.219999999999</v>
      </c>
      <c r="N32" s="13">
        <f t="shared" si="66"/>
        <v>11473.65</v>
      </c>
      <c r="O32" s="13"/>
      <c r="AA32" s="2">
        <f>+N32</f>
        <v>11473.65</v>
      </c>
      <c r="AB32" s="2">
        <f>+AA32+AB23</f>
        <v>18539.915919999999</v>
      </c>
      <c r="AC32" s="2">
        <f t="shared" ref="AC32:AN32" si="67">+AB32+AC23</f>
        <v>26471.046311360002</v>
      </c>
      <c r="AD32" s="2">
        <f t="shared" si="67"/>
        <v>34866.68237001088</v>
      </c>
      <c r="AE32" s="2">
        <f t="shared" si="67"/>
        <v>44071.917233486165</v>
      </c>
      <c r="AF32" s="2">
        <f t="shared" si="67"/>
        <v>54035.592730292359</v>
      </c>
      <c r="AG32" s="2">
        <f t="shared" si="67"/>
        <v>64645.837087951288</v>
      </c>
      <c r="AH32" s="2">
        <f t="shared" si="67"/>
        <v>75915.626701117391</v>
      </c>
      <c r="AI32" s="2">
        <f t="shared" si="67"/>
        <v>87669.702283014674</v>
      </c>
      <c r="AJ32" s="2">
        <f t="shared" si="67"/>
        <v>99666.729594039862</v>
      </c>
      <c r="AK32" s="2">
        <f t="shared" si="67"/>
        <v>111915.56479055432</v>
      </c>
      <c r="AL32" s="2">
        <f t="shared" si="67"/>
        <v>124424.84503873051</v>
      </c>
      <c r="AM32" s="2">
        <f t="shared" si="67"/>
        <v>132986.82030440954</v>
      </c>
      <c r="AN32" s="2">
        <f t="shared" si="67"/>
        <v>137978.22256538563</v>
      </c>
      <c r="AP32" s="2" t="s">
        <v>304</v>
      </c>
      <c r="AQ32" s="1">
        <f>AQ31/Main!M3</f>
        <v>411.94744110328594</v>
      </c>
    </row>
    <row r="33" spans="2:15" s="2" customFormat="1" x14ac:dyDescent="0.2">
      <c r="B33" s="2" t="s">
        <v>269</v>
      </c>
      <c r="C33" s="13"/>
      <c r="D33" s="13"/>
      <c r="E33" s="13"/>
      <c r="F33" s="13"/>
      <c r="G33" s="13"/>
      <c r="H33" s="13"/>
      <c r="I33" s="13"/>
      <c r="J33" s="13"/>
      <c r="K33" s="13">
        <v>1292.8</v>
      </c>
      <c r="L33" s="13"/>
      <c r="M33" s="13"/>
      <c r="N33" s="13"/>
      <c r="O33" s="13"/>
    </row>
    <row r="34" spans="2:15" s="2" customFormat="1" x14ac:dyDescent="0.2">
      <c r="B34" s="2" t="s">
        <v>270</v>
      </c>
      <c r="C34" s="13"/>
      <c r="D34" s="13"/>
      <c r="E34" s="13"/>
      <c r="F34" s="13"/>
      <c r="G34" s="13"/>
      <c r="H34" s="13"/>
      <c r="I34" s="13"/>
      <c r="J34" s="13"/>
      <c r="K34" s="13">
        <v>338.9</v>
      </c>
      <c r="L34" s="13"/>
      <c r="M34" s="13"/>
      <c r="N34" s="13"/>
      <c r="O34" s="13"/>
    </row>
    <row r="35" spans="2:15" s="2" customFormat="1" x14ac:dyDescent="0.2">
      <c r="B35" s="2" t="s">
        <v>271</v>
      </c>
      <c r="C35" s="13"/>
      <c r="D35" s="13"/>
      <c r="E35" s="13"/>
      <c r="F35" s="13"/>
      <c r="G35" s="13"/>
      <c r="H35" s="13"/>
      <c r="I35" s="13"/>
      <c r="J35" s="13"/>
      <c r="K35" s="13">
        <v>491.5</v>
      </c>
      <c r="L35" s="13"/>
      <c r="M35" s="13"/>
      <c r="N35" s="13"/>
      <c r="O35" s="13"/>
    </row>
    <row r="36" spans="2:15" s="2" customFormat="1" x14ac:dyDescent="0.2">
      <c r="B36" s="2" t="s">
        <v>272</v>
      </c>
      <c r="C36" s="13"/>
      <c r="D36" s="13"/>
      <c r="E36" s="13"/>
      <c r="F36" s="13"/>
      <c r="G36" s="13"/>
      <c r="H36" s="13"/>
      <c r="I36" s="13"/>
      <c r="J36" s="13"/>
      <c r="K36" s="13">
        <v>1107.4000000000001</v>
      </c>
      <c r="L36" s="13"/>
      <c r="M36" s="13"/>
      <c r="N36" s="13"/>
      <c r="O36" s="13"/>
    </row>
    <row r="37" spans="2:15" s="2" customFormat="1" x14ac:dyDescent="0.2">
      <c r="B37" s="2" t="s">
        <v>273</v>
      </c>
      <c r="C37" s="13"/>
      <c r="D37" s="13"/>
      <c r="E37" s="13"/>
      <c r="F37" s="13"/>
      <c r="G37" s="13"/>
      <c r="H37" s="13"/>
      <c r="I37" s="13"/>
      <c r="J37" s="13"/>
      <c r="K37" s="13">
        <f>1002.2+400</f>
        <v>1402.2</v>
      </c>
      <c r="L37" s="13"/>
      <c r="M37" s="13"/>
      <c r="N37" s="13"/>
      <c r="O37" s="13"/>
    </row>
    <row r="38" spans="2:15" s="2" customFormat="1" x14ac:dyDescent="0.2">
      <c r="B38" s="2" t="s">
        <v>128</v>
      </c>
      <c r="C38" s="13"/>
      <c r="D38" s="13"/>
      <c r="E38" s="13"/>
      <c r="F38" s="13"/>
      <c r="G38" s="13"/>
      <c r="H38" s="13"/>
      <c r="I38" s="13"/>
      <c r="J38" s="13"/>
      <c r="K38" s="13">
        <v>945.5</v>
      </c>
      <c r="L38" s="13"/>
      <c r="M38" s="13"/>
      <c r="N38" s="13"/>
      <c r="O38" s="13"/>
    </row>
    <row r="39" spans="2:15" s="2" customFormat="1" x14ac:dyDescent="0.2">
      <c r="B39" s="2" t="s">
        <v>274</v>
      </c>
      <c r="C39" s="13"/>
      <c r="D39" s="13"/>
      <c r="E39" s="13"/>
      <c r="F39" s="13"/>
      <c r="G39" s="13"/>
      <c r="H39" s="13"/>
      <c r="I39" s="13"/>
      <c r="J39" s="13"/>
      <c r="K39" s="13">
        <v>329</v>
      </c>
      <c r="L39" s="13"/>
      <c r="M39" s="13"/>
      <c r="N39" s="13"/>
      <c r="O39" s="13"/>
    </row>
    <row r="40" spans="2:15" s="2" customFormat="1" x14ac:dyDescent="0.2">
      <c r="B40" s="2" t="s">
        <v>275</v>
      </c>
      <c r="C40" s="13"/>
      <c r="D40" s="13"/>
      <c r="E40" s="13"/>
      <c r="F40" s="13"/>
      <c r="G40" s="13"/>
      <c r="H40" s="13"/>
      <c r="I40" s="13"/>
      <c r="J40" s="13"/>
      <c r="K40" s="13">
        <v>110.7</v>
      </c>
      <c r="L40" s="13"/>
      <c r="M40" s="13"/>
      <c r="N40" s="13"/>
      <c r="O40" s="13"/>
    </row>
    <row r="41" spans="2:15" s="2" customFormat="1" x14ac:dyDescent="0.2">
      <c r="B41" s="2" t="s">
        <v>268</v>
      </c>
      <c r="C41" s="13"/>
      <c r="D41" s="13"/>
      <c r="E41" s="13"/>
      <c r="F41" s="13"/>
      <c r="G41" s="13"/>
      <c r="H41" s="13"/>
      <c r="I41" s="13"/>
      <c r="J41" s="13"/>
      <c r="K41" s="13">
        <f>SUM(K32:K40)</f>
        <v>14256.1</v>
      </c>
      <c r="L41" s="13">
        <f t="shared" ref="L41" si="68">SUM(L32:L40)</f>
        <v>9253</v>
      </c>
      <c r="M41" s="13"/>
      <c r="N41" s="13"/>
      <c r="O41" s="13"/>
    </row>
    <row r="43" spans="2:15" s="2" customFormat="1" x14ac:dyDescent="0.2">
      <c r="B43" s="2" t="s">
        <v>276</v>
      </c>
      <c r="C43" s="13"/>
      <c r="D43" s="13"/>
      <c r="E43" s="13"/>
      <c r="F43" s="13"/>
      <c r="G43" s="13"/>
      <c r="H43" s="13"/>
      <c r="I43" s="13"/>
      <c r="J43" s="13"/>
      <c r="K43" s="13">
        <v>173.6</v>
      </c>
      <c r="L43" s="13"/>
      <c r="M43" s="13"/>
      <c r="N43" s="13"/>
      <c r="O43" s="13"/>
    </row>
    <row r="44" spans="2:15" s="2" customFormat="1" x14ac:dyDescent="0.2">
      <c r="B44" s="2" t="s">
        <v>277</v>
      </c>
      <c r="C44" s="13"/>
      <c r="D44" s="13"/>
      <c r="E44" s="13"/>
      <c r="F44" s="13"/>
      <c r="G44" s="13"/>
      <c r="H44" s="13"/>
      <c r="I44" s="13"/>
      <c r="J44" s="13"/>
      <c r="K44" s="13">
        <v>1720.5</v>
      </c>
      <c r="L44" s="13"/>
      <c r="M44" s="13"/>
      <c r="N44" s="13"/>
      <c r="O44" s="13"/>
    </row>
    <row r="45" spans="2:15" s="2" customFormat="1" x14ac:dyDescent="0.2">
      <c r="B45" s="2" t="s">
        <v>278</v>
      </c>
      <c r="C45" s="13"/>
      <c r="D45" s="13"/>
      <c r="E45" s="13"/>
      <c r="F45" s="13"/>
      <c r="G45" s="13"/>
      <c r="H45" s="13"/>
      <c r="I45" s="13"/>
      <c r="J45" s="13"/>
      <c r="K45" s="13">
        <v>286.10000000000002</v>
      </c>
      <c r="L45" s="13"/>
      <c r="M45" s="13"/>
      <c r="N45" s="13"/>
      <c r="O45" s="13"/>
    </row>
    <row r="46" spans="2:15" s="2" customFormat="1" x14ac:dyDescent="0.2">
      <c r="B46" s="2" t="s">
        <v>274</v>
      </c>
      <c r="C46" s="13"/>
      <c r="D46" s="13"/>
      <c r="E46" s="13"/>
      <c r="F46" s="13"/>
      <c r="G46" s="13"/>
      <c r="H46" s="13"/>
      <c r="I46" s="13"/>
      <c r="J46" s="13"/>
      <c r="K46" s="13">
        <f>495.5+377</f>
        <v>872.5</v>
      </c>
      <c r="L46" s="13"/>
      <c r="M46" s="13"/>
      <c r="N46" s="13"/>
      <c r="O46" s="13"/>
    </row>
    <row r="47" spans="2:15" s="2" customFormat="1" x14ac:dyDescent="0.2">
      <c r="B47" s="2" t="s">
        <v>279</v>
      </c>
      <c r="C47" s="13"/>
      <c r="D47" s="13"/>
      <c r="E47" s="13"/>
      <c r="F47" s="13"/>
      <c r="G47" s="13"/>
      <c r="H47" s="13"/>
      <c r="I47" s="13"/>
      <c r="J47" s="13"/>
      <c r="K47" s="13">
        <v>179</v>
      </c>
      <c r="L47" s="13"/>
      <c r="M47" s="13"/>
      <c r="N47" s="13"/>
      <c r="O47" s="13"/>
    </row>
    <row r="48" spans="2:15" s="2" customFormat="1" x14ac:dyDescent="0.2">
      <c r="B48" s="2" t="s">
        <v>280</v>
      </c>
      <c r="C48" s="13"/>
      <c r="D48" s="13"/>
      <c r="E48" s="13"/>
      <c r="F48" s="13"/>
      <c r="G48" s="13"/>
      <c r="H48" s="13"/>
      <c r="I48" s="13"/>
      <c r="J48" s="13"/>
      <c r="K48" s="13">
        <v>117.4</v>
      </c>
      <c r="L48" s="13"/>
      <c r="M48" s="13"/>
      <c r="N48" s="13"/>
      <c r="O48" s="13"/>
    </row>
    <row r="49" spans="2:15" s="2" customFormat="1" x14ac:dyDescent="0.2">
      <c r="B49" s="2" t="s">
        <v>282</v>
      </c>
      <c r="C49" s="13"/>
      <c r="D49" s="13"/>
      <c r="E49" s="13"/>
      <c r="F49" s="13"/>
      <c r="G49" s="13"/>
      <c r="H49" s="13"/>
      <c r="I49" s="13"/>
      <c r="J49" s="13"/>
      <c r="K49" s="13">
        <v>10907</v>
      </c>
      <c r="L49" s="13"/>
      <c r="M49" s="13"/>
      <c r="N49" s="13"/>
      <c r="O49" s="13"/>
    </row>
    <row r="50" spans="2:15" s="2" customFormat="1" x14ac:dyDescent="0.2">
      <c r="B50" s="2" t="s">
        <v>281</v>
      </c>
      <c r="C50" s="13"/>
      <c r="D50" s="13"/>
      <c r="E50" s="13"/>
      <c r="F50" s="13"/>
      <c r="G50" s="13"/>
      <c r="H50" s="13"/>
      <c r="I50" s="13"/>
      <c r="J50" s="13"/>
      <c r="K50" s="13">
        <f>SUM(K43:K49)</f>
        <v>14256.1</v>
      </c>
      <c r="L50" s="13"/>
      <c r="M50" s="13"/>
      <c r="N50" s="13"/>
      <c r="O50" s="13"/>
    </row>
    <row r="52" spans="2:15" s="2" customFormat="1" x14ac:dyDescent="0.2">
      <c r="B52" s="2" t="s">
        <v>283</v>
      </c>
      <c r="C52" s="13"/>
      <c r="D52" s="13"/>
      <c r="E52" s="13"/>
      <c r="F52" s="13"/>
      <c r="G52" s="13"/>
      <c r="H52" s="13"/>
      <c r="I52" s="13"/>
      <c r="J52" s="13"/>
      <c r="K52" s="13">
        <f>+K23</f>
        <v>1002.4000000000001</v>
      </c>
      <c r="L52" s="13"/>
      <c r="M52" s="13"/>
      <c r="N52" s="13"/>
      <c r="O52" s="13"/>
    </row>
    <row r="53" spans="2:15" s="2" customFormat="1" x14ac:dyDescent="0.2">
      <c r="B53" s="2" t="s">
        <v>284</v>
      </c>
      <c r="C53" s="13"/>
      <c r="D53" s="13"/>
      <c r="E53" s="13"/>
      <c r="F53" s="13"/>
      <c r="G53" s="13"/>
      <c r="H53" s="13"/>
      <c r="I53" s="13"/>
      <c r="J53" s="13"/>
      <c r="K53" s="13">
        <v>762.1</v>
      </c>
      <c r="L53" s="13"/>
      <c r="M53" s="13"/>
      <c r="N53" s="13"/>
      <c r="O53" s="13"/>
    </row>
    <row r="54" spans="2:15" s="2" customFormat="1" x14ac:dyDescent="0.2">
      <c r="B54" s="2" t="s">
        <v>285</v>
      </c>
      <c r="C54" s="13"/>
      <c r="D54" s="13"/>
      <c r="E54" s="13"/>
      <c r="F54" s="13"/>
      <c r="G54" s="13"/>
      <c r="H54" s="13"/>
      <c r="I54" s="13"/>
      <c r="J54" s="13"/>
      <c r="K54" s="13">
        <v>130.30000000000001</v>
      </c>
      <c r="L54" s="13"/>
      <c r="M54" s="13"/>
      <c r="N54" s="13"/>
      <c r="O54" s="13"/>
    </row>
    <row r="55" spans="2:15" s="2" customFormat="1" x14ac:dyDescent="0.2">
      <c r="B55" s="2" t="s">
        <v>286</v>
      </c>
      <c r="C55" s="13"/>
      <c r="D55" s="13"/>
      <c r="E55" s="13"/>
      <c r="F55" s="13"/>
      <c r="G55" s="13"/>
      <c r="H55" s="13"/>
      <c r="I55" s="13"/>
      <c r="J55" s="13"/>
      <c r="K55" s="13">
        <v>35.9</v>
      </c>
      <c r="L55" s="13"/>
      <c r="M55" s="13"/>
      <c r="N55" s="13"/>
      <c r="O55" s="13"/>
    </row>
    <row r="56" spans="2:15" s="2" customFormat="1" x14ac:dyDescent="0.2">
      <c r="B56" s="2" t="s">
        <v>279</v>
      </c>
      <c r="C56" s="13"/>
      <c r="D56" s="13"/>
      <c r="E56" s="13"/>
      <c r="F56" s="13"/>
      <c r="G56" s="13"/>
      <c r="H56" s="13"/>
      <c r="I56" s="13"/>
      <c r="J56" s="13"/>
      <c r="K56" s="13">
        <v>-7.5</v>
      </c>
      <c r="L56" s="13"/>
      <c r="M56" s="13"/>
      <c r="N56" s="13"/>
      <c r="O56" s="13"/>
    </row>
    <row r="57" spans="2:15" s="2" customFormat="1" x14ac:dyDescent="0.2">
      <c r="B57" s="2" t="s">
        <v>128</v>
      </c>
      <c r="C57" s="13"/>
      <c r="D57" s="13"/>
      <c r="E57" s="13"/>
      <c r="F57" s="13"/>
      <c r="G57" s="13"/>
      <c r="H57" s="13"/>
      <c r="I57" s="13"/>
      <c r="J57" s="13"/>
      <c r="K57" s="13">
        <v>-12.3</v>
      </c>
      <c r="L57" s="13"/>
      <c r="M57" s="13"/>
      <c r="N57" s="13"/>
      <c r="O57" s="13"/>
    </row>
    <row r="58" spans="2:15" s="2" customFormat="1" x14ac:dyDescent="0.2">
      <c r="B58" s="2" t="s">
        <v>287</v>
      </c>
      <c r="C58" s="13"/>
      <c r="D58" s="13"/>
      <c r="E58" s="13"/>
      <c r="F58" s="13"/>
      <c r="G58" s="13"/>
      <c r="H58" s="13"/>
      <c r="I58" s="13"/>
      <c r="J58" s="13"/>
      <c r="K58" s="13">
        <v>75.599999999999994</v>
      </c>
      <c r="L58" s="13"/>
      <c r="M58" s="13"/>
      <c r="N58" s="13"/>
      <c r="O58" s="13"/>
    </row>
    <row r="59" spans="2:15" s="2" customFormat="1" x14ac:dyDescent="0.2">
      <c r="B59" s="2" t="s">
        <v>288</v>
      </c>
      <c r="C59" s="13"/>
      <c r="D59" s="13"/>
      <c r="E59" s="13"/>
      <c r="F59" s="13"/>
      <c r="G59" s="13"/>
      <c r="H59" s="13"/>
      <c r="I59" s="13"/>
      <c r="J59" s="13"/>
      <c r="K59" s="13">
        <v>4.9000000000000004</v>
      </c>
      <c r="L59" s="13"/>
      <c r="M59" s="13"/>
      <c r="N59" s="13"/>
      <c r="O59" s="13"/>
    </row>
    <row r="60" spans="2:15" s="2" customFormat="1" x14ac:dyDescent="0.2">
      <c r="B60" s="2" t="s">
        <v>289</v>
      </c>
      <c r="C60" s="13"/>
      <c r="D60" s="13"/>
      <c r="E60" s="13"/>
      <c r="F60" s="13"/>
      <c r="G60" s="13"/>
      <c r="H60" s="13"/>
      <c r="I60" s="13"/>
      <c r="J60" s="13"/>
      <c r="K60" s="13">
        <f>-165.2+2+67.6-14.5+61.6+15.7</f>
        <v>-32.799999999999997</v>
      </c>
      <c r="L60" s="13"/>
      <c r="M60" s="13"/>
      <c r="N60" s="13"/>
      <c r="O60" s="13"/>
    </row>
    <row r="61" spans="2:15" s="2" customFormat="1" x14ac:dyDescent="0.2">
      <c r="B61" s="2" t="s">
        <v>293</v>
      </c>
      <c r="C61" s="13"/>
      <c r="D61" s="13"/>
      <c r="E61" s="13"/>
      <c r="F61" s="13"/>
      <c r="G61" s="13"/>
      <c r="H61" s="13"/>
      <c r="I61" s="13"/>
      <c r="J61" s="13"/>
      <c r="K61" s="13">
        <f>SUM(K53:K60)</f>
        <v>956.20000000000016</v>
      </c>
      <c r="L61" s="13"/>
      <c r="M61" s="13"/>
      <c r="N61" s="13"/>
      <c r="O61" s="13"/>
    </row>
    <row r="63" spans="2:15" s="2" customFormat="1" x14ac:dyDescent="0.2">
      <c r="B63" s="2" t="s">
        <v>290</v>
      </c>
      <c r="C63" s="13"/>
      <c r="D63" s="13"/>
      <c r="E63" s="13"/>
      <c r="F63" s="13"/>
      <c r="G63" s="13"/>
      <c r="H63" s="13"/>
      <c r="I63" s="13"/>
      <c r="J63" s="13"/>
      <c r="K63" s="13">
        <v>-63.6</v>
      </c>
      <c r="L63" s="13"/>
      <c r="M63" s="13"/>
      <c r="N63" s="13"/>
      <c r="O63" s="13"/>
    </row>
    <row r="64" spans="2:15" s="2" customFormat="1" x14ac:dyDescent="0.2">
      <c r="B64" s="2" t="s">
        <v>291</v>
      </c>
      <c r="C64" s="13"/>
      <c r="D64" s="13"/>
      <c r="E64" s="13"/>
      <c r="F64" s="13"/>
      <c r="G64" s="13"/>
      <c r="H64" s="13"/>
      <c r="I64" s="13"/>
      <c r="J64" s="13"/>
      <c r="K64" s="13">
        <f>-117.1+129.7</f>
        <v>12.599999999999994</v>
      </c>
      <c r="L64" s="13"/>
      <c r="M64" s="13"/>
      <c r="N64" s="13"/>
      <c r="O64" s="13"/>
    </row>
    <row r="65" spans="2:15" s="2" customFormat="1" x14ac:dyDescent="0.2">
      <c r="B65" s="2" t="s">
        <v>292</v>
      </c>
      <c r="C65" s="13"/>
      <c r="D65" s="13"/>
      <c r="E65" s="13"/>
      <c r="F65" s="13"/>
      <c r="G65" s="13"/>
      <c r="H65" s="13"/>
      <c r="I65" s="13"/>
      <c r="J65" s="13"/>
      <c r="K65" s="13">
        <f>K63+K64</f>
        <v>-51.000000000000007</v>
      </c>
      <c r="L65" s="13"/>
      <c r="M65" s="13"/>
      <c r="N65" s="13"/>
      <c r="O65" s="13"/>
    </row>
    <row r="67" spans="2:15" s="2" customFormat="1" x14ac:dyDescent="0.2">
      <c r="B67" s="2" t="s">
        <v>297</v>
      </c>
      <c r="C67" s="13"/>
      <c r="D67" s="13"/>
      <c r="E67" s="13"/>
      <c r="F67" s="13"/>
      <c r="G67" s="13"/>
      <c r="H67" s="13"/>
      <c r="I67" s="13"/>
      <c r="J67" s="13"/>
      <c r="K67" s="13">
        <v>33.700000000000003</v>
      </c>
      <c r="L67" s="13"/>
      <c r="M67" s="13"/>
      <c r="N67" s="13"/>
      <c r="O67" s="13"/>
    </row>
    <row r="68" spans="2:15" s="2" customFormat="1" x14ac:dyDescent="0.2">
      <c r="B68" s="2" t="s">
        <v>298</v>
      </c>
      <c r="C68" s="13"/>
      <c r="D68" s="13"/>
      <c r="E68" s="13"/>
      <c r="F68" s="13"/>
      <c r="G68" s="13"/>
      <c r="H68" s="13"/>
      <c r="I68" s="13"/>
      <c r="J68" s="13"/>
      <c r="K68" s="13">
        <v>-117.5</v>
      </c>
      <c r="L68" s="13"/>
      <c r="M68" s="13"/>
      <c r="N68" s="13"/>
      <c r="O68" s="13"/>
    </row>
    <row r="69" spans="2:15" s="2" customFormat="1" x14ac:dyDescent="0.2">
      <c r="B69" s="2" t="s">
        <v>274</v>
      </c>
      <c r="C69" s="13"/>
      <c r="D69" s="13"/>
      <c r="E69" s="13"/>
      <c r="F69" s="13"/>
      <c r="G69" s="13"/>
      <c r="H69" s="13"/>
      <c r="I69" s="13"/>
      <c r="J69" s="13"/>
      <c r="K69" s="13">
        <v>-12.9</v>
      </c>
      <c r="L69" s="13"/>
      <c r="M69" s="13"/>
      <c r="N69" s="13"/>
      <c r="O69" s="13"/>
    </row>
    <row r="70" spans="2:15" s="2" customFormat="1" x14ac:dyDescent="0.2">
      <c r="B70" s="2" t="s">
        <v>275</v>
      </c>
      <c r="C70" s="13"/>
      <c r="D70" s="13"/>
      <c r="E70" s="13"/>
      <c r="F70" s="13"/>
      <c r="G70" s="13"/>
      <c r="H70" s="13"/>
      <c r="I70" s="13"/>
      <c r="J70" s="13"/>
      <c r="K70" s="13">
        <v>1.3</v>
      </c>
      <c r="L70" s="13"/>
      <c r="M70" s="13"/>
      <c r="N70" s="13"/>
      <c r="O70" s="13"/>
    </row>
    <row r="71" spans="2:15" s="2" customFormat="1" x14ac:dyDescent="0.2">
      <c r="B71" s="2" t="s">
        <v>296</v>
      </c>
      <c r="C71" s="13"/>
      <c r="D71" s="13"/>
      <c r="E71" s="13"/>
      <c r="F71" s="13"/>
      <c r="G71" s="13"/>
      <c r="H71" s="13"/>
      <c r="I71" s="13"/>
      <c r="J71" s="13"/>
      <c r="K71" s="13">
        <f>SUM(K67:K70)</f>
        <v>-95.4</v>
      </c>
      <c r="L71" s="13"/>
      <c r="M71" s="13"/>
      <c r="N71" s="13"/>
      <c r="O71" s="13"/>
    </row>
    <row r="72" spans="2:15" s="2" customFormat="1" x14ac:dyDescent="0.2">
      <c r="B72" s="2" t="s">
        <v>295</v>
      </c>
      <c r="C72" s="13"/>
      <c r="D72" s="13"/>
      <c r="E72" s="13"/>
      <c r="F72" s="13"/>
      <c r="G72" s="13"/>
      <c r="H72" s="13"/>
      <c r="I72" s="13"/>
      <c r="J72" s="13"/>
      <c r="K72" s="13">
        <v>-5.9</v>
      </c>
      <c r="L72" s="13"/>
      <c r="M72" s="13"/>
      <c r="N72" s="13"/>
      <c r="O72" s="13"/>
    </row>
    <row r="73" spans="2:15" s="2" customFormat="1" x14ac:dyDescent="0.2">
      <c r="B73" s="2" t="s">
        <v>294</v>
      </c>
      <c r="C73" s="13"/>
      <c r="D73" s="13"/>
      <c r="E73" s="13"/>
      <c r="F73" s="13"/>
      <c r="G73" s="13"/>
      <c r="H73" s="13"/>
      <c r="I73" s="13"/>
      <c r="J73" s="13"/>
      <c r="K73" s="13">
        <f>+K71+K72+K65+K61</f>
        <v>803.90000000000009</v>
      </c>
      <c r="L73" s="13"/>
      <c r="M73" s="13"/>
      <c r="N73" s="13"/>
      <c r="O73" s="13"/>
    </row>
    <row r="74" spans="2:15" s="2" customFormat="1" x14ac:dyDescent="0.2"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</row>
  </sheetData>
  <hyperlinks>
    <hyperlink ref="A1" location="Main!A1" display="Main" xr:uid="{D2F5C3D2-A250-4343-8A6C-E8A5C19A1A0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5BEA-589C-4679-9414-3940926A76D9}">
  <dimension ref="A1:C13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2" t="s">
        <v>20</v>
      </c>
    </row>
    <row r="2" spans="1:3" x14ac:dyDescent="0.2">
      <c r="B2" t="s">
        <v>7</v>
      </c>
      <c r="C2" t="s">
        <v>21</v>
      </c>
    </row>
    <row r="3" spans="1:3" x14ac:dyDescent="0.2">
      <c r="B3" t="s">
        <v>8</v>
      </c>
      <c r="C3" t="s">
        <v>165</v>
      </c>
    </row>
    <row r="4" spans="1:3" x14ac:dyDescent="0.2">
      <c r="B4" t="s">
        <v>9</v>
      </c>
      <c r="C4" t="s">
        <v>164</v>
      </c>
    </row>
    <row r="5" spans="1:3" x14ac:dyDescent="0.2">
      <c r="B5" t="s">
        <v>125</v>
      </c>
      <c r="C5" t="s">
        <v>187</v>
      </c>
    </row>
    <row r="6" spans="1:3" x14ac:dyDescent="0.2">
      <c r="B6" t="s">
        <v>199</v>
      </c>
      <c r="C6" t="s">
        <v>200</v>
      </c>
    </row>
    <row r="7" spans="1:3" x14ac:dyDescent="0.2">
      <c r="B7" t="s">
        <v>189</v>
      </c>
      <c r="C7" t="s">
        <v>190</v>
      </c>
    </row>
    <row r="8" spans="1:3" x14ac:dyDescent="0.2">
      <c r="B8" t="s">
        <v>191</v>
      </c>
      <c r="C8" t="s">
        <v>192</v>
      </c>
    </row>
    <row r="9" spans="1:3" x14ac:dyDescent="0.2">
      <c r="B9" t="s">
        <v>196</v>
      </c>
      <c r="C9" t="s">
        <v>197</v>
      </c>
    </row>
    <row r="10" spans="1:3" x14ac:dyDescent="0.2">
      <c r="B10" t="s">
        <v>198</v>
      </c>
      <c r="C10" t="s">
        <v>197</v>
      </c>
    </row>
    <row r="11" spans="1:3" x14ac:dyDescent="0.2">
      <c r="B11" t="s">
        <v>141</v>
      </c>
    </row>
    <row r="12" spans="1:3" x14ac:dyDescent="0.2">
      <c r="C12" s="19" t="s">
        <v>193</v>
      </c>
    </row>
    <row r="13" spans="1:3" x14ac:dyDescent="0.2">
      <c r="C13" t="s">
        <v>194</v>
      </c>
    </row>
  </sheetData>
  <hyperlinks>
    <hyperlink ref="A1" location="Main!A1" display="Main" xr:uid="{81E4C234-025B-413E-B9C8-D7764BCDF0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6387-11D8-4B2C-A093-43065AD20DB4}">
  <dimension ref="A1:C4"/>
  <sheetViews>
    <sheetView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2" t="s">
        <v>20</v>
      </c>
    </row>
    <row r="2" spans="1:3" x14ac:dyDescent="0.2">
      <c r="B2" t="s">
        <v>7</v>
      </c>
      <c r="C2" t="s">
        <v>23</v>
      </c>
    </row>
    <row r="3" spans="1:3" x14ac:dyDescent="0.2">
      <c r="B3" t="s">
        <v>8</v>
      </c>
      <c r="C3" t="s">
        <v>119</v>
      </c>
    </row>
    <row r="4" spans="1:3" x14ac:dyDescent="0.2">
      <c r="B4" t="s">
        <v>125</v>
      </c>
      <c r="C4" t="s">
        <v>195</v>
      </c>
    </row>
  </sheetData>
  <hyperlinks>
    <hyperlink ref="A1" location="Main!A1" display="Main" xr:uid="{2558785C-ADB2-4095-9A7B-C13C6F6F08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770F-9056-4627-9D3F-7EDFE9146A1F}">
  <dimension ref="A1:C5"/>
  <sheetViews>
    <sheetView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2" t="s">
        <v>20</v>
      </c>
    </row>
    <row r="2" spans="1:3" x14ac:dyDescent="0.2">
      <c r="B2" t="s">
        <v>7</v>
      </c>
      <c r="C2" t="s">
        <v>22</v>
      </c>
    </row>
    <row r="3" spans="1:3" x14ac:dyDescent="0.2">
      <c r="B3" t="s">
        <v>9</v>
      </c>
      <c r="C3" t="s">
        <v>15</v>
      </c>
    </row>
    <row r="4" spans="1:3" x14ac:dyDescent="0.2">
      <c r="B4" t="s">
        <v>125</v>
      </c>
    </row>
    <row r="5" spans="1:3" x14ac:dyDescent="0.2">
      <c r="B5" t="s">
        <v>11</v>
      </c>
    </row>
  </sheetData>
  <hyperlinks>
    <hyperlink ref="A1" location="Main!A1" display="Main" xr:uid="{E5C88E55-6C29-4777-9D64-A162F6CEE2A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BF29-0A94-4770-AA68-CFDB5D68D6D1}">
  <dimension ref="A1:C6"/>
  <sheetViews>
    <sheetView workbookViewId="0"/>
  </sheetViews>
  <sheetFormatPr defaultRowHeight="12.75" x14ac:dyDescent="0.2"/>
  <cols>
    <col min="1" max="1" width="5" bestFit="1" customWidth="1"/>
  </cols>
  <sheetData>
    <row r="1" spans="1:3" x14ac:dyDescent="0.2">
      <c r="A1" s="12" t="s">
        <v>20</v>
      </c>
    </row>
    <row r="2" spans="1:3" x14ac:dyDescent="0.2">
      <c r="B2" t="s">
        <v>7</v>
      </c>
      <c r="C2" t="s">
        <v>13</v>
      </c>
    </row>
    <row r="3" spans="1:3" x14ac:dyDescent="0.2">
      <c r="B3" t="s">
        <v>8</v>
      </c>
    </row>
    <row r="4" spans="1:3" x14ac:dyDescent="0.2">
      <c r="B4" t="s">
        <v>9</v>
      </c>
      <c r="C4" t="s">
        <v>15</v>
      </c>
    </row>
    <row r="5" spans="1:3" x14ac:dyDescent="0.2">
      <c r="B5" t="s">
        <v>97</v>
      </c>
      <c r="C5" t="s">
        <v>98</v>
      </c>
    </row>
    <row r="6" spans="1:3" x14ac:dyDescent="0.2">
      <c r="B6" t="s">
        <v>12</v>
      </c>
    </row>
  </sheetData>
  <hyperlinks>
    <hyperlink ref="A1" location="Main!A1" display="Main" xr:uid="{00432356-2035-497F-B68F-E19036CF21B5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4667-B707-436E-8242-61F1E098F287}">
  <dimension ref="A1:I26"/>
  <sheetViews>
    <sheetView workbookViewId="0">
      <selection activeCell="A9" sqref="A9"/>
    </sheetView>
  </sheetViews>
  <sheetFormatPr defaultRowHeight="12.75" x14ac:dyDescent="0.2"/>
  <cols>
    <col min="1" max="1" width="5" bestFit="1" customWidth="1"/>
    <col min="2" max="2" width="13.140625" customWidth="1"/>
  </cols>
  <sheetData>
    <row r="1" spans="1:9" x14ac:dyDescent="0.2">
      <c r="A1" s="12" t="s">
        <v>20</v>
      </c>
    </row>
    <row r="2" spans="1:9" x14ac:dyDescent="0.2">
      <c r="B2" t="s">
        <v>7</v>
      </c>
      <c r="C2" t="s">
        <v>36</v>
      </c>
    </row>
    <row r="3" spans="1:9" x14ac:dyDescent="0.2">
      <c r="B3" t="s">
        <v>8</v>
      </c>
      <c r="C3" t="s">
        <v>147</v>
      </c>
    </row>
    <row r="4" spans="1:9" x14ac:dyDescent="0.2">
      <c r="B4" t="s">
        <v>9</v>
      </c>
      <c r="C4" t="s">
        <v>148</v>
      </c>
    </row>
    <row r="5" spans="1:9" x14ac:dyDescent="0.2">
      <c r="B5" t="s">
        <v>18</v>
      </c>
      <c r="C5" t="s">
        <v>38</v>
      </c>
    </row>
    <row r="6" spans="1:9" x14ac:dyDescent="0.2">
      <c r="B6" t="s">
        <v>10</v>
      </c>
      <c r="C6" t="s">
        <v>207</v>
      </c>
    </row>
    <row r="7" spans="1:9" x14ac:dyDescent="0.2">
      <c r="B7" t="s">
        <v>139</v>
      </c>
      <c r="C7" t="s">
        <v>149</v>
      </c>
    </row>
    <row r="8" spans="1:9" x14ac:dyDescent="0.2">
      <c r="B8" t="s">
        <v>125</v>
      </c>
      <c r="C8" t="s">
        <v>208</v>
      </c>
    </row>
    <row r="9" spans="1:9" x14ac:dyDescent="0.2">
      <c r="B9" t="s">
        <v>141</v>
      </c>
    </row>
    <row r="10" spans="1:9" x14ac:dyDescent="0.2">
      <c r="C10" s="19" t="s">
        <v>159</v>
      </c>
    </row>
    <row r="11" spans="1:9" x14ac:dyDescent="0.2">
      <c r="C11" t="s">
        <v>156</v>
      </c>
      <c r="I11" s="12" t="s">
        <v>179</v>
      </c>
    </row>
    <row r="12" spans="1:9" x14ac:dyDescent="0.2">
      <c r="C12" t="s">
        <v>153</v>
      </c>
    </row>
    <row r="13" spans="1:9" x14ac:dyDescent="0.2">
      <c r="C13" t="s">
        <v>150</v>
      </c>
    </row>
    <row r="14" spans="1:9" x14ac:dyDescent="0.2">
      <c r="C14" t="s">
        <v>151</v>
      </c>
    </row>
    <row r="15" spans="1:9" x14ac:dyDescent="0.2">
      <c r="C15" t="s">
        <v>152</v>
      </c>
    </row>
    <row r="16" spans="1:9" x14ac:dyDescent="0.2">
      <c r="C16" t="s">
        <v>154</v>
      </c>
    </row>
    <row r="17" spans="3:3" x14ac:dyDescent="0.2">
      <c r="C17" t="s">
        <v>160</v>
      </c>
    </row>
    <row r="19" spans="3:3" x14ac:dyDescent="0.2">
      <c r="C19" s="19" t="s">
        <v>158</v>
      </c>
    </row>
    <row r="20" spans="3:3" x14ac:dyDescent="0.2">
      <c r="C20" t="s">
        <v>160</v>
      </c>
    </row>
    <row r="22" spans="3:3" x14ac:dyDescent="0.2">
      <c r="C22" s="19" t="s">
        <v>157</v>
      </c>
    </row>
    <row r="24" spans="3:3" x14ac:dyDescent="0.2">
      <c r="C24" s="19" t="s">
        <v>161</v>
      </c>
    </row>
    <row r="26" spans="3:3" x14ac:dyDescent="0.2">
      <c r="C26" s="19" t="s">
        <v>162</v>
      </c>
    </row>
  </sheetData>
  <hyperlinks>
    <hyperlink ref="A1" location="Main!A1" display="Main" xr:uid="{B7375EF0-5582-4E12-AC44-5AB9BFB39A26}"/>
    <hyperlink ref="I11" r:id="rId1" location="!*menu=16*browseby=9*sortby=1*trend=4016" xr:uid="{5FC3E2BD-FEEC-4C40-834C-9C4DE1F9CFC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57B1-62FF-469A-BFF1-F8D2D83B9698}">
  <dimension ref="A1:C12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2" t="s">
        <v>20</v>
      </c>
    </row>
    <row r="2" spans="1:3" x14ac:dyDescent="0.2">
      <c r="B2" t="s">
        <v>7</v>
      </c>
      <c r="C2" t="s">
        <v>54</v>
      </c>
    </row>
    <row r="3" spans="1:3" x14ac:dyDescent="0.2">
      <c r="B3" t="s">
        <v>9</v>
      </c>
      <c r="C3" t="s">
        <v>137</v>
      </c>
    </row>
    <row r="4" spans="1:3" x14ac:dyDescent="0.2">
      <c r="B4" t="s">
        <v>10</v>
      </c>
      <c r="C4" t="s">
        <v>138</v>
      </c>
    </row>
    <row r="5" spans="1:3" x14ac:dyDescent="0.2">
      <c r="B5" t="s">
        <v>139</v>
      </c>
      <c r="C5" t="s">
        <v>140</v>
      </c>
    </row>
    <row r="6" spans="1:3" x14ac:dyDescent="0.2">
      <c r="B6" t="s">
        <v>141</v>
      </c>
    </row>
    <row r="7" spans="1:3" x14ac:dyDescent="0.2">
      <c r="C7" s="19" t="s">
        <v>142</v>
      </c>
    </row>
    <row r="8" spans="1:3" x14ac:dyDescent="0.2">
      <c r="C8" t="s">
        <v>173</v>
      </c>
    </row>
    <row r="9" spans="1:3" x14ac:dyDescent="0.2">
      <c r="C9" t="s">
        <v>175</v>
      </c>
    </row>
    <row r="10" spans="1:3" x14ac:dyDescent="0.2">
      <c r="C10" t="s">
        <v>174</v>
      </c>
    </row>
    <row r="11" spans="1:3" x14ac:dyDescent="0.2">
      <c r="C11" t="s">
        <v>143</v>
      </c>
    </row>
    <row r="12" spans="1:3" x14ac:dyDescent="0.2">
      <c r="C12" t="s">
        <v>144</v>
      </c>
    </row>
  </sheetData>
  <hyperlinks>
    <hyperlink ref="A1" location="Main!A1" display="Main" xr:uid="{9BF225D4-86E4-4BAF-A010-4C234C9F13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8714-88C7-42B3-B2FD-3531313A58EB}">
  <dimension ref="A1:C8"/>
  <sheetViews>
    <sheetView workbookViewId="0">
      <selection activeCell="C7" sqref="C7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t="s">
        <v>20</v>
      </c>
    </row>
    <row r="2" spans="1:3" x14ac:dyDescent="0.2">
      <c r="B2" t="s">
        <v>7</v>
      </c>
      <c r="C2" t="s">
        <v>47</v>
      </c>
    </row>
    <row r="3" spans="1:3" x14ac:dyDescent="0.2">
      <c r="B3" t="s">
        <v>9</v>
      </c>
      <c r="C3" t="s">
        <v>15</v>
      </c>
    </row>
    <row r="4" spans="1:3" x14ac:dyDescent="0.2">
      <c r="B4" t="s">
        <v>141</v>
      </c>
    </row>
    <row r="5" spans="1:3" x14ac:dyDescent="0.2">
      <c r="C5" s="19" t="s">
        <v>201</v>
      </c>
    </row>
    <row r="6" spans="1:3" x14ac:dyDescent="0.2">
      <c r="C6" t="s">
        <v>203</v>
      </c>
    </row>
    <row r="8" spans="1:3" x14ac:dyDescent="0.2">
      <c r="C8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Model</vt:lpstr>
      <vt:lpstr>Trikafta</vt:lpstr>
      <vt:lpstr>Orkambi</vt:lpstr>
      <vt:lpstr>Symdeko</vt:lpstr>
      <vt:lpstr>Kalydeco</vt:lpstr>
      <vt:lpstr>CTX001</vt:lpstr>
      <vt:lpstr>VX-880</vt:lpstr>
      <vt:lpstr>VX-121</vt:lpstr>
      <vt:lpstr>VX-548</vt:lpstr>
      <vt:lpstr>inaxaplin</vt:lpstr>
      <vt:lpstr>IP</vt:lpstr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2022-07-19T23:53:26Z</dcterms:created>
  <dcterms:modified xsi:type="dcterms:W3CDTF">2022-09-09T14:27:20Z</dcterms:modified>
</cp:coreProperties>
</file>