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23799A5-FC8F-44C5-8E01-4B9A736FA3BB}" xr6:coauthVersionLast="47" xr6:coauthVersionMax="47" xr10:uidLastSave="{00000000-0000-0000-0000-000000000000}"/>
  <bookViews>
    <workbookView xWindow="-28260" yWindow="660" windowWidth="27750" windowHeight="19095" activeTab="1" xr2:uid="{00000000-000D-0000-FFFF-FFFF00000000}"/>
  </bookViews>
  <sheets>
    <sheet name="Master" sheetId="4" r:id="rId1"/>
    <sheet name="Main" sheetId="2" r:id="rId2"/>
    <sheet name="Model" sheetId="1" r:id="rId3"/>
    <sheet name="Imbruvica" sheetId="7" r:id="rId4"/>
    <sheet name="Humira" sheetId="3" r:id="rId5"/>
    <sheet name="Rinvoq" sheetId="5" r:id="rId6"/>
    <sheet name="Botox" sheetId="8" r:id="rId7"/>
    <sheet name="Skyrizi" sheetId="6" r:id="rId8"/>
    <sheet name="Elahere" sheetId="9" r:id="rId9"/>
    <sheet name="Epkinly" sheetId="10" r:id="rId10"/>
    <sheet name="tavapadon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Q2" i="1" l="1"/>
  <c r="DP2" i="1"/>
  <c r="DO2" i="1"/>
  <c r="DN2" i="1"/>
  <c r="DM2" i="1"/>
  <c r="DL78" i="1"/>
  <c r="DK78" i="1"/>
  <c r="DJ78" i="1"/>
  <c r="DL77" i="1"/>
  <c r="DK77" i="1"/>
  <c r="DJ77" i="1"/>
  <c r="DL75" i="1"/>
  <c r="DK75" i="1"/>
  <c r="DJ75" i="1"/>
  <c r="DI75" i="1"/>
  <c r="DH75" i="1"/>
  <c r="DG75" i="1"/>
  <c r="DL74" i="1"/>
  <c r="DK74" i="1"/>
  <c r="DJ74" i="1"/>
  <c r="DI74" i="1"/>
  <c r="DH74" i="1"/>
  <c r="DG74" i="1"/>
  <c r="DL73" i="1"/>
  <c r="DK73" i="1"/>
  <c r="DJ73" i="1"/>
  <c r="DI73" i="1"/>
  <c r="DH73" i="1"/>
  <c r="DG73" i="1"/>
  <c r="DE75" i="1"/>
  <c r="DD75" i="1"/>
  <c r="DC75" i="1"/>
  <c r="DE74" i="1"/>
  <c r="DD74" i="1"/>
  <c r="DC74" i="1"/>
  <c r="DE73" i="1"/>
  <c r="DD73" i="1"/>
  <c r="DC73" i="1"/>
  <c r="DF75" i="1"/>
  <c r="DF74" i="1"/>
  <c r="DF73" i="1"/>
  <c r="DF62" i="1"/>
  <c r="DF60" i="1"/>
  <c r="DF57" i="1"/>
  <c r="DF56" i="1"/>
  <c r="DF55" i="1"/>
  <c r="DF54" i="1"/>
  <c r="CK60" i="1"/>
  <c r="CK55" i="1"/>
  <c r="CK80" i="1"/>
  <c r="CJ80" i="1"/>
  <c r="CI80" i="1"/>
  <c r="CH80" i="1"/>
  <c r="CJ97" i="1"/>
  <c r="CI97" i="1"/>
  <c r="CK95" i="1"/>
  <c r="CK90" i="1"/>
  <c r="CK86" i="1"/>
  <c r="CK81" i="1"/>
  <c r="H5" i="1"/>
  <c r="H51" i="1" s="1"/>
  <c r="H53" i="1" s="1"/>
  <c r="F51" i="1"/>
  <c r="F53" i="1" s="1"/>
  <c r="E51" i="1"/>
  <c r="E53" i="1" s="1"/>
  <c r="D51" i="1"/>
  <c r="D53" i="1" s="1"/>
  <c r="C51" i="1"/>
  <c r="C53" i="1" s="1"/>
  <c r="J51" i="1"/>
  <c r="J53" i="1" s="1"/>
  <c r="G51" i="1"/>
  <c r="G53" i="1" s="1"/>
  <c r="I51" i="1"/>
  <c r="I53" i="1" s="1"/>
  <c r="M35" i="1"/>
  <c r="M34" i="1"/>
  <c r="M33" i="1"/>
  <c r="M32" i="1"/>
  <c r="M42" i="1"/>
  <c r="M36" i="1"/>
  <c r="M39" i="1"/>
  <c r="M48" i="1"/>
  <c r="M44" i="1"/>
  <c r="M43" i="1"/>
  <c r="M45" i="1"/>
  <c r="M41" i="1"/>
  <c r="M5" i="1"/>
  <c r="N51" i="1"/>
  <c r="N53" i="1" s="1"/>
  <c r="K51" i="1"/>
  <c r="K53" i="1" s="1"/>
  <c r="L51" i="1"/>
  <c r="L53" i="1" s="1"/>
  <c r="Q48" i="1"/>
  <c r="Q45" i="1"/>
  <c r="Q44" i="1"/>
  <c r="Q43" i="1"/>
  <c r="Q42" i="1"/>
  <c r="Q39" i="1"/>
  <c r="Q36" i="1"/>
  <c r="Q35" i="1"/>
  <c r="Q34" i="1"/>
  <c r="Q33" i="1"/>
  <c r="Q32" i="1"/>
  <c r="P5" i="1"/>
  <c r="R51" i="1"/>
  <c r="R53" i="1" s="1"/>
  <c r="P51" i="1"/>
  <c r="P53" i="1" s="1"/>
  <c r="O51" i="1"/>
  <c r="O53" i="1" s="1"/>
  <c r="V51" i="1"/>
  <c r="V53" i="1" s="1"/>
  <c r="U51" i="1"/>
  <c r="U53" i="1" s="1"/>
  <c r="T51" i="1"/>
  <c r="T53" i="1" s="1"/>
  <c r="S51" i="1"/>
  <c r="S53" i="1" s="1"/>
  <c r="W35" i="1"/>
  <c r="W51" i="1" s="1"/>
  <c r="W53" i="1" s="1"/>
  <c r="Z51" i="1"/>
  <c r="Z53" i="1" s="1"/>
  <c r="Y51" i="1"/>
  <c r="Y53" i="1" s="1"/>
  <c r="X51" i="1"/>
  <c r="X53" i="1" s="1"/>
  <c r="AA48" i="1"/>
  <c r="AA46" i="1"/>
  <c r="AA45" i="1"/>
  <c r="AA44" i="1"/>
  <c r="AA36" i="1"/>
  <c r="AA35" i="1"/>
  <c r="AA5" i="1"/>
  <c r="AD51" i="1"/>
  <c r="AD53" i="1" s="1"/>
  <c r="AC51" i="1"/>
  <c r="AC53" i="1" s="1"/>
  <c r="AB51" i="1"/>
  <c r="AB53" i="1" s="1"/>
  <c r="AH51" i="1"/>
  <c r="AH53" i="1" s="1"/>
  <c r="AF51" i="1"/>
  <c r="AF53" i="1" s="1"/>
  <c r="AE51" i="1"/>
  <c r="AE53" i="1" s="1"/>
  <c r="AG51" i="1"/>
  <c r="AG53" i="1" s="1"/>
  <c r="AK48" i="1"/>
  <c r="AK46" i="1"/>
  <c r="AK44" i="1"/>
  <c r="AK36" i="1"/>
  <c r="AK35" i="1"/>
  <c r="AK5" i="1"/>
  <c r="AL51" i="1"/>
  <c r="AL53" i="1" s="1"/>
  <c r="AJ51" i="1"/>
  <c r="AJ53" i="1" s="1"/>
  <c r="AI51" i="1"/>
  <c r="AI53" i="1" s="1"/>
  <c r="AN51" i="1"/>
  <c r="AN53" i="1" s="1"/>
  <c r="AM51" i="1"/>
  <c r="AM53" i="1" s="1"/>
  <c r="AP51" i="1"/>
  <c r="AP53" i="1" s="1"/>
  <c r="BF51" i="1"/>
  <c r="BF53" i="1" s="1"/>
  <c r="BE51" i="1"/>
  <c r="BE53" i="1" s="1"/>
  <c r="BD51" i="1"/>
  <c r="BD53" i="1" s="1"/>
  <c r="BC51" i="1"/>
  <c r="BC53" i="1" s="1"/>
  <c r="BG67" i="1" s="1"/>
  <c r="BB60" i="1"/>
  <c r="BB58" i="1"/>
  <c r="BB51" i="1"/>
  <c r="BB53" i="1" s="1"/>
  <c r="BB55" i="1" s="1"/>
  <c r="BA60" i="1"/>
  <c r="BA58" i="1"/>
  <c r="BA51" i="1"/>
  <c r="BA53" i="1" s="1"/>
  <c r="BA55" i="1" s="1"/>
  <c r="AZ60" i="1"/>
  <c r="AZ58" i="1"/>
  <c r="AZ51" i="1"/>
  <c r="AZ53" i="1" s="1"/>
  <c r="AZ55" i="1" s="1"/>
  <c r="AY60" i="1"/>
  <c r="AY58" i="1"/>
  <c r="AY51" i="1"/>
  <c r="AY53" i="1" s="1"/>
  <c r="AY55" i="1" s="1"/>
  <c r="AX60" i="1"/>
  <c r="AX58" i="1"/>
  <c r="AX51" i="1"/>
  <c r="AX53" i="1" s="1"/>
  <c r="AX55" i="1" s="1"/>
  <c r="AW60" i="1"/>
  <c r="AW58" i="1"/>
  <c r="AW51" i="1"/>
  <c r="AW53" i="1" s="1"/>
  <c r="AW55" i="1" s="1"/>
  <c r="AU60" i="1"/>
  <c r="AU58" i="1"/>
  <c r="AU51" i="1"/>
  <c r="AU53" i="1" s="1"/>
  <c r="AU55" i="1" s="1"/>
  <c r="AT60" i="1"/>
  <c r="AT58" i="1"/>
  <c r="AT51" i="1"/>
  <c r="AT53" i="1" s="1"/>
  <c r="AT55" i="1" s="1"/>
  <c r="AR60" i="1"/>
  <c r="AR58" i="1"/>
  <c r="AQ49" i="1"/>
  <c r="AR51" i="1"/>
  <c r="AR53" i="1" s="1"/>
  <c r="AR55" i="1" s="1"/>
  <c r="BN70" i="1"/>
  <c r="BM70" i="1"/>
  <c r="BL70" i="1"/>
  <c r="BK70" i="1"/>
  <c r="BN69" i="1"/>
  <c r="BM69" i="1"/>
  <c r="BL69" i="1"/>
  <c r="BK69" i="1"/>
  <c r="CK88" i="1" l="1"/>
  <c r="AW59" i="1"/>
  <c r="M51" i="1"/>
  <c r="M53" i="1" s="1"/>
  <c r="AZ59" i="1"/>
  <c r="AZ61" i="1" s="1"/>
  <c r="AZ63" i="1" s="1"/>
  <c r="AZ64" i="1" s="1"/>
  <c r="AA51" i="1"/>
  <c r="AA53" i="1" s="1"/>
  <c r="AY59" i="1"/>
  <c r="AY61" i="1" s="1"/>
  <c r="AY63" i="1" s="1"/>
  <c r="AY64" i="1" s="1"/>
  <c r="Q51" i="1"/>
  <c r="Q53" i="1" s="1"/>
  <c r="BA59" i="1"/>
  <c r="BA61" i="1" s="1"/>
  <c r="BA63" i="1" s="1"/>
  <c r="BA64" i="1" s="1"/>
  <c r="AX59" i="1"/>
  <c r="AX61" i="1" s="1"/>
  <c r="AX63" i="1" s="1"/>
  <c r="AX64" i="1" s="1"/>
  <c r="AR59" i="1"/>
  <c r="AR61" i="1" s="1"/>
  <c r="AR63" i="1" s="1"/>
  <c r="AR64" i="1" s="1"/>
  <c r="AT59" i="1"/>
  <c r="AT61" i="1" s="1"/>
  <c r="AT63" i="1" s="1"/>
  <c r="AT64" i="1" s="1"/>
  <c r="AU59" i="1"/>
  <c r="AU61" i="1" s="1"/>
  <c r="AU63" i="1" s="1"/>
  <c r="AU64" i="1" s="1"/>
  <c r="AK51" i="1"/>
  <c r="AK53" i="1" s="1"/>
  <c r="AW61" i="1"/>
  <c r="AW63" i="1" s="1"/>
  <c r="AW64" i="1" s="1"/>
  <c r="BB59" i="1"/>
  <c r="BB61" i="1" s="1"/>
  <c r="BB63" i="1" s="1"/>
  <c r="BB64" i="1" s="1"/>
  <c r="BC58" i="1"/>
  <c r="BC55" i="1"/>
  <c r="BG52" i="1"/>
  <c r="BD60" i="1"/>
  <c r="BH67" i="1"/>
  <c r="BH52" i="1"/>
  <c r="BD3" i="1"/>
  <c r="BE3" i="1"/>
  <c r="BF3" i="1"/>
  <c r="BD58" i="1"/>
  <c r="BD55" i="1"/>
  <c r="BI67" i="1"/>
  <c r="BE60" i="1"/>
  <c r="BE58" i="1"/>
  <c r="BE55" i="1"/>
  <c r="BI60" i="1"/>
  <c r="BI52" i="1"/>
  <c r="BF60" i="1"/>
  <c r="BF58" i="1"/>
  <c r="BF55" i="1"/>
  <c r="BJ60" i="1"/>
  <c r="BJ3" i="1"/>
  <c r="BI3" i="1"/>
  <c r="BH3" i="1"/>
  <c r="BG3" i="1"/>
  <c r="BJ52" i="1"/>
  <c r="BJ53" i="1" s="1"/>
  <c r="BJ55" i="1" s="1"/>
  <c r="CJ90" i="1"/>
  <c r="CJ95" i="1" s="1"/>
  <c r="CJ86" i="1"/>
  <c r="CJ81" i="1"/>
  <c r="CJ60" i="1"/>
  <c r="CL60" i="1" s="1"/>
  <c r="CJ52" i="1"/>
  <c r="DE29" i="1"/>
  <c r="DE28" i="1"/>
  <c r="DE5" i="1"/>
  <c r="DE7" i="1"/>
  <c r="DE8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54" i="1"/>
  <c r="DE56" i="1"/>
  <c r="DE57" i="1"/>
  <c r="DE65" i="1"/>
  <c r="CL57" i="1"/>
  <c r="CL56" i="1"/>
  <c r="CI60" i="1"/>
  <c r="CJ58" i="1"/>
  <c r="CJ65" i="1"/>
  <c r="CJ75" i="1"/>
  <c r="CJ74" i="1"/>
  <c r="CJ73" i="1"/>
  <c r="CJ71" i="1"/>
  <c r="CJ70" i="1"/>
  <c r="CJ69" i="1"/>
  <c r="CL5" i="1"/>
  <c r="CL69" i="1" s="1"/>
  <c r="CK69" i="1"/>
  <c r="CL29" i="1"/>
  <c r="CL28" i="1"/>
  <c r="CL27" i="1"/>
  <c r="DF27" i="1" s="1"/>
  <c r="DG27" i="1" s="1"/>
  <c r="DH27" i="1" s="1"/>
  <c r="DI27" i="1" s="1"/>
  <c r="DJ27" i="1" s="1"/>
  <c r="DK27" i="1" s="1"/>
  <c r="DL27" i="1" s="1"/>
  <c r="CL26" i="1"/>
  <c r="DF26" i="1"/>
  <c r="CL25" i="1"/>
  <c r="DF25" i="1" s="1"/>
  <c r="CL24" i="1"/>
  <c r="CL23" i="1"/>
  <c r="CL22" i="1"/>
  <c r="DF22" i="1" s="1"/>
  <c r="CL21" i="1"/>
  <c r="CL20" i="1"/>
  <c r="CL17" i="1"/>
  <c r="DF17" i="1" s="1"/>
  <c r="CL18" i="1"/>
  <c r="CL16" i="1"/>
  <c r="CL15" i="1"/>
  <c r="CL14" i="1"/>
  <c r="DF14" i="1"/>
  <c r="CL13" i="1"/>
  <c r="CL12" i="1"/>
  <c r="CL75" i="1" s="1"/>
  <c r="CK75" i="1"/>
  <c r="CL11" i="1"/>
  <c r="CK73" i="1"/>
  <c r="CL8" i="1"/>
  <c r="CL71" i="1" s="1"/>
  <c r="CL7" i="1"/>
  <c r="CL70" i="1" s="1"/>
  <c r="CK70" i="1"/>
  <c r="CH90" i="1"/>
  <c r="CH95" i="1" s="1"/>
  <c r="CH86" i="1"/>
  <c r="CH81" i="1"/>
  <c r="CH88" i="1" s="1"/>
  <c r="CH52" i="1"/>
  <c r="CL52" i="1" s="1"/>
  <c r="CH10" i="1"/>
  <c r="CL10" i="1" s="1"/>
  <c r="CL74" i="1" s="1"/>
  <c r="CH9" i="1"/>
  <c r="DE9" i="1" s="1"/>
  <c r="CH62" i="1"/>
  <c r="CH60" i="1"/>
  <c r="CG60" i="1"/>
  <c r="CC18" i="1"/>
  <c r="CG90" i="1"/>
  <c r="CG95" i="1" s="1"/>
  <c r="CG86" i="1"/>
  <c r="CG81" i="1"/>
  <c r="CF120" i="1"/>
  <c r="CG120" i="1" s="1"/>
  <c r="CH120" i="1" s="1"/>
  <c r="CF118" i="1"/>
  <c r="CG118" i="1" s="1"/>
  <c r="CH118" i="1" s="1"/>
  <c r="CF117" i="1"/>
  <c r="CG117" i="1" s="1"/>
  <c r="CH117" i="1" s="1"/>
  <c r="CF116" i="1"/>
  <c r="CG116" i="1" s="1"/>
  <c r="CH116" i="1" s="1"/>
  <c r="CF115" i="1"/>
  <c r="CG115" i="1" s="1"/>
  <c r="CH115" i="1" s="1"/>
  <c r="CF114" i="1"/>
  <c r="CG114" i="1" s="1"/>
  <c r="CH114" i="1" s="1"/>
  <c r="CF113" i="1"/>
  <c r="CG113" i="1" s="1"/>
  <c r="CH113" i="1" s="1"/>
  <c r="CF110" i="1"/>
  <c r="CF105" i="1"/>
  <c r="CG105" i="1" s="1"/>
  <c r="CH105" i="1" s="1"/>
  <c r="CF103" i="1"/>
  <c r="CG103" i="1" s="1"/>
  <c r="CH103" i="1" s="1"/>
  <c r="CF102" i="1"/>
  <c r="CG102" i="1" s="1"/>
  <c r="CH102" i="1" s="1"/>
  <c r="CF101" i="1"/>
  <c r="CG101" i="1" s="1"/>
  <c r="CH101" i="1" s="1"/>
  <c r="CF100" i="1"/>
  <c r="CG100" i="1" s="1"/>
  <c r="CH100" i="1" s="1"/>
  <c r="CF99" i="1"/>
  <c r="CG99" i="1" s="1"/>
  <c r="CH99" i="1" s="1"/>
  <c r="CF98" i="1"/>
  <c r="CG98" i="1" s="1"/>
  <c r="CF90" i="1"/>
  <c r="CF95" i="1" s="1"/>
  <c r="CF81" i="1"/>
  <c r="CF86" i="1"/>
  <c r="CF62" i="1"/>
  <c r="CF60" i="1"/>
  <c r="CE119" i="1"/>
  <c r="CE109" i="1"/>
  <c r="CE111" i="1" s="1"/>
  <c r="CE104" i="1"/>
  <c r="CF104" i="1" s="1"/>
  <c r="CG104" i="1" s="1"/>
  <c r="CH104" i="1" s="1"/>
  <c r="CE106" i="1"/>
  <c r="CF106" i="1" s="1"/>
  <c r="CG106" i="1" s="1"/>
  <c r="CH106" i="1" s="1"/>
  <c r="CE90" i="1"/>
  <c r="CE95" i="1" s="1"/>
  <c r="CE86" i="1"/>
  <c r="CE81" i="1"/>
  <c r="CI58" i="1"/>
  <c r="CI75" i="1"/>
  <c r="CI74" i="1"/>
  <c r="CI73" i="1"/>
  <c r="CI71" i="1"/>
  <c r="CI70" i="1"/>
  <c r="CI69" i="1"/>
  <c r="CI53" i="1"/>
  <c r="CI55" i="1" s="1"/>
  <c r="CI3" i="1"/>
  <c r="CI90" i="1"/>
  <c r="CI95" i="1" s="1"/>
  <c r="CI81" i="1"/>
  <c r="CI86" i="1"/>
  <c r="CE3" i="1"/>
  <c r="CE62" i="1"/>
  <c r="CD80" i="1"/>
  <c r="CZ65" i="1"/>
  <c r="CZ62" i="1"/>
  <c r="CZ57" i="1"/>
  <c r="CZ56" i="1"/>
  <c r="CZ58" i="1" s="1"/>
  <c r="CZ54" i="1"/>
  <c r="CZ51" i="1"/>
  <c r="CZ50" i="1"/>
  <c r="CZ49" i="1"/>
  <c r="CZ48" i="1"/>
  <c r="CZ47" i="1"/>
  <c r="CZ46" i="1"/>
  <c r="CZ44" i="1"/>
  <c r="CZ40" i="1"/>
  <c r="CZ38" i="1"/>
  <c r="CZ37" i="1"/>
  <c r="CZ36" i="1"/>
  <c r="CZ35" i="1"/>
  <c r="CZ31" i="1"/>
  <c r="CZ30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BO70" i="1"/>
  <c r="BO69" i="1"/>
  <c r="BG60" i="1"/>
  <c r="BG58" i="1"/>
  <c r="BG55" i="1"/>
  <c r="BK52" i="1"/>
  <c r="BK3" i="1"/>
  <c r="BK67" i="1"/>
  <c r="BP3" i="1"/>
  <c r="BO3" i="1"/>
  <c r="BN3" i="1"/>
  <c r="BM3" i="1"/>
  <c r="BL3" i="1"/>
  <c r="BV3" i="1"/>
  <c r="BU3" i="1"/>
  <c r="BT3" i="1"/>
  <c r="BS3" i="1"/>
  <c r="BR3" i="1"/>
  <c r="BQ3" i="1"/>
  <c r="CC3" i="1"/>
  <c r="CB3" i="1"/>
  <c r="CA3" i="1"/>
  <c r="BZ3" i="1"/>
  <c r="BY3" i="1"/>
  <c r="BX3" i="1"/>
  <c r="BW3" i="1"/>
  <c r="CD3" i="1"/>
  <c r="BP70" i="1"/>
  <c r="BQ70" i="1"/>
  <c r="BR70" i="1"/>
  <c r="BP69" i="1"/>
  <c r="BQ69" i="1"/>
  <c r="BR69" i="1"/>
  <c r="BH58" i="1"/>
  <c r="BH55" i="1"/>
  <c r="BL53" i="1"/>
  <c r="BL67" i="1" s="1"/>
  <c r="BI58" i="1"/>
  <c r="BI55" i="1"/>
  <c r="BM53" i="1"/>
  <c r="BM67" i="1" s="1"/>
  <c r="BK60" i="1"/>
  <c r="BN60" i="1"/>
  <c r="BJ58" i="1"/>
  <c r="BN52" i="1"/>
  <c r="DA65" i="1"/>
  <c r="DB65" i="1"/>
  <c r="DB62" i="1"/>
  <c r="DA62" i="1"/>
  <c r="DB57" i="1"/>
  <c r="DA57" i="1"/>
  <c r="DB56" i="1"/>
  <c r="DB58" i="1" s="1"/>
  <c r="DA56" i="1"/>
  <c r="DB54" i="1"/>
  <c r="DA54" i="1"/>
  <c r="DA51" i="1"/>
  <c r="DA50" i="1"/>
  <c r="DA49" i="1"/>
  <c r="DA48" i="1"/>
  <c r="DA47" i="1"/>
  <c r="DA46" i="1"/>
  <c r="DA44" i="1"/>
  <c r="DA40" i="1"/>
  <c r="DA38" i="1"/>
  <c r="DA37" i="1"/>
  <c r="DA36" i="1"/>
  <c r="DA35" i="1"/>
  <c r="DA31" i="1"/>
  <c r="DA30" i="1"/>
  <c r="DA26" i="1"/>
  <c r="DA25" i="1"/>
  <c r="DA24" i="1"/>
  <c r="DA23" i="1"/>
  <c r="DA22" i="1"/>
  <c r="DA21" i="1"/>
  <c r="DA20" i="1"/>
  <c r="DA19" i="1"/>
  <c r="DA18" i="1"/>
  <c r="DA17" i="1"/>
  <c r="DA16" i="1"/>
  <c r="DA15" i="1"/>
  <c r="DA14" i="1"/>
  <c r="DA13" i="1"/>
  <c r="DA12" i="1"/>
  <c r="DA11" i="1"/>
  <c r="DA10" i="1"/>
  <c r="DA9" i="1"/>
  <c r="DA8" i="1"/>
  <c r="DA7" i="1"/>
  <c r="DA6" i="1"/>
  <c r="DA5" i="1"/>
  <c r="BO60" i="1"/>
  <c r="BS70" i="1"/>
  <c r="BS69" i="1"/>
  <c r="BK58" i="1"/>
  <c r="BK55" i="1"/>
  <c r="BK77" i="1" s="1"/>
  <c r="BO52" i="1"/>
  <c r="BL60" i="1"/>
  <c r="BT71" i="1"/>
  <c r="BT70" i="1"/>
  <c r="BT69" i="1"/>
  <c r="BL58" i="1"/>
  <c r="BP53" i="1"/>
  <c r="CD69" i="1"/>
  <c r="CA113" i="1"/>
  <c r="CA119" i="1" s="1"/>
  <c r="CA109" i="1"/>
  <c r="CA111" i="1" s="1"/>
  <c r="CA106" i="1"/>
  <c r="CA107" i="1" s="1"/>
  <c r="CC75" i="1"/>
  <c r="CC74" i="1"/>
  <c r="CC73" i="1"/>
  <c r="CC71" i="1"/>
  <c r="CC70" i="1"/>
  <c r="CC69" i="1"/>
  <c r="CC90" i="1"/>
  <c r="CC95" i="1" s="1"/>
  <c r="CC86" i="1"/>
  <c r="CC81" i="1"/>
  <c r="CG80" i="1" l="1"/>
  <c r="DF16" i="1"/>
  <c r="DF5" i="1"/>
  <c r="DF24" i="1"/>
  <c r="DF23" i="1"/>
  <c r="DE58" i="1"/>
  <c r="DE52" i="1"/>
  <c r="DF18" i="1"/>
  <c r="DE60" i="1"/>
  <c r="DF20" i="1"/>
  <c r="CF88" i="1"/>
  <c r="DF29" i="1"/>
  <c r="CF80" i="1"/>
  <c r="DF15" i="1"/>
  <c r="BS72" i="1"/>
  <c r="CF109" i="1"/>
  <c r="CG109" i="1" s="1"/>
  <c r="CH109" i="1" s="1"/>
  <c r="DF21" i="1"/>
  <c r="CK58" i="1"/>
  <c r="DF13" i="1"/>
  <c r="CI72" i="1"/>
  <c r="DF11" i="1"/>
  <c r="BO72" i="1"/>
  <c r="DF8" i="1"/>
  <c r="CG88" i="1"/>
  <c r="CE107" i="1"/>
  <c r="CE121" i="1" s="1"/>
  <c r="DE62" i="1"/>
  <c r="CL9" i="1"/>
  <c r="CL73" i="1" s="1"/>
  <c r="DF10" i="1"/>
  <c r="DE10" i="1"/>
  <c r="CG110" i="1"/>
  <c r="CH110" i="1" s="1"/>
  <c r="BP67" i="1"/>
  <c r="CL58" i="1"/>
  <c r="BJ67" i="1"/>
  <c r="CH98" i="1"/>
  <c r="CH107" i="1" s="1"/>
  <c r="CG107" i="1"/>
  <c r="CL65" i="1"/>
  <c r="DF65" i="1" s="1"/>
  <c r="CK71" i="1"/>
  <c r="DF52" i="1"/>
  <c r="CF119" i="1"/>
  <c r="CK74" i="1"/>
  <c r="DF7" i="1"/>
  <c r="CL3" i="1"/>
  <c r="CJ88" i="1"/>
  <c r="DF12" i="1"/>
  <c r="CE88" i="1"/>
  <c r="CJ53" i="1"/>
  <c r="CJ55" i="1" s="1"/>
  <c r="CF107" i="1"/>
  <c r="CK3" i="1"/>
  <c r="BC59" i="1"/>
  <c r="BC61" i="1" s="1"/>
  <c r="BC63" i="1" s="1"/>
  <c r="BC64" i="1" s="1"/>
  <c r="BH59" i="1"/>
  <c r="BH61" i="1" s="1"/>
  <c r="BH63" i="1" s="1"/>
  <c r="BH64" i="1" s="1"/>
  <c r="BD59" i="1"/>
  <c r="BD61" i="1" s="1"/>
  <c r="BD63" i="1" s="1"/>
  <c r="BD64" i="1" s="1"/>
  <c r="BE59" i="1"/>
  <c r="BE61" i="1" s="1"/>
  <c r="BE63" i="1" s="1"/>
  <c r="BE64" i="1" s="1"/>
  <c r="BF59" i="1"/>
  <c r="BF61" i="1" s="1"/>
  <c r="BF63" i="1" s="1"/>
  <c r="BF64" i="1" s="1"/>
  <c r="CL19" i="1"/>
  <c r="DF19" i="1" s="1"/>
  <c r="DF28" i="1"/>
  <c r="CI59" i="1"/>
  <c r="CI61" i="1" s="1"/>
  <c r="CI63" i="1" s="1"/>
  <c r="CK53" i="1"/>
  <c r="CJ3" i="1"/>
  <c r="CH119" i="1"/>
  <c r="CG119" i="1"/>
  <c r="CI77" i="1"/>
  <c r="CE80" i="1"/>
  <c r="CC88" i="1"/>
  <c r="CI88" i="1"/>
  <c r="BJ59" i="1"/>
  <c r="BJ61" i="1" s="1"/>
  <c r="CD72" i="1"/>
  <c r="CA72" i="1"/>
  <c r="CZ52" i="1"/>
  <c r="CZ53" i="1" s="1"/>
  <c r="CZ55" i="1" s="1"/>
  <c r="CZ77" i="1" s="1"/>
  <c r="DA3" i="1"/>
  <c r="BV72" i="1"/>
  <c r="BU72" i="1"/>
  <c r="DA58" i="1"/>
  <c r="CB72" i="1"/>
  <c r="BY72" i="1"/>
  <c r="CC72" i="1"/>
  <c r="BX72" i="1"/>
  <c r="BT72" i="1"/>
  <c r="CE72" i="1"/>
  <c r="DA70" i="1"/>
  <c r="BZ72" i="1"/>
  <c r="BW72" i="1"/>
  <c r="BN53" i="1"/>
  <c r="BN67" i="1" s="1"/>
  <c r="BI59" i="1"/>
  <c r="BI61" i="1" s="1"/>
  <c r="BI63" i="1" s="1"/>
  <c r="BI64" i="1" s="1"/>
  <c r="DA69" i="1"/>
  <c r="BQ72" i="1"/>
  <c r="BR72" i="1"/>
  <c r="CZ3" i="1"/>
  <c r="BG59" i="1"/>
  <c r="BG61" i="1" s="1"/>
  <c r="BG63" i="1" s="1"/>
  <c r="BG64" i="1" s="1"/>
  <c r="BP72" i="1"/>
  <c r="BI77" i="1"/>
  <c r="BJ77" i="1"/>
  <c r="CA121" i="1"/>
  <c r="CC80" i="1"/>
  <c r="BO53" i="1"/>
  <c r="BO67" i="1" s="1"/>
  <c r="BL55" i="1"/>
  <c r="BL77" i="1" s="1"/>
  <c r="BK59" i="1"/>
  <c r="BK61" i="1" s="1"/>
  <c r="CE58" i="1"/>
  <c r="CF58" i="1"/>
  <c r="CG58" i="1"/>
  <c r="CH75" i="1"/>
  <c r="CG75" i="1"/>
  <c r="CF75" i="1"/>
  <c r="CH74" i="1"/>
  <c r="CG74" i="1"/>
  <c r="CF74" i="1"/>
  <c r="CH73" i="1"/>
  <c r="CG73" i="1"/>
  <c r="CF73" i="1"/>
  <c r="CH71" i="1"/>
  <c r="CG71" i="1"/>
  <c r="CF71" i="1"/>
  <c r="CH70" i="1"/>
  <c r="CG70" i="1"/>
  <c r="CF70" i="1"/>
  <c r="CE70" i="1"/>
  <c r="CC60" i="1"/>
  <c r="CE75" i="1"/>
  <c r="CE74" i="1"/>
  <c r="CE73" i="1"/>
  <c r="CE71" i="1"/>
  <c r="CC53" i="1"/>
  <c r="CC55" i="1" s="1"/>
  <c r="CC77" i="1" s="1"/>
  <c r="CB60" i="1"/>
  <c r="BU75" i="1"/>
  <c r="BV75" i="1"/>
  <c r="BW75" i="1"/>
  <c r="BX75" i="1"/>
  <c r="BY75" i="1"/>
  <c r="BZ75" i="1"/>
  <c r="CA75" i="1"/>
  <c r="CB75" i="1"/>
  <c r="DB9" i="1"/>
  <c r="DB51" i="1"/>
  <c r="DB50" i="1"/>
  <c r="DB49" i="1"/>
  <c r="DB48" i="1"/>
  <c r="DB47" i="1"/>
  <c r="DB46" i="1"/>
  <c r="DB44" i="1"/>
  <c r="DB40" i="1"/>
  <c r="DB38" i="1"/>
  <c r="DB37" i="1"/>
  <c r="DB36" i="1"/>
  <c r="DB35" i="1"/>
  <c r="DB31" i="1"/>
  <c r="DB30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8" i="1"/>
  <c r="DB71" i="1" s="1"/>
  <c r="DB7" i="1"/>
  <c r="DB70" i="1" s="1"/>
  <c r="DB5" i="1"/>
  <c r="DB69" i="1" s="1"/>
  <c r="BM60" i="1"/>
  <c r="CZ60" i="1" s="1"/>
  <c r="BQ60" i="1"/>
  <c r="BU71" i="1"/>
  <c r="BU70" i="1"/>
  <c r="BU69" i="1"/>
  <c r="BM58" i="1"/>
  <c r="BM55" i="1"/>
  <c r="BM77" i="1" s="1"/>
  <c r="BQ52" i="1"/>
  <c r="BQ53" i="1" s="1"/>
  <c r="BQ58" i="1"/>
  <c r="BR60" i="1"/>
  <c r="BN58" i="1"/>
  <c r="BV71" i="1"/>
  <c r="BV70" i="1"/>
  <c r="BV69" i="1"/>
  <c r="BR58" i="1"/>
  <c r="BR52" i="1"/>
  <c r="BR53" i="1" s="1"/>
  <c r="BR55" i="1" s="1"/>
  <c r="BR77" i="1" s="1"/>
  <c r="BO58" i="1"/>
  <c r="BS60" i="1"/>
  <c r="BW71" i="1"/>
  <c r="BW70" i="1"/>
  <c r="BW69" i="1"/>
  <c r="BS58" i="1"/>
  <c r="BS52" i="1"/>
  <c r="BP60" i="1"/>
  <c r="BP58" i="1"/>
  <c r="BP55" i="1"/>
  <c r="BP77" i="1" s="1"/>
  <c r="BT60" i="1"/>
  <c r="BX74" i="1"/>
  <c r="BX73" i="1"/>
  <c r="BX71" i="1"/>
  <c r="BX70" i="1"/>
  <c r="BX69" i="1"/>
  <c r="BT58" i="1"/>
  <c r="BT52" i="1"/>
  <c r="BT53" i="1" s="1"/>
  <c r="BT55" i="1" s="1"/>
  <c r="BT77" i="1" s="1"/>
  <c r="CB90" i="1"/>
  <c r="CB95" i="1" s="1"/>
  <c r="CB86" i="1"/>
  <c r="CB81" i="1"/>
  <c r="DC65" i="1"/>
  <c r="DC60" i="1"/>
  <c r="DC57" i="1"/>
  <c r="DC56" i="1"/>
  <c r="DC54" i="1"/>
  <c r="DC26" i="1"/>
  <c r="DC25" i="1"/>
  <c r="DC24" i="1"/>
  <c r="DC23" i="1"/>
  <c r="DC22" i="1"/>
  <c r="DC21" i="1"/>
  <c r="DC20" i="1"/>
  <c r="DC19" i="1"/>
  <c r="DC18" i="1"/>
  <c r="DC17" i="1"/>
  <c r="DC16" i="1"/>
  <c r="DC15" i="1"/>
  <c r="DC14" i="1"/>
  <c r="DC13" i="1"/>
  <c r="DC12" i="1"/>
  <c r="DC11" i="1"/>
  <c r="DC10" i="1"/>
  <c r="DC9" i="1"/>
  <c r="DC8" i="1"/>
  <c r="DC7" i="1"/>
  <c r="DC5" i="1"/>
  <c r="DD26" i="1"/>
  <c r="DG26" i="1" s="1"/>
  <c r="DH26" i="1" s="1"/>
  <c r="DI26" i="1" s="1"/>
  <c r="DJ26" i="1" s="1"/>
  <c r="DK26" i="1" s="1"/>
  <c r="DL26" i="1" s="1"/>
  <c r="DD22" i="1"/>
  <c r="DG22" i="1" s="1"/>
  <c r="DH22" i="1" s="1"/>
  <c r="DI22" i="1" s="1"/>
  <c r="DJ22" i="1" s="1"/>
  <c r="DK22" i="1" s="1"/>
  <c r="DL22" i="1" s="1"/>
  <c r="DD20" i="1"/>
  <c r="DD19" i="1"/>
  <c r="DD18" i="1"/>
  <c r="DG18" i="1" s="1"/>
  <c r="DH18" i="1" s="1"/>
  <c r="DI18" i="1" s="1"/>
  <c r="DJ18" i="1" s="1"/>
  <c r="DK18" i="1" s="1"/>
  <c r="DL18" i="1" s="1"/>
  <c r="DD17" i="1"/>
  <c r="DG17" i="1" s="1"/>
  <c r="DH17" i="1" s="1"/>
  <c r="DI17" i="1" s="1"/>
  <c r="DJ17" i="1" s="1"/>
  <c r="DK17" i="1" s="1"/>
  <c r="DL17" i="1" s="1"/>
  <c r="DD13" i="1"/>
  <c r="CD75" i="1"/>
  <c r="CD57" i="1"/>
  <c r="DD57" i="1" s="1"/>
  <c r="CD56" i="1"/>
  <c r="CH58" i="1" s="1"/>
  <c r="CD65" i="1"/>
  <c r="CA74" i="1"/>
  <c r="BZ74" i="1"/>
  <c r="BY74" i="1"/>
  <c r="CA73" i="1"/>
  <c r="BZ73" i="1"/>
  <c r="BY73" i="1"/>
  <c r="CB74" i="1"/>
  <c r="CB73" i="1"/>
  <c r="CD74" i="1"/>
  <c r="CD73" i="1"/>
  <c r="CD71" i="1"/>
  <c r="CD70" i="1"/>
  <c r="CB71" i="1"/>
  <c r="CB70" i="1"/>
  <c r="CB69" i="1"/>
  <c r="CB58" i="1"/>
  <c r="CB52" i="1"/>
  <c r="CB53" i="1" s="1"/>
  <c r="CB55" i="1" s="1"/>
  <c r="CB77" i="1" s="1"/>
  <c r="BY71" i="1"/>
  <c r="BY70" i="1"/>
  <c r="BY69" i="1"/>
  <c r="BU58" i="1"/>
  <c r="BU52" i="1"/>
  <c r="BU53" i="1" s="1"/>
  <c r="BZ71" i="1"/>
  <c r="BZ70" i="1"/>
  <c r="CA70" i="1"/>
  <c r="CA71" i="1"/>
  <c r="BZ69" i="1"/>
  <c r="BV58" i="1"/>
  <c r="BV52" i="1"/>
  <c r="BV53" i="1" s="1"/>
  <c r="BV55" i="1" s="1"/>
  <c r="BW52" i="1"/>
  <c r="CA69" i="1"/>
  <c r="BX62" i="1"/>
  <c r="BX58" i="1"/>
  <c r="BX52" i="1"/>
  <c r="BX53" i="1" s="1"/>
  <c r="DG20" i="1" l="1"/>
  <c r="DH20" i="1" s="1"/>
  <c r="DI20" i="1" s="1"/>
  <c r="DJ20" i="1" s="1"/>
  <c r="DK20" i="1" s="1"/>
  <c r="DL20" i="1" s="1"/>
  <c r="CH111" i="1"/>
  <c r="CH121" i="1" s="1"/>
  <c r="DG13" i="1"/>
  <c r="DH13" i="1" s="1"/>
  <c r="DI13" i="1" s="1"/>
  <c r="DJ13" i="1" s="1"/>
  <c r="DK13" i="1" s="1"/>
  <c r="DL13" i="1" s="1"/>
  <c r="CI78" i="1"/>
  <c r="CG111" i="1"/>
  <c r="CF111" i="1"/>
  <c r="CF121" i="1" s="1"/>
  <c r="CL53" i="1"/>
  <c r="CL55" i="1" s="1"/>
  <c r="DF9" i="1"/>
  <c r="CG121" i="1"/>
  <c r="BJ78" i="1"/>
  <c r="BJ63" i="1"/>
  <c r="BJ64" i="1" s="1"/>
  <c r="DG19" i="1"/>
  <c r="DH19" i="1" s="1"/>
  <c r="DI19" i="1" s="1"/>
  <c r="DJ19" i="1" s="1"/>
  <c r="DK19" i="1" s="1"/>
  <c r="DL19" i="1" s="1"/>
  <c r="CI64" i="1"/>
  <c r="DC70" i="1"/>
  <c r="DC71" i="1"/>
  <c r="BI78" i="1"/>
  <c r="DA72" i="1"/>
  <c r="DC69" i="1"/>
  <c r="DA60" i="1"/>
  <c r="CF3" i="1"/>
  <c r="CF72" i="1" s="1"/>
  <c r="CG3" i="1"/>
  <c r="CG72" i="1" s="1"/>
  <c r="CD60" i="1"/>
  <c r="CH69" i="1"/>
  <c r="CH3" i="1"/>
  <c r="CH72" i="1" s="1"/>
  <c r="CF69" i="1"/>
  <c r="BO55" i="1"/>
  <c r="BO77" i="1" s="1"/>
  <c r="CZ59" i="1"/>
  <c r="CZ61" i="1" s="1"/>
  <c r="CG69" i="1"/>
  <c r="BN55" i="1"/>
  <c r="BN77" i="1" s="1"/>
  <c r="BL59" i="1"/>
  <c r="BL61" i="1" s="1"/>
  <c r="BL78" i="1" s="1"/>
  <c r="BS53" i="1"/>
  <c r="BS55" i="1" s="1"/>
  <c r="BS77" i="1" s="1"/>
  <c r="DB52" i="1"/>
  <c r="DB53" i="1" s="1"/>
  <c r="CF53" i="1"/>
  <c r="CJ67" i="1" s="1"/>
  <c r="DC3" i="1"/>
  <c r="DB3" i="1"/>
  <c r="DB72" i="1" s="1"/>
  <c r="DA52" i="1"/>
  <c r="DA53" i="1" s="1"/>
  <c r="DB60" i="1"/>
  <c r="BK63" i="1"/>
  <c r="BK64" i="1" s="1"/>
  <c r="BK78" i="1"/>
  <c r="CG53" i="1"/>
  <c r="CH53" i="1"/>
  <c r="CH55" i="1" s="1"/>
  <c r="CE69" i="1"/>
  <c r="BP59" i="1"/>
  <c r="BP61" i="1" s="1"/>
  <c r="BV67" i="1"/>
  <c r="BT67" i="1"/>
  <c r="BR67" i="1"/>
  <c r="BQ55" i="1"/>
  <c r="BQ77" i="1" s="1"/>
  <c r="BQ67" i="1"/>
  <c r="BU67" i="1"/>
  <c r="DD56" i="1"/>
  <c r="DD58" i="1" s="1"/>
  <c r="DD21" i="1"/>
  <c r="DG21" i="1" s="1"/>
  <c r="DH21" i="1" s="1"/>
  <c r="DI21" i="1" s="1"/>
  <c r="DJ21" i="1" s="1"/>
  <c r="DK21" i="1" s="1"/>
  <c r="DL21" i="1" s="1"/>
  <c r="BM59" i="1"/>
  <c r="BM61" i="1" s="1"/>
  <c r="BR59" i="1"/>
  <c r="BR61" i="1" s="1"/>
  <c r="BN59" i="1"/>
  <c r="BN61" i="1" s="1"/>
  <c r="BX55" i="1"/>
  <c r="BX77" i="1" s="1"/>
  <c r="BX67" i="1"/>
  <c r="CB80" i="1"/>
  <c r="DD11" i="1"/>
  <c r="DG11" i="1" s="1"/>
  <c r="DH11" i="1" s="1"/>
  <c r="DI11" i="1" s="1"/>
  <c r="DJ11" i="1" s="1"/>
  <c r="DK11" i="1" s="1"/>
  <c r="DL11" i="1" s="1"/>
  <c r="DD24" i="1"/>
  <c r="DG24" i="1" s="1"/>
  <c r="DH24" i="1" s="1"/>
  <c r="DI24" i="1" s="1"/>
  <c r="DJ24" i="1" s="1"/>
  <c r="DK24" i="1" s="1"/>
  <c r="DL24" i="1" s="1"/>
  <c r="BT59" i="1"/>
  <c r="BT61" i="1" s="1"/>
  <c r="DD12" i="1"/>
  <c r="DG12" i="1" s="1"/>
  <c r="DH12" i="1" s="1"/>
  <c r="DI12" i="1" s="1"/>
  <c r="DJ12" i="1" s="1"/>
  <c r="DK12" i="1" s="1"/>
  <c r="DL12" i="1" s="1"/>
  <c r="DD14" i="1"/>
  <c r="DG14" i="1" s="1"/>
  <c r="DH14" i="1" s="1"/>
  <c r="DI14" i="1" s="1"/>
  <c r="DJ14" i="1" s="1"/>
  <c r="DK14" i="1" s="1"/>
  <c r="DL14" i="1" s="1"/>
  <c r="DC58" i="1"/>
  <c r="CD58" i="1"/>
  <c r="DD15" i="1"/>
  <c r="DG15" i="1" s="1"/>
  <c r="DH15" i="1" s="1"/>
  <c r="DI15" i="1" s="1"/>
  <c r="DJ15" i="1" s="1"/>
  <c r="DK15" i="1" s="1"/>
  <c r="DL15" i="1" s="1"/>
  <c r="DD16" i="1"/>
  <c r="DG16" i="1" s="1"/>
  <c r="DH16" i="1" s="1"/>
  <c r="DI16" i="1" s="1"/>
  <c r="DJ16" i="1" s="1"/>
  <c r="DK16" i="1" s="1"/>
  <c r="DL16" i="1" s="1"/>
  <c r="DD65" i="1"/>
  <c r="DG65" i="1" s="1"/>
  <c r="DH65" i="1" s="1"/>
  <c r="DD7" i="1"/>
  <c r="CC58" i="1"/>
  <c r="BV59" i="1"/>
  <c r="BV61" i="1" s="1"/>
  <c r="BV77" i="1"/>
  <c r="DD8" i="1"/>
  <c r="DD10" i="1"/>
  <c r="DD9" i="1"/>
  <c r="DD23" i="1"/>
  <c r="DG23" i="1" s="1"/>
  <c r="DH23" i="1" s="1"/>
  <c r="DI23" i="1" s="1"/>
  <c r="DJ23" i="1" s="1"/>
  <c r="DK23" i="1" s="1"/>
  <c r="DL23" i="1" s="1"/>
  <c r="DD25" i="1"/>
  <c r="DG25" i="1" s="1"/>
  <c r="DH25" i="1" s="1"/>
  <c r="DI25" i="1" s="1"/>
  <c r="DJ25" i="1" s="1"/>
  <c r="DK25" i="1" s="1"/>
  <c r="DL25" i="1" s="1"/>
  <c r="CB88" i="1"/>
  <c r="DD5" i="1"/>
  <c r="DD69" i="1" s="1"/>
  <c r="CB67" i="1"/>
  <c r="CB59" i="1"/>
  <c r="CB61" i="1" s="1"/>
  <c r="BU55" i="1"/>
  <c r="BY62" i="1"/>
  <c r="BY58" i="1"/>
  <c r="BY52" i="1"/>
  <c r="BZ62" i="1"/>
  <c r="BZ58" i="1"/>
  <c r="BW58" i="1"/>
  <c r="BZ52" i="1"/>
  <c r="BZ53" i="1" s="1"/>
  <c r="CA90" i="1"/>
  <c r="CA95" i="1" s="1"/>
  <c r="CA86" i="1"/>
  <c r="CA81" i="1"/>
  <c r="BW53" i="1"/>
  <c r="CA60" i="1"/>
  <c r="CA58" i="1"/>
  <c r="CA52" i="1"/>
  <c r="AV56" i="1"/>
  <c r="AV54" i="1"/>
  <c r="AV57" i="1"/>
  <c r="AV60" i="1"/>
  <c r="AV51" i="1"/>
  <c r="AV52" i="1" s="1"/>
  <c r="CV2" i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D60" i="1" l="1"/>
  <c r="DG60" i="1" s="1"/>
  <c r="DH60" i="1" s="1"/>
  <c r="DI60" i="1" s="1"/>
  <c r="DJ60" i="1" s="1"/>
  <c r="DK60" i="1" s="1"/>
  <c r="DL60" i="1" s="1"/>
  <c r="BX59" i="1"/>
  <c r="BX61" i="1" s="1"/>
  <c r="DG9" i="1"/>
  <c r="DH9" i="1" s="1"/>
  <c r="DI9" i="1" s="1"/>
  <c r="DJ9" i="1" s="1"/>
  <c r="DK9" i="1" s="1"/>
  <c r="DL9" i="1" s="1"/>
  <c r="BO59" i="1"/>
  <c r="BO61" i="1" s="1"/>
  <c r="BO63" i="1" s="1"/>
  <c r="BO64" i="1" s="1"/>
  <c r="CG67" i="1"/>
  <c r="CG55" i="1"/>
  <c r="CL67" i="1"/>
  <c r="CK67" i="1"/>
  <c r="CL72" i="1"/>
  <c r="CJ72" i="1"/>
  <c r="CK72" i="1"/>
  <c r="CL77" i="1"/>
  <c r="CL59" i="1"/>
  <c r="CL61" i="1" s="1"/>
  <c r="CL54" i="1"/>
  <c r="CK77" i="1"/>
  <c r="CK59" i="1"/>
  <c r="CK61" i="1" s="1"/>
  <c r="CJ77" i="1"/>
  <c r="CJ59" i="1"/>
  <c r="CJ61" i="1" s="1"/>
  <c r="CF67" i="1"/>
  <c r="CF55" i="1"/>
  <c r="CF59" i="1" s="1"/>
  <c r="CF61" i="1" s="1"/>
  <c r="CF78" i="1" s="1"/>
  <c r="DA55" i="1"/>
  <c r="DA59" i="1" s="1"/>
  <c r="DA61" i="1" s="1"/>
  <c r="DA67" i="1"/>
  <c r="BL63" i="1"/>
  <c r="BL64" i="1" s="1"/>
  <c r="BS67" i="1"/>
  <c r="CZ63" i="1"/>
  <c r="CZ64" i="1" s="1"/>
  <c r="CZ78" i="1"/>
  <c r="DC72" i="1"/>
  <c r="DD71" i="1"/>
  <c r="DD70" i="1"/>
  <c r="BP63" i="1"/>
  <c r="BP64" i="1" s="1"/>
  <c r="BP78" i="1"/>
  <c r="BN63" i="1"/>
  <c r="BN64" i="1" s="1"/>
  <c r="BN78" i="1"/>
  <c r="BQ59" i="1"/>
  <c r="BQ61" i="1" s="1"/>
  <c r="DB55" i="1"/>
  <c r="DB67" i="1"/>
  <c r="CA53" i="1"/>
  <c r="CA67" i="1" s="1"/>
  <c r="CE53" i="1"/>
  <c r="CI67" i="1" s="1"/>
  <c r="BM63" i="1"/>
  <c r="BM64" i="1" s="1"/>
  <c r="BM78" i="1"/>
  <c r="CG59" i="1"/>
  <c r="CG61" i="1" s="1"/>
  <c r="CH59" i="1"/>
  <c r="CH61" i="1" s="1"/>
  <c r="DE69" i="1"/>
  <c r="DD3" i="1"/>
  <c r="DD72" i="1" s="1"/>
  <c r="BS59" i="1"/>
  <c r="BS61" i="1" s="1"/>
  <c r="BS63" i="1" s="1"/>
  <c r="BS64" i="1" s="1"/>
  <c r="DI65" i="1"/>
  <c r="DG10" i="1"/>
  <c r="BW55" i="1"/>
  <c r="BW77" i="1" s="1"/>
  <c r="BW67" i="1"/>
  <c r="BR63" i="1"/>
  <c r="BR64" i="1" s="1"/>
  <c r="BR78" i="1"/>
  <c r="BT63" i="1"/>
  <c r="BT64" i="1" s="1"/>
  <c r="BT78" i="1"/>
  <c r="BY53" i="1"/>
  <c r="CB63" i="1"/>
  <c r="CB64" i="1" s="1"/>
  <c r="CB78" i="1"/>
  <c r="BX63" i="1"/>
  <c r="BX64" i="1" s="1"/>
  <c r="BX78" i="1"/>
  <c r="DC62" i="1"/>
  <c r="DC52" i="1"/>
  <c r="DC53" i="1" s="1"/>
  <c r="BV63" i="1"/>
  <c r="BV64" i="1" s="1"/>
  <c r="BV78" i="1"/>
  <c r="DD52" i="1"/>
  <c r="CD53" i="1"/>
  <c r="BU59" i="1"/>
  <c r="BU61" i="1" s="1"/>
  <c r="BU77" i="1"/>
  <c r="CA88" i="1"/>
  <c r="BZ55" i="1"/>
  <c r="BZ77" i="1" s="1"/>
  <c r="BZ67" i="1"/>
  <c r="CA80" i="1"/>
  <c r="AV58" i="1"/>
  <c r="AV53" i="1"/>
  <c r="AV55" i="1" s="1"/>
  <c r="BO78" i="1" l="1"/>
  <c r="BS78" i="1"/>
  <c r="CJ78" i="1"/>
  <c r="CL62" i="1"/>
  <c r="CL78" i="1" s="1"/>
  <c r="CK78" i="1"/>
  <c r="DA77" i="1"/>
  <c r="BW59" i="1"/>
  <c r="BW61" i="1" s="1"/>
  <c r="CE67" i="1"/>
  <c r="CE55" i="1"/>
  <c r="CF63" i="1"/>
  <c r="DE70" i="1"/>
  <c r="DE71" i="1"/>
  <c r="CA55" i="1"/>
  <c r="CA77" i="1" s="1"/>
  <c r="DC55" i="1"/>
  <c r="DC59" i="1" s="1"/>
  <c r="DC61" i="1" s="1"/>
  <c r="DC67" i="1"/>
  <c r="DA63" i="1"/>
  <c r="DA64" i="1" s="1"/>
  <c r="DA78" i="1"/>
  <c r="BY55" i="1"/>
  <c r="BY77" i="1" s="1"/>
  <c r="CC67" i="1"/>
  <c r="DB77" i="1"/>
  <c r="DB59" i="1"/>
  <c r="DB61" i="1" s="1"/>
  <c r="BQ63" i="1"/>
  <c r="BQ64" i="1" s="1"/>
  <c r="BQ78" i="1"/>
  <c r="CF77" i="1"/>
  <c r="CG77" i="1"/>
  <c r="CG78" i="1"/>
  <c r="CH78" i="1"/>
  <c r="CH77" i="1"/>
  <c r="CD55" i="1"/>
  <c r="CD54" i="1" s="1"/>
  <c r="DD54" i="1" s="1"/>
  <c r="CH67" i="1"/>
  <c r="DF69" i="1"/>
  <c r="DE3" i="1"/>
  <c r="DE72" i="1" s="1"/>
  <c r="DD53" i="1"/>
  <c r="DD67" i="1" s="1"/>
  <c r="DJ65" i="1"/>
  <c r="DH10" i="1"/>
  <c r="BY67" i="1"/>
  <c r="BZ59" i="1"/>
  <c r="BZ61" i="1" s="1"/>
  <c r="CD67" i="1"/>
  <c r="BW63" i="1"/>
  <c r="BW64" i="1" s="1"/>
  <c r="BW78" i="1"/>
  <c r="BU63" i="1"/>
  <c r="BU64" i="1" s="1"/>
  <c r="BU78" i="1"/>
  <c r="CC59" i="1"/>
  <c r="CC61" i="1" s="1"/>
  <c r="CC78" i="1" s="1"/>
  <c r="AV59" i="1"/>
  <c r="AV61" i="1" s="1"/>
  <c r="AV63" i="1" s="1"/>
  <c r="AV64" i="1" s="1"/>
  <c r="AS60" i="1"/>
  <c r="AS58" i="1"/>
  <c r="AO51" i="1"/>
  <c r="AO53" i="1" s="1"/>
  <c r="AS51" i="1"/>
  <c r="AS53" i="1" s="1"/>
  <c r="AS55" i="1" s="1"/>
  <c r="CA59" i="1" l="1"/>
  <c r="CA61" i="1" s="1"/>
  <c r="CA63" i="1" s="1"/>
  <c r="CK63" i="1"/>
  <c r="CJ63" i="1"/>
  <c r="CJ64" i="1" s="1"/>
  <c r="CL63" i="1"/>
  <c r="CL64" i="1" s="1"/>
  <c r="CF64" i="1"/>
  <c r="CF97" i="1"/>
  <c r="DC63" i="1"/>
  <c r="DC64" i="1" s="1"/>
  <c r="DC78" i="1"/>
  <c r="DG7" i="1"/>
  <c r="DF70" i="1"/>
  <c r="BY59" i="1"/>
  <c r="BY61" i="1" s="1"/>
  <c r="DG8" i="1"/>
  <c r="DF71" i="1"/>
  <c r="DC77" i="1"/>
  <c r="CE59" i="1"/>
  <c r="CE61" i="1" s="1"/>
  <c r="CE78" i="1" s="1"/>
  <c r="CE77" i="1"/>
  <c r="DB63" i="1"/>
  <c r="DB64" i="1" s="1"/>
  <c r="DB78" i="1"/>
  <c r="CG63" i="1"/>
  <c r="CH63" i="1"/>
  <c r="CD59" i="1"/>
  <c r="CD61" i="1" s="1"/>
  <c r="CD62" i="1" s="1"/>
  <c r="CD78" i="1" s="1"/>
  <c r="CD77" i="1"/>
  <c r="DG5" i="1"/>
  <c r="DG69" i="1" s="1"/>
  <c r="DF3" i="1"/>
  <c r="DF72" i="1" s="1"/>
  <c r="DD55" i="1"/>
  <c r="DD59" i="1" s="1"/>
  <c r="DD61" i="1" s="1"/>
  <c r="DE53" i="1"/>
  <c r="DE55" i="1" s="1"/>
  <c r="DK65" i="1"/>
  <c r="DI10" i="1"/>
  <c r="BZ63" i="1"/>
  <c r="BZ64" i="1" s="1"/>
  <c r="BZ78" i="1"/>
  <c r="AS59" i="1"/>
  <c r="AS61" i="1" s="1"/>
  <c r="AS63" i="1" s="1"/>
  <c r="AS64" i="1" s="1"/>
  <c r="K4" i="2"/>
  <c r="K7" i="2" s="1"/>
  <c r="CK64" i="1" l="1"/>
  <c r="CK97" i="1"/>
  <c r="CA78" i="1"/>
  <c r="CH64" i="1"/>
  <c r="CH97" i="1"/>
  <c r="CL80" i="1"/>
  <c r="CG64" i="1"/>
  <c r="CG97" i="1"/>
  <c r="DH7" i="1"/>
  <c r="DG70" i="1"/>
  <c r="BY63" i="1"/>
  <c r="BY64" i="1" s="1"/>
  <c r="BY78" i="1"/>
  <c r="DH8" i="1"/>
  <c r="DG71" i="1"/>
  <c r="CE63" i="1"/>
  <c r="CA64" i="1"/>
  <c r="CA97" i="1"/>
  <c r="DH5" i="1"/>
  <c r="DH69" i="1" s="1"/>
  <c r="DG3" i="1"/>
  <c r="DG72" i="1" s="1"/>
  <c r="DD77" i="1"/>
  <c r="DG52" i="1"/>
  <c r="DF53" i="1"/>
  <c r="DE77" i="1"/>
  <c r="DE67" i="1"/>
  <c r="DL65" i="1"/>
  <c r="DJ10" i="1"/>
  <c r="DD62" i="1"/>
  <c r="CD63" i="1"/>
  <c r="CD64" i="1" s="1"/>
  <c r="CC63" i="1"/>
  <c r="CC64" i="1" s="1"/>
  <c r="AQ60" i="1"/>
  <c r="AQ58" i="1"/>
  <c r="AQ55" i="1"/>
  <c r="AQ51" i="1"/>
  <c r="AQ52" i="1" s="1"/>
  <c r="CE64" i="1" l="1"/>
  <c r="CE97" i="1"/>
  <c r="DI8" i="1"/>
  <c r="DH71" i="1"/>
  <c r="DI7" i="1"/>
  <c r="DH70" i="1"/>
  <c r="DD63" i="1"/>
  <c r="DD64" i="1" s="1"/>
  <c r="DD78" i="1"/>
  <c r="DI5" i="1"/>
  <c r="DI69" i="1" s="1"/>
  <c r="DH3" i="1"/>
  <c r="DH72" i="1" s="1"/>
  <c r="DH52" i="1"/>
  <c r="DG53" i="1"/>
  <c r="DE59" i="1"/>
  <c r="DE61" i="1" s="1"/>
  <c r="DF58" i="1"/>
  <c r="DF67" i="1"/>
  <c r="DF77" i="1"/>
  <c r="DK10" i="1"/>
  <c r="AQ59" i="1"/>
  <c r="AQ61" i="1" s="1"/>
  <c r="AQ63" i="1" s="1"/>
  <c r="AQ64" i="1" s="1"/>
  <c r="DJ7" i="1" l="1"/>
  <c r="DI70" i="1"/>
  <c r="DJ8" i="1"/>
  <c r="DI71" i="1"/>
  <c r="DE63" i="1"/>
  <c r="DE64" i="1" s="1"/>
  <c r="DE78" i="1"/>
  <c r="DJ5" i="1"/>
  <c r="DJ69" i="1" s="1"/>
  <c r="DI3" i="1"/>
  <c r="DI72" i="1" s="1"/>
  <c r="DF59" i="1"/>
  <c r="DF61" i="1" s="1"/>
  <c r="DG67" i="1"/>
  <c r="DG56" i="1"/>
  <c r="DG58" i="1" s="1"/>
  <c r="DG55" i="1"/>
  <c r="DG77" i="1" s="1"/>
  <c r="DI52" i="1"/>
  <c r="DH53" i="1"/>
  <c r="DL10" i="1"/>
  <c r="DK8" i="1" l="1"/>
  <c r="DJ71" i="1"/>
  <c r="DK7" i="1"/>
  <c r="DJ70" i="1"/>
  <c r="DF63" i="1"/>
  <c r="DF64" i="1" s="1"/>
  <c r="DF78" i="1"/>
  <c r="DK5" i="1"/>
  <c r="DK69" i="1" s="1"/>
  <c r="DJ3" i="1"/>
  <c r="DJ72" i="1" s="1"/>
  <c r="DH67" i="1"/>
  <c r="DH55" i="1"/>
  <c r="DH77" i="1" s="1"/>
  <c r="DH56" i="1"/>
  <c r="DH58" i="1" s="1"/>
  <c r="DJ52" i="1"/>
  <c r="DI53" i="1"/>
  <c r="DG54" i="1"/>
  <c r="DG59" i="1"/>
  <c r="DG61" i="1" s="1"/>
  <c r="DG62" i="1" s="1"/>
  <c r="DL7" i="1" l="1"/>
  <c r="DL70" i="1" s="1"/>
  <c r="DK70" i="1"/>
  <c r="DL8" i="1"/>
  <c r="DL71" i="1" s="1"/>
  <c r="DK71" i="1"/>
  <c r="DG63" i="1"/>
  <c r="DG64" i="1" s="1"/>
  <c r="DG78" i="1"/>
  <c r="DL5" i="1"/>
  <c r="DK3" i="1"/>
  <c r="DK72" i="1" s="1"/>
  <c r="DI56" i="1"/>
  <c r="DI58" i="1" s="1"/>
  <c r="DI55" i="1"/>
  <c r="DI77" i="1" s="1"/>
  <c r="DI67" i="1"/>
  <c r="DK52" i="1"/>
  <c r="DJ53" i="1"/>
  <c r="DH54" i="1"/>
  <c r="DH59" i="1"/>
  <c r="DH61" i="1" s="1"/>
  <c r="DH62" i="1" s="1"/>
  <c r="DL3" i="1" l="1"/>
  <c r="DL72" i="1" s="1"/>
  <c r="DL69" i="1"/>
  <c r="DH63" i="1"/>
  <c r="DH64" i="1" s="1"/>
  <c r="DH78" i="1"/>
  <c r="DL52" i="1"/>
  <c r="DL53" i="1" s="1"/>
  <c r="DK53" i="1"/>
  <c r="DJ67" i="1"/>
  <c r="DJ56" i="1"/>
  <c r="DJ58" i="1" s="1"/>
  <c r="DJ55" i="1"/>
  <c r="DI54" i="1"/>
  <c r="DI59" i="1"/>
  <c r="DI61" i="1" s="1"/>
  <c r="DI62" i="1" s="1"/>
  <c r="DI63" i="1" l="1"/>
  <c r="DI64" i="1" s="1"/>
  <c r="DI78" i="1"/>
  <c r="DJ54" i="1"/>
  <c r="DJ59" i="1"/>
  <c r="DJ61" i="1" s="1"/>
  <c r="DJ62" i="1" s="1"/>
  <c r="DJ63" i="1" s="1"/>
  <c r="DJ64" i="1" s="1"/>
  <c r="DK56" i="1"/>
  <c r="DK58" i="1" s="1"/>
  <c r="DK55" i="1"/>
  <c r="DK67" i="1"/>
  <c r="DL56" i="1"/>
  <c r="DL58" i="1" s="1"/>
  <c r="DL55" i="1"/>
  <c r="DL67" i="1"/>
  <c r="DL54" i="1" l="1"/>
  <c r="DL59" i="1"/>
  <c r="DL61" i="1" s="1"/>
  <c r="DL62" i="1" s="1"/>
  <c r="DL63" i="1" s="1"/>
  <c r="DK54" i="1"/>
  <c r="DK59" i="1"/>
  <c r="DK61" i="1" s="1"/>
  <c r="DK62" i="1" s="1"/>
  <c r="DK63" i="1" s="1"/>
  <c r="DK64" i="1" l="1"/>
  <c r="DL64" i="1"/>
  <c r="DM63" i="1"/>
  <c r="DN63" i="1" s="1"/>
  <c r="DO63" i="1" s="1"/>
  <c r="DP63" i="1" s="1"/>
  <c r="DQ63" i="1" s="1"/>
  <c r="DR63" i="1" s="1"/>
  <c r="DS63" i="1" s="1"/>
  <c r="DT63" i="1" s="1"/>
  <c r="DU63" i="1" s="1"/>
  <c r="DV63" i="1" s="1"/>
  <c r="DW63" i="1" s="1"/>
  <c r="DX63" i="1" s="1"/>
  <c r="DY63" i="1" s="1"/>
  <c r="DZ63" i="1" s="1"/>
  <c r="EA63" i="1" s="1"/>
  <c r="EB63" i="1" s="1"/>
  <c r="EC63" i="1" s="1"/>
  <c r="ED63" i="1" s="1"/>
  <c r="EE63" i="1" s="1"/>
  <c r="EF63" i="1" s="1"/>
  <c r="EG63" i="1" s="1"/>
  <c r="EH63" i="1" s="1"/>
  <c r="EI63" i="1" s="1"/>
  <c r="EJ63" i="1" s="1"/>
  <c r="EK63" i="1" s="1"/>
  <c r="EL63" i="1" s="1"/>
  <c r="EM63" i="1" s="1"/>
  <c r="EN63" i="1" s="1"/>
  <c r="EO63" i="1" s="1"/>
  <c r="EP63" i="1" s="1"/>
  <c r="EQ63" i="1" s="1"/>
  <c r="ER63" i="1" s="1"/>
  <c r="ES63" i="1" s="1"/>
  <c r="ET63" i="1" s="1"/>
  <c r="EU63" i="1" s="1"/>
  <c r="EV63" i="1" s="1"/>
  <c r="EW63" i="1" s="1"/>
  <c r="EX63" i="1" s="1"/>
  <c r="EY63" i="1" s="1"/>
  <c r="EZ63" i="1" s="1"/>
  <c r="FA63" i="1" s="1"/>
  <c r="FB63" i="1" s="1"/>
  <c r="FC63" i="1" s="1"/>
  <c r="FD63" i="1" s="1"/>
  <c r="FE63" i="1" s="1"/>
  <c r="FF63" i="1" s="1"/>
  <c r="FG63" i="1" s="1"/>
  <c r="FH63" i="1" s="1"/>
  <c r="FI63" i="1" s="1"/>
  <c r="FJ63" i="1" s="1"/>
  <c r="FK63" i="1" s="1"/>
  <c r="FL63" i="1" s="1"/>
  <c r="FM63" i="1" s="1"/>
  <c r="FN63" i="1" s="1"/>
  <c r="FO63" i="1" s="1"/>
  <c r="FP63" i="1" s="1"/>
  <c r="FQ63" i="1" s="1"/>
  <c r="FR63" i="1" s="1"/>
  <c r="FS63" i="1" s="1"/>
  <c r="FT63" i="1" s="1"/>
  <c r="FU63" i="1" s="1"/>
  <c r="FV63" i="1" s="1"/>
  <c r="FW63" i="1" s="1"/>
  <c r="FX63" i="1" s="1"/>
  <c r="FY63" i="1" s="1"/>
  <c r="FZ63" i="1" s="1"/>
  <c r="GA63" i="1" s="1"/>
  <c r="GB63" i="1" s="1"/>
  <c r="GC63" i="1" s="1"/>
  <c r="GD63" i="1" s="1"/>
  <c r="GE63" i="1" s="1"/>
  <c r="GF63" i="1" s="1"/>
  <c r="GG63" i="1" s="1"/>
  <c r="GH63" i="1" s="1"/>
  <c r="GI63" i="1" s="1"/>
  <c r="GJ63" i="1" s="1"/>
  <c r="GK63" i="1" s="1"/>
  <c r="GL63" i="1" s="1"/>
  <c r="GM63" i="1" s="1"/>
  <c r="GN63" i="1" s="1"/>
  <c r="GO63" i="1" s="1"/>
  <c r="GP63" i="1" s="1"/>
  <c r="GQ63" i="1" s="1"/>
  <c r="GR63" i="1" s="1"/>
  <c r="GS63" i="1" s="1"/>
  <c r="GT63" i="1" s="1"/>
  <c r="GU63" i="1" s="1"/>
  <c r="GV63" i="1" s="1"/>
  <c r="GW63" i="1" s="1"/>
  <c r="GX63" i="1" s="1"/>
  <c r="GY63" i="1" s="1"/>
  <c r="GZ63" i="1" s="1"/>
  <c r="HA63" i="1" s="1"/>
  <c r="HB63" i="1" s="1"/>
  <c r="HC63" i="1" s="1"/>
  <c r="HD63" i="1" s="1"/>
  <c r="HE63" i="1" s="1"/>
  <c r="HF63" i="1" s="1"/>
  <c r="HG63" i="1" s="1"/>
  <c r="HH63" i="1" s="1"/>
  <c r="HI63" i="1" s="1"/>
  <c r="HJ63" i="1" s="1"/>
  <c r="HK63" i="1" s="1"/>
  <c r="HL63" i="1" s="1"/>
  <c r="HM63" i="1" s="1"/>
  <c r="HN63" i="1" s="1"/>
  <c r="HO63" i="1" s="1"/>
  <c r="HP63" i="1" s="1"/>
  <c r="HQ63" i="1" s="1"/>
  <c r="HR63" i="1" s="1"/>
  <c r="HS63" i="1" s="1"/>
  <c r="HT63" i="1" s="1"/>
  <c r="HU63" i="1" s="1"/>
  <c r="HV63" i="1" s="1"/>
  <c r="HW63" i="1" s="1"/>
  <c r="HX63" i="1" s="1"/>
  <c r="HY63" i="1" s="1"/>
  <c r="HZ63" i="1" s="1"/>
  <c r="IA63" i="1" s="1"/>
  <c r="IB63" i="1" s="1"/>
  <c r="IC63" i="1" s="1"/>
  <c r="ID63" i="1" s="1"/>
  <c r="IE63" i="1" s="1"/>
  <c r="IF63" i="1" s="1"/>
  <c r="IG63" i="1" s="1"/>
  <c r="IH63" i="1" s="1"/>
  <c r="II63" i="1" s="1"/>
  <c r="DS68" i="1" l="1"/>
  <c r="DS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tc={C6707A7C-32B4-4594-990B-07FE38870C64}</author>
    <author>tc={1495FD4C-6EA2-462D-A285-0CE1207F95E3}</author>
    <author>tc={4684B382-7B1E-4F51-8AE6-3C2F21BB4B83}</author>
    <author>tc={664741F6-5634-463A-B649-C44AD48AAA09}</author>
    <author>tc={A4B38560-E0C3-4F72-B4F8-127C423939FF}</author>
    <author>tc={02664013-DB26-4B95-A2F2-AE1243BDA9A3}</author>
  </authors>
  <commentList>
    <comment ref="C5" authorId="0" shapeId="0" xr:uid="{C6707A7C-32B4-4594-990B-07FE38870C64}">
      <text>
        <t>[Threaded comment]
Your version of Excel allows you to read this threaded comment; however, any edits to it will get removed if the file is opened in a newer version of Excel. Learn more: https://go.microsoft.com/fwlink/?linkid=870924
Comment:
    Linearized estimate of 280m in 2003</t>
      </text>
    </comment>
    <comment ref="BW53" authorId="1" shapeId="0" xr:uid="{1495FD4C-6EA2-462D-A285-0CE1207F95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13010 10-Q</t>
      </text>
    </comment>
    <comment ref="CC64" authorId="2" shapeId="0" xr:uid="{4684B382-7B1E-4F51-8AE6-3C2F21BB4B8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3.66</t>
      </text>
    </comment>
    <comment ref="DD64" authorId="3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
Q322 guidance: 13.84-13.88</t>
      </text>
    </comment>
    <comment ref="DE64" authorId="4" shapeId="0" xr:uid="{A4B38560-E0C3-4F72-B4F8-127C4239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Q422: 2023 guidance of 10.70-11.10</t>
      </text>
    </comment>
    <comment ref="DF64" authorId="5" shapeId="0" xr:uid="{02664013-DB26-4B95-A2F2-AE1243BDA9A3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Q324: raises to 10.90-10.94 (incl 64c)
Q224: raises to 10.71-10.91 (incl 60c - 11.31-11.51)
Q124: raises to 11.13-11.33 from 10.97-11.17 including 0.08 IPR&amp;D - 11.21-11.41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52BFEF-7E33-4DD5-9C5E-63DF3DF23EFD}" keepAlive="1" name="Query - ABBV" description="Connection to the 'ABBV' query in the workbook." type="5" refreshedVersion="0" background="1">
    <dbPr connection="Provider=Microsoft.Mashup.OleDb.1;Data Source=$Workbook$;Location=ABBV;Extended Properties=&quot;&quot;" command="SELECT * FROM [ABBV]"/>
  </connection>
  <connection id="2" xr16:uid="{5E1F02CF-F0C0-4057-A444-57F73157A357}" keepAlive="1" name="Query - ABBV (2)" description="Connection to the 'ABBV (2)' query in the workbook." type="5" refreshedVersion="8" background="1" saveData="1">
    <dbPr connection="Provider=Microsoft.Mashup.OleDb.1;Data Source=$Workbook$;Location=&quot;ABBV (2)&quot;;Extended Properties=&quot;&quot;" command="SELECT * FROM [ABBV (2)]"/>
  </connection>
  <connection id="3" xr16:uid="{69742412-717E-46DC-9A00-B78D88CF6BD0}" keepAlive="1" name="Query - Value" description="Connection to the 'Value' query in the workbook." type="5" refreshedVersion="0" background="1">
    <dbPr connection="Provider=Microsoft.Mashup.OleDb.1;Data Source=$Workbook$;Location=Value;Extended Properties=&quot;&quot;" command="SELECT * FROM [Value]"/>
  </connection>
</connections>
</file>

<file path=xl/sharedStrings.xml><?xml version="1.0" encoding="utf-8"?>
<sst xmlns="http://schemas.openxmlformats.org/spreadsheetml/2006/main" count="697" uniqueCount="494">
  <si>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</si>
  <si>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</si>
  <si>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</si>
  <si>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</si>
  <si>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</si>
  <si>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</si>
  <si>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</si>
  <si>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</si>
  <si>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</si>
  <si>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</si>
  <si>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</si>
  <si>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</si>
  <si>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</si>
  <si>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</si>
  <si>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</si>
  <si>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</si>
  <si>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</si>
  <si>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</si>
  <si>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</si>
  <si>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</si>
  <si>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</si>
  <si>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</si>
  <si>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</si>
  <si>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</si>
  <si>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</si>
  <si>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</si>
  <si>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</si>
  <si>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</si>
  <si>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</si>
  <si>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</si>
  <si>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AKI</t>
  </si>
  <si>
    <t>BCL-2</t>
  </si>
  <si>
    <t>TNF</t>
  </si>
  <si>
    <t>MOA</t>
  </si>
  <si>
    <t>Uterine Fibroids</t>
  </si>
  <si>
    <t>NBIX</t>
  </si>
  <si>
    <t>Economics</t>
  </si>
  <si>
    <t>AZN</t>
  </si>
  <si>
    <t>ABT-267</t>
  </si>
  <si>
    <t>HCV</t>
  </si>
  <si>
    <t>ABT-414</t>
  </si>
  <si>
    <t>GBM</t>
  </si>
  <si>
    <t>ABT-888 (veliparib)</t>
  </si>
  <si>
    <t>PARP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</si>
  <si>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</si>
  <si>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</si>
  <si>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</si>
  <si>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</si>
  <si>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</si>
  <si>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</si>
  <si>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</si>
  <si>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</si>
  <si>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</si>
  <si>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</si>
  <si>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</si>
  <si>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</si>
  <si>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</si>
  <si>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</si>
  <si>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</si>
  <si>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</si>
  <si>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</si>
  <si>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</si>
  <si>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</si>
  <si>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</si>
  <si>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</si>
  <si>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</si>
  <si>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</si>
  <si>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</si>
  <si>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</si>
  <si>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</si>
  <si>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</si>
  <si>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</si>
  <si>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</si>
  <si>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</si>
  <si>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</si>
  <si>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</si>
  <si>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</si>
  <si>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</si>
  <si>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</si>
  <si>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</si>
  <si>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</si>
  <si>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</si>
  <si>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</si>
  <si>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</si>
  <si>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</si>
  <si>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</si>
  <si>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</si>
  <si>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</si>
  <si>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</si>
  <si>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</si>
  <si>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</si>
  <si>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</si>
  <si>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</si>
  <si>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</si>
  <si>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</si>
  <si>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</si>
  <si>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</si>
  <si>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</si>
  <si>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</si>
  <si>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</si>
  <si>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</si>
  <si>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</si>
  <si>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</si>
  <si>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</si>
  <si>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</si>
  <si>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</si>
  <si>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</si>
  <si>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</si>
  <si>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</si>
  <si>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</si>
  <si>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</si>
  <si>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</si>
  <si>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</si>
  <si>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</si>
  <si>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</si>
  <si>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</si>
  <si>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</si>
  <si>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</si>
  <si>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</si>
  <si>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</si>
  <si>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</si>
  <si>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</si>
  <si>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</si>
  <si>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</si>
  <si>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</si>
  <si>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</si>
  <si>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</si>
  <si>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</si>
  <si>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</si>
  <si>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</si>
  <si>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</si>
  <si>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</si>
  <si>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</si>
  <si>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</si>
  <si>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</si>
  <si>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</si>
  <si>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</si>
  <si>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</si>
  <si>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</si>
  <si>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</si>
  <si>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</si>
  <si>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</si>
  <si>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</si>
  <si>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</si>
  <si>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</si>
  <si>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</si>
  <si>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Anti-TNF mab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</si>
  <si>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</si>
  <si>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</si>
  <si>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</si>
  <si>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</si>
  <si>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</si>
  <si>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</si>
  <si>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</si>
  <si>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</si>
  <si>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</si>
  <si>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</si>
  <si>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</si>
  <si>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</si>
  <si>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</si>
  <si>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</si>
  <si>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</si>
  <si>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JNJ</t>
  </si>
  <si>
    <t>Skyrizi (risankizumab)</t>
  </si>
  <si>
    <t>Venclexta (venetoclax)</t>
  </si>
  <si>
    <t>CLL, AML</t>
  </si>
  <si>
    <t>Roche</t>
  </si>
  <si>
    <t>Venetoclax, ABT-199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</si>
  <si>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</si>
  <si>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</si>
  <si>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</si>
  <si>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</si>
  <si>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</si>
  <si>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</si>
  <si>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</si>
  <si>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</si>
  <si>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</si>
  <si>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</si>
  <si>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</si>
  <si>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</si>
  <si>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</si>
  <si>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</si>
  <si>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</si>
  <si>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</si>
  <si>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</si>
  <si>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</si>
  <si>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</si>
  <si>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</si>
  <si>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</si>
  <si>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</si>
  <si>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</si>
  <si>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</si>
  <si>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</si>
  <si>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</si>
  <si>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</si>
  <si>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CD28/ICOS</t>
  </si>
  <si>
    <t>Oncology</t>
  </si>
  <si>
    <t>VEGF/DLL4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</si>
  <si>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</si>
  <si>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</si>
  <si>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</si>
  <si>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</si>
  <si>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</si>
  <si>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</si>
  <si>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</si>
  <si>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</si>
  <si>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Parkinson's Disease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</si>
  <si>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</si>
  <si>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</si>
  <si>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</si>
  <si>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</si>
  <si>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</si>
  <si>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</si>
  <si>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</si>
  <si>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</si>
  <si>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Crohn's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</si>
  <si>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</si>
  <si>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</si>
  <si>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</si>
  <si>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</si>
  <si>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</si>
  <si>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</si>
  <si>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</si>
  <si>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</si>
  <si>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ABBV-0805</t>
  </si>
  <si>
    <t>alpha-synuclein</t>
  </si>
  <si>
    <t>Indications</t>
  </si>
  <si>
    <t>Rheumatoid Arthritis, Psoriasis, Crohn's, Ulcerative Colitis, Hidradenitis Suppurativa, Ankylosing Spondylitis, Non-Infection Uveitis, JIA</t>
  </si>
  <si>
    <t>Clinical Trials</t>
  </si>
  <si>
    <t>RA, PSO, CD, UC, PsA, HS, Uveitis, AS</t>
  </si>
  <si>
    <t>523</t>
  </si>
  <si>
    <t>Lo Loestrin</t>
  </si>
  <si>
    <t>Orilissa</t>
  </si>
  <si>
    <t>Other Women's</t>
  </si>
  <si>
    <t>Viekira</t>
  </si>
  <si>
    <t>Q123</t>
  </si>
  <si>
    <t>Q223</t>
  </si>
  <si>
    <t>Q323</t>
  </si>
  <si>
    <t>Q423</t>
  </si>
  <si>
    <t>2,499</t>
  </si>
  <si>
    <t>4,683</t>
  </si>
  <si>
    <t>5,488</t>
  </si>
  <si>
    <t>Revenue</t>
  </si>
  <si>
    <t>Discount</t>
  </si>
  <si>
    <t>Terminal</t>
  </si>
  <si>
    <t>NPV</t>
  </si>
  <si>
    <t>ROIC</t>
  </si>
  <si>
    <t>Share</t>
  </si>
  <si>
    <t>1,336</t>
  </si>
  <si>
    <t>Rinvoq y/y</t>
  </si>
  <si>
    <t>Combined Immunology</t>
  </si>
  <si>
    <t>Revenue c/c</t>
  </si>
  <si>
    <t>10/28/22: Q322 results</t>
  </si>
  <si>
    <t>RA, axSpA</t>
  </si>
  <si>
    <t>2030+</t>
  </si>
  <si>
    <t>JAK1 selective</t>
  </si>
  <si>
    <t>SELECT-COMPARE</t>
  </si>
  <si>
    <t>SELECT-CHOICE</t>
  </si>
  <si>
    <t>SELET-AXIS 2</t>
  </si>
  <si>
    <t>Psoriasis, PsA, Crohn's</t>
  </si>
  <si>
    <t>BI</t>
  </si>
  <si>
    <t>Phase III "U-EXCEL" UC</t>
  </si>
  <si>
    <t>Phase III "U-ACHIEVE" UC</t>
  </si>
  <si>
    <t>ibrutinib</t>
  </si>
  <si>
    <t>GvHD, MCL, CLL</t>
  </si>
  <si>
    <t>6/28/27 expiry</t>
  </si>
  <si>
    <t>CLL, GvHD, WM</t>
  </si>
  <si>
    <t>BTK C481</t>
  </si>
  <si>
    <t>Orilissa (elagolix)</t>
  </si>
  <si>
    <t>Aesthetics, Cervical Dystonia</t>
  </si>
  <si>
    <t>Botulinim</t>
  </si>
  <si>
    <t>Unclear</t>
  </si>
  <si>
    <t>2030-2033</t>
  </si>
  <si>
    <t>Lupron Depot (leuprolide)</t>
  </si>
  <si>
    <t>CRPC</t>
  </si>
  <si>
    <t>100%? Takeda?</t>
  </si>
  <si>
    <t>IM</t>
  </si>
  <si>
    <t>Synthroid (levothyroxine)</t>
  </si>
  <si>
    <t>Pancreatic Insufficiency</t>
  </si>
  <si>
    <t>Hypothyroidism</t>
  </si>
  <si>
    <t>Duodopa (carbidopa/levodopa)</t>
  </si>
  <si>
    <t>Restasis (cyclosporine)</t>
  </si>
  <si>
    <t>Dry Eye</t>
  </si>
  <si>
    <t>CGRP</t>
  </si>
  <si>
    <t>Eyedrop</t>
  </si>
  <si>
    <t>DJS-002</t>
  </si>
  <si>
    <t>IPF</t>
  </si>
  <si>
    <t>LPAR1 mab</t>
  </si>
  <si>
    <t>Juvederm, Volux XC</t>
  </si>
  <si>
    <t>Jawline Aesthetics</t>
  </si>
  <si>
    <t>Dermal HA Filler</t>
  </si>
  <si>
    <t>Botox</t>
  </si>
  <si>
    <t>OnabotulinumtoxinA</t>
  </si>
  <si>
    <t>Approval</t>
  </si>
  <si>
    <t>Core botulinum neurotoxin is 150kDa</t>
  </si>
  <si>
    <t>Competition</t>
  </si>
  <si>
    <t>Dysport, Xeomin, biosimilars, RVNC, Evolus, Hugel</t>
  </si>
  <si>
    <t>Model NI</t>
  </si>
  <si>
    <t>Reported NI</t>
  </si>
  <si>
    <t>Depreciation</t>
  </si>
  <si>
    <t>Amortization</t>
  </si>
  <si>
    <t>CoCo</t>
  </si>
  <si>
    <t>SBC</t>
  </si>
  <si>
    <t>CFFO</t>
  </si>
  <si>
    <t>WC</t>
  </si>
  <si>
    <t>IPR&amp;D</t>
  </si>
  <si>
    <t>CFFI</t>
  </si>
  <si>
    <t>Investments</t>
  </si>
  <si>
    <t>CapEx</t>
  </si>
  <si>
    <t>Dividends</t>
  </si>
  <si>
    <t>CIC</t>
  </si>
  <si>
    <t>FX</t>
  </si>
  <si>
    <t>CFFF</t>
  </si>
  <si>
    <t>Buybacks</t>
  </si>
  <si>
    <t>ESOP</t>
  </si>
  <si>
    <t>GMAB</t>
  </si>
  <si>
    <t>CD3xCD20</t>
  </si>
  <si>
    <t>telisotuzumab vedotin</t>
  </si>
  <si>
    <t>NSCLC</t>
  </si>
  <si>
    <t>BoNTE (AGN-151586)</t>
  </si>
  <si>
    <t>Glabellar Lines</t>
  </si>
  <si>
    <t>CFO: Robert A. Michael</t>
  </si>
  <si>
    <t>Immunology y/y</t>
  </si>
  <si>
    <t>1,370</t>
  </si>
  <si>
    <t>1,378</t>
  </si>
  <si>
    <t>Ozurdex</t>
  </si>
  <si>
    <t>elsubrutinib ABBV-599 (-105+Rinvoq)</t>
  </si>
  <si>
    <t>Q124</t>
  </si>
  <si>
    <t>Q224</t>
  </si>
  <si>
    <t>Q424</t>
  </si>
  <si>
    <t>Q324</t>
  </si>
  <si>
    <t>Elahere</t>
  </si>
  <si>
    <t>Epkinly</t>
  </si>
  <si>
    <t>1,381</t>
  </si>
  <si>
    <t>1,368</t>
  </si>
  <si>
    <t>1,433</t>
  </si>
  <si>
    <t>Elahere (mirvetuximab soravtansine)</t>
  </si>
  <si>
    <t>Epkinly (epcoritamab)</t>
  </si>
  <si>
    <t>DLBCL</t>
  </si>
  <si>
    <t>US only</t>
  </si>
  <si>
    <t>1,494</t>
  </si>
  <si>
    <t>1,496</t>
  </si>
  <si>
    <t>5,673</t>
  </si>
  <si>
    <t>2/12/24: ImmunoGen closes.</t>
  </si>
  <si>
    <t>mirvetuximab soravtansine</t>
  </si>
  <si>
    <t>Phase III "MIRASOL"</t>
  </si>
  <si>
    <t>12/6/23: To acquire Cerevel, $8.7B.</t>
  </si>
  <si>
    <t>11/30/23: To acquire ImmunoGen, $10.1B.</t>
  </si>
  <si>
    <t>emraclidine</t>
  </si>
  <si>
    <t>Schizophrenia</t>
  </si>
  <si>
    <t>M4 PAM</t>
  </si>
  <si>
    <t>CRL, approved in EU</t>
  </si>
  <si>
    <t>Dopamine</t>
  </si>
  <si>
    <t>ABBV-154, ADC/ASC</t>
  </si>
  <si>
    <t>CLF065</t>
  </si>
  <si>
    <t>GLP2R agonist</t>
  </si>
  <si>
    <t>CUG-252</t>
  </si>
  <si>
    <t>OpSCF</t>
  </si>
  <si>
    <t>SCF248 mab</t>
  </si>
  <si>
    <t>Opsidio</t>
  </si>
  <si>
    <t>AD</t>
  </si>
  <si>
    <t>ABBV-552</t>
  </si>
  <si>
    <t>SV2A</t>
  </si>
  <si>
    <t>ABBV-916</t>
  </si>
  <si>
    <t>aBeta-pE3 mab</t>
  </si>
  <si>
    <t>ABBV-932</t>
  </si>
  <si>
    <t>Bipolar</t>
  </si>
  <si>
    <t>D3</t>
  </si>
  <si>
    <t>Gedeon Richter</t>
  </si>
  <si>
    <t>ABBV-CLS-7262</t>
  </si>
  <si>
    <t>ALS, VWM</t>
  </si>
  <si>
    <t>eIF2B</t>
  </si>
  <si>
    <t>Calico</t>
  </si>
  <si>
    <t>AL002</t>
  </si>
  <si>
    <t>TREM2</t>
  </si>
  <si>
    <t>Alector</t>
  </si>
  <si>
    <t>elezanumab</t>
  </si>
  <si>
    <t>Stroke, SCI</t>
  </si>
  <si>
    <t>RGMa</t>
  </si>
  <si>
    <t>ABBV-101</t>
  </si>
  <si>
    <t>ABBV-181 (budigalimab)</t>
  </si>
  <si>
    <t>PD-1</t>
  </si>
  <si>
    <t>ABBV-151 (livmoniplimab)</t>
  </si>
  <si>
    <t>GARP-TGF-B1</t>
  </si>
  <si>
    <t>ABBV-303</t>
  </si>
  <si>
    <t>c-Met</t>
  </si>
  <si>
    <t>Dragonfly</t>
  </si>
  <si>
    <t>ABBV-319</t>
  </si>
  <si>
    <t>CD19/ADC</t>
  </si>
  <si>
    <t>ABBV-383</t>
  </si>
  <si>
    <t>Multiple Myeloma</t>
  </si>
  <si>
    <t>BCMA/CD3</t>
  </si>
  <si>
    <t>III</t>
  </si>
  <si>
    <t>cMet ADC</t>
  </si>
  <si>
    <t>ABT-981 (lutikizumab)</t>
  </si>
  <si>
    <t>HS (was OA)</t>
  </si>
  <si>
    <t>ABT-333, dasabuvir</t>
  </si>
  <si>
    <t>CEO: Robert Michael succeeded Richard Gonzalez.</t>
  </si>
  <si>
    <t>1,543</t>
  </si>
  <si>
    <t>Crohn's, Psoriasis, Psoriatic Arthritis, UC (FDA approved, CHMP positive opinion)</t>
  </si>
  <si>
    <t>Boehringer Ingelheim</t>
  </si>
  <si>
    <t>GCA FDA/EMA filed</t>
  </si>
  <si>
    <t>Phase III "SEQUENCE" vs Stelara Crohn's</t>
  </si>
  <si>
    <t>Phase III "INSPIRE" UC induction</t>
  </si>
  <si>
    <t>Phase III "COMMAND" UC maintenance</t>
  </si>
  <si>
    <t>ABBV-113 (NX-13)</t>
  </si>
  <si>
    <t>UC/Crohn's</t>
  </si>
  <si>
    <t>Acquired Landos</t>
  </si>
  <si>
    <t>FG-M701</t>
  </si>
  <si>
    <t>IBD</t>
  </si>
  <si>
    <t>TL1A mab</t>
  </si>
  <si>
    <t>FutureGen</t>
  </si>
  <si>
    <t>CEL383</t>
  </si>
  <si>
    <t>TREM1 mab</t>
  </si>
  <si>
    <t>Acquired Celsius</t>
  </si>
  <si>
    <t>Epkinly, Tepkinly</t>
  </si>
  <si>
    <t>epcoritamab</t>
  </si>
  <si>
    <t>r/r (3L+) FL</t>
  </si>
  <si>
    <t>FDA approval 2024, CHMP positive opinion 2024</t>
  </si>
  <si>
    <t>Phase I/I "EPCORE NHL-1" r/r FL</t>
  </si>
  <si>
    <t>Phase II "PICCOLO" monotherapy Fralpha+ platinum-sensitive OC</t>
  </si>
  <si>
    <t>52% ORR, 8.25m DOR</t>
  </si>
  <si>
    <t>ABBV-400</t>
  </si>
  <si>
    <t>mCRC</t>
  </si>
  <si>
    <t>c-Met ADC</t>
  </si>
  <si>
    <t>ABBV-706</t>
  </si>
  <si>
    <t>SEZ6 ADC</t>
  </si>
  <si>
    <t>SCLC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</si>
  <si>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</si>
  <si>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</si>
  <si>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</si>
  <si>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</si>
  <si>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</si>
  <si>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</si>
  <si>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</si>
  <si>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</si>
  <si>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</si>
  <si>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</si>
  <si>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</si>
  <si>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</si>
  <si>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Depakote</t>
  </si>
  <si>
    <t>Biaxin</t>
  </si>
  <si>
    <t>Q108</t>
  </si>
  <si>
    <t>Q208</t>
  </si>
  <si>
    <t>Q308</t>
  </si>
  <si>
    <t>Q408</t>
  </si>
  <si>
    <t>Ultane</t>
  </si>
  <si>
    <t>Q107</t>
  </si>
  <si>
    <t>Q207</t>
  </si>
  <si>
    <t>Q307</t>
  </si>
  <si>
    <t>Q407</t>
  </si>
  <si>
    <t>Omnicef</t>
  </si>
  <si>
    <t>Q106</t>
  </si>
  <si>
    <t>Q206</t>
  </si>
  <si>
    <t>Q306</t>
  </si>
  <si>
    <t>Q406</t>
  </si>
  <si>
    <t>leuprolide</t>
  </si>
  <si>
    <t>lansoprazole</t>
  </si>
  <si>
    <t>Prevacid</t>
  </si>
  <si>
    <t>Q105</t>
  </si>
  <si>
    <t>Q205</t>
  </si>
  <si>
    <t>Q305</t>
  </si>
  <si>
    <t>Q405</t>
  </si>
  <si>
    <t>Mobic</t>
  </si>
  <si>
    <t>Q104</t>
  </si>
  <si>
    <t>Q204</t>
  </si>
  <si>
    <t>Q304</t>
  </si>
  <si>
    <t>Q404</t>
  </si>
  <si>
    <t>Q103</t>
  </si>
  <si>
    <t>Q203</t>
  </si>
  <si>
    <t>Q303</t>
  </si>
  <si>
    <t>Q403</t>
  </si>
  <si>
    <t>1,519</t>
  </si>
  <si>
    <t>Q125</t>
  </si>
  <si>
    <t>Q225</t>
  </si>
  <si>
    <t>Q325</t>
  </si>
  <si>
    <t>Q425</t>
  </si>
  <si>
    <t>10/30/24: Q324 results.</t>
  </si>
  <si>
    <t>J&amp;J international profit share</t>
  </si>
  <si>
    <t>FRalpha ADC</t>
  </si>
  <si>
    <t>IV</t>
  </si>
  <si>
    <t>tavapadon</t>
  </si>
  <si>
    <t>D1/D5 partial agonist</t>
  </si>
  <si>
    <t>CVL-354</t>
  </si>
  <si>
    <t>Depression</t>
  </si>
  <si>
    <t>KOR</t>
  </si>
  <si>
    <t>Vyalev (ABBV-951 (foscarbidopa/foslevodopa))</t>
  </si>
  <si>
    <t>Regulatory</t>
  </si>
  <si>
    <t>CHMP positive opinion on MIRASOL</t>
  </si>
  <si>
    <t>FRalpha-positive ovarian cancer</t>
  </si>
  <si>
    <t>early PD</t>
  </si>
  <si>
    <t>Phase III "TEMPO-1"</t>
  </si>
  <si>
    <t>MDS-UPDRS Part II+III at week 26 vs. placebo</t>
  </si>
  <si>
    <t>Phase III "TEMPO-2" by YE24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</si>
</sst>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105">
    <xf numFmtId="0" fontId="0" fillId="0" borderId="0" xfId="0"/>
    <xf numFmtId="0" fontId="21" fillId="0" borderId="0" xfId="0" applyFont="1"/>
    <xf numFmtId="0" fontId="21" fillId="0" borderId="0" xfId="0" applyFont="1" applyAlignment="1">
      <alignment horizontal="right"/>
    </xf>
    <xf numFmtId="4" fontId="21" fillId="0" borderId="0" xfId="0" applyNumberFormat="1" applyFont="1" applyAlignment="1">
      <alignment horizontal="right"/>
    </xf>
    <xf numFmtId="0" fontId="21" fillId="0" borderId="1" xfId="0" applyFont="1" applyBorder="1"/>
    <xf numFmtId="0" fontId="21" fillId="0" borderId="3" xfId="0" applyFont="1" applyBorder="1"/>
    <xf numFmtId="0" fontId="21" fillId="0" borderId="6" xfId="0" applyFont="1" applyBorder="1"/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0" xfId="0" applyFont="1" applyAlignment="1">
      <alignment horizontal="center"/>
    </xf>
    <xf numFmtId="9" fontId="21" fillId="0" borderId="0" xfId="0" applyNumberFormat="1" applyFont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4" fontId="21" fillId="0" borderId="0" xfId="0" applyNumberFormat="1" applyFont="1"/>
    <xf numFmtId="3" fontId="21" fillId="0" borderId="0" xfId="0" applyNumberFormat="1" applyFont="1"/>
    <xf numFmtId="3" fontId="21" fillId="0" borderId="0" xfId="0" applyNumberFormat="1" applyFont="1" applyAlignment="1">
      <alignment horizontal="right"/>
    </xf>
    <xf numFmtId="3" fontId="22" fillId="0" borderId="0" xfId="0" applyNumberFormat="1" applyFont="1"/>
    <xf numFmtId="3" fontId="22" fillId="0" borderId="0" xfId="0" applyNumberFormat="1" applyFont="1" applyAlignment="1">
      <alignment horizontal="right"/>
    </xf>
    <xf numFmtId="14" fontId="21" fillId="0" borderId="0" xfId="0" applyNumberFormat="1" applyFont="1" applyAlignment="1">
      <alignment horizontal="center"/>
    </xf>
    <xf numFmtId="0" fontId="24" fillId="0" borderId="0" xfId="1" applyFont="1"/>
    <xf numFmtId="0" fontId="24" fillId="0" borderId="1" xfId="1" applyFont="1" applyBorder="1"/>
    <xf numFmtId="0" fontId="20" fillId="0" borderId="0" xfId="0" applyFont="1" applyAlignment="1">
      <alignment horizontal="right"/>
    </xf>
    <xf numFmtId="3" fontId="20" fillId="0" borderId="0" xfId="0" applyNumberFormat="1" applyFont="1"/>
    <xf numFmtId="3" fontId="20" fillId="0" borderId="0" xfId="0" quotePrefix="1" applyNumberFormat="1" applyFont="1" applyAlignment="1">
      <alignment horizontal="right"/>
    </xf>
    <xf numFmtId="0" fontId="20" fillId="0" borderId="0" xfId="0" applyFont="1"/>
    <xf numFmtId="0" fontId="19" fillId="0" borderId="0" xfId="0" applyFont="1"/>
    <xf numFmtId="0" fontId="18" fillId="0" borderId="0" xfId="0" applyFont="1"/>
    <xf numFmtId="3" fontId="18" fillId="0" borderId="0" xfId="0" quotePrefix="1" applyNumberFormat="1" applyFont="1" applyAlignment="1">
      <alignment horizontal="right"/>
    </xf>
    <xf numFmtId="9" fontId="21" fillId="0" borderId="0" xfId="0" applyNumberFormat="1" applyFont="1"/>
    <xf numFmtId="9" fontId="21" fillId="0" borderId="0" xfId="0" applyNumberFormat="1" applyFont="1" applyAlignment="1">
      <alignment horizontal="right"/>
    </xf>
    <xf numFmtId="9" fontId="18" fillId="0" borderId="0" xfId="0" applyNumberFormat="1" applyFont="1"/>
    <xf numFmtId="9" fontId="22" fillId="0" borderId="0" xfId="0" applyNumberFormat="1" applyFont="1"/>
    <xf numFmtId="9" fontId="22" fillId="0" borderId="0" xfId="0" applyNumberFormat="1" applyFont="1" applyAlignment="1">
      <alignment horizontal="right"/>
    </xf>
    <xf numFmtId="0" fontId="17" fillId="0" borderId="0" xfId="0" applyFont="1" applyAlignment="1">
      <alignment horizontal="center"/>
    </xf>
    <xf numFmtId="0" fontId="16" fillId="0" borderId="1" xfId="0" applyFont="1" applyBorder="1"/>
    <xf numFmtId="0" fontId="16" fillId="0" borderId="0" xfId="0" applyFont="1" applyAlignment="1">
      <alignment horizontal="center"/>
    </xf>
    <xf numFmtId="0" fontId="16" fillId="0" borderId="0" xfId="0" applyFont="1"/>
    <xf numFmtId="0" fontId="15" fillId="0" borderId="0" xfId="0" applyFont="1" applyAlignment="1">
      <alignment horizontal="center"/>
    </xf>
    <xf numFmtId="0" fontId="15" fillId="0" borderId="1" xfId="0" applyFont="1" applyBorder="1"/>
    <xf numFmtId="0" fontId="15" fillId="0" borderId="7" xfId="0" applyFont="1" applyBorder="1" applyAlignment="1">
      <alignment horizontal="center"/>
    </xf>
    <xf numFmtId="0" fontId="15" fillId="0" borderId="0" xfId="0" applyFont="1"/>
    <xf numFmtId="3" fontId="15" fillId="0" borderId="0" xfId="0" quotePrefix="1" applyNumberFormat="1" applyFont="1" applyAlignment="1">
      <alignment horizontal="right"/>
    </xf>
    <xf numFmtId="9" fontId="15" fillId="0" borderId="0" xfId="0" applyNumberFormat="1" applyFont="1"/>
    <xf numFmtId="0" fontId="14" fillId="0" borderId="0" xfId="0" applyFont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center"/>
    </xf>
    <xf numFmtId="3" fontId="14" fillId="0" borderId="0" xfId="0" quotePrefix="1" applyNumberFormat="1" applyFont="1" applyAlignment="1">
      <alignment horizontal="right"/>
    </xf>
    <xf numFmtId="3" fontId="14" fillId="0" borderId="0" xfId="0" applyNumberFormat="1" applyFont="1"/>
    <xf numFmtId="3" fontId="21" fillId="2" borderId="0" xfId="0" applyNumberFormat="1" applyFont="1" applyFill="1" applyAlignment="1">
      <alignment horizontal="right"/>
    </xf>
    <xf numFmtId="9" fontId="14" fillId="0" borderId="0" xfId="0" applyNumberFormat="1" applyFont="1" applyAlignment="1">
      <alignment horizontal="right"/>
    </xf>
    <xf numFmtId="9" fontId="14" fillId="0" borderId="0" xfId="0" applyNumberFormat="1" applyFont="1"/>
    <xf numFmtId="3" fontId="13" fillId="0" borderId="0" xfId="0" quotePrefix="1" applyNumberFormat="1" applyFont="1" applyAlignment="1">
      <alignment horizontal="right"/>
    </xf>
    <xf numFmtId="9" fontId="13" fillId="0" borderId="0" xfId="0" applyNumberFormat="1" applyFont="1"/>
    <xf numFmtId="9" fontId="13" fillId="0" borderId="0" xfId="0" applyNumberFormat="1" applyFont="1" applyAlignment="1">
      <alignment horizontal="right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9" fontId="11" fillId="0" borderId="0" xfId="0" applyNumberFormat="1" applyFont="1" applyAlignment="1">
      <alignment horizontal="center"/>
    </xf>
    <xf numFmtId="14" fontId="21" fillId="0" borderId="2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0" xfId="0" applyFont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3" fontId="10" fillId="0" borderId="0" xfId="0" applyNumberFormat="1" applyFont="1"/>
    <xf numFmtId="0" fontId="10" fillId="0" borderId="1" xfId="0" applyFont="1" applyBorder="1"/>
    <xf numFmtId="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9" fontId="9" fillId="0" borderId="0" xfId="0" applyNumberFormat="1" applyFont="1" applyAlignment="1">
      <alignment horizontal="right"/>
    </xf>
    <xf numFmtId="9" fontId="9" fillId="0" borderId="0" xfId="0" applyNumberFormat="1" applyFont="1"/>
    <xf numFmtId="3" fontId="20" fillId="0" borderId="0" xfId="0" applyNumberFormat="1" applyFont="1" applyAlignment="1">
      <alignment horizontal="right"/>
    </xf>
    <xf numFmtId="3" fontId="9" fillId="0" borderId="0" xfId="0" quotePrefix="1" applyNumberFormat="1" applyFont="1" applyAlignment="1">
      <alignment horizontal="right"/>
    </xf>
    <xf numFmtId="3" fontId="8" fillId="0" borderId="0" xfId="0" quotePrefix="1" applyNumberFormat="1" applyFont="1" applyAlignment="1">
      <alignment horizontal="right"/>
    </xf>
    <xf numFmtId="3" fontId="8" fillId="0" borderId="0" xfId="0" applyNumberFormat="1" applyFont="1"/>
    <xf numFmtId="0" fontId="8" fillId="0" borderId="1" xfId="0" applyFont="1" applyBorder="1"/>
    <xf numFmtId="3" fontId="7" fillId="0" borderId="0" xfId="0" applyNumberFormat="1" applyFont="1"/>
    <xf numFmtId="0" fontId="7" fillId="0" borderId="1" xfId="0" applyFont="1" applyBorder="1"/>
    <xf numFmtId="0" fontId="6" fillId="0" borderId="0" xfId="0" applyFont="1" applyAlignment="1">
      <alignment horizontal="right"/>
    </xf>
    <xf numFmtId="3" fontId="6" fillId="0" borderId="0" xfId="0" applyNumberFormat="1" applyFont="1"/>
    <xf numFmtId="3" fontId="6" fillId="0" borderId="0" xfId="0" quotePrefix="1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5" fillId="0" borderId="0" xfId="0" quotePrefix="1" applyNumberFormat="1" applyFont="1" applyAlignment="1">
      <alignment horizontal="right"/>
    </xf>
    <xf numFmtId="0" fontId="5" fillId="0" borderId="1" xfId="0" applyFont="1" applyBorder="1"/>
    <xf numFmtId="0" fontId="5" fillId="0" borderId="0" xfId="0" applyFont="1" applyAlignment="1">
      <alignment horizontal="center"/>
    </xf>
    <xf numFmtId="0" fontId="5" fillId="0" borderId="0" xfId="0" applyFont="1"/>
    <xf numFmtId="0" fontId="25" fillId="0" borderId="0" xfId="0" applyFont="1"/>
    <xf numFmtId="9" fontId="5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3" fontId="3" fillId="0" borderId="0" xfId="0" quotePrefix="1" applyNumberFormat="1" applyFont="1" applyAlignment="1">
      <alignment horizontal="right"/>
    </xf>
    <xf numFmtId="0" fontId="3" fillId="0" borderId="1" xfId="0" applyFont="1" applyBorder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/>
    <xf numFmtId="3" fontId="2" fillId="0" borderId="0" xfId="0" applyNumberFormat="1" applyFont="1" applyAlignment="1">
      <alignment horizontal="right"/>
    </xf>
    <xf numFmtId="3" fontId="21" fillId="3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2" fillId="3" borderId="0" xfId="0" applyNumberFormat="1" applyFont="1" applyFill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461D0AD-7678-4A55-ADFA-2CCF9BAA90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20064</xdr:colOff>
      <xdr:row>0</xdr:row>
      <xdr:rowOff>0</xdr:rowOff>
    </xdr:from>
    <xdr:to>
      <xdr:col>89</xdr:col>
      <xdr:colOff>20064</xdr:colOff>
      <xdr:row>125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54923478" y="0"/>
          <a:ext cx="0" cy="205470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7330</xdr:colOff>
      <xdr:row>0</xdr:row>
      <xdr:rowOff>3759</xdr:rowOff>
    </xdr:from>
    <xdr:to>
      <xdr:col>109</xdr:col>
      <xdr:colOff>7330</xdr:colOff>
      <xdr:row>125</xdr:row>
      <xdr:rowOff>22809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43235791" y="3759"/>
          <a:ext cx="0" cy="188183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482204</xdr:colOff>
      <xdr:row>1</xdr:row>
      <xdr:rowOff>137144</xdr:rowOff>
    </xdr:from>
    <xdr:to>
      <xdr:col>10</xdr:col>
      <xdr:colOff>5907</xdr:colOff>
      <xdr:row>16</xdr:row>
      <xdr:rowOff>16568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38B67-9366-EAC9-8869-AF8BF36C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7235" y="297878"/>
          <a:ext cx="3167015" cy="229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124464</xdr:colOff>
      <xdr:row>3</xdr:row>
      <xdr:rowOff>80211</xdr:rowOff>
    </xdr:from>
    <xdr:to>
      <xdr:col>11</xdr:col>
      <xdr:colOff>340892</xdr:colOff>
      <xdr:row>16</xdr:row>
      <xdr:rowOff>85224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8908D-502B-3AC7-2757-356EB5D2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0082" y="561474"/>
          <a:ext cx="2662849" cy="212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4-10-20T03:34:24.16" personId="{FC08182D-8126-43D2-AFE1-095FC8F8A0A3}" id="{C6707A7C-32B4-4594-990B-07FE38870C64}">
    <text>Linearized estimate of 280m in 2003</text>
  </threadedComment>
  <threadedComment ref="BW53" dT="2023-02-08T20:32:20.25" personId="{FC08182D-8126-43D2-AFE1-095FC8F8A0A3}" id="{1495FD4C-6EA2-462D-A285-0CE1207F95E3}">
    <text>13010 10-Q</text>
  </threadedComment>
  <threadedComment ref="CC64" dT="2023-01-03T05:48:05.07" personId="{FC08182D-8126-43D2-AFE1-095FC8F8A0A3}" id="{4684B382-7B1E-4F51-8AE6-3C2F21BB4B83}">
    <text>ADJ EPS 3.66</text>
  </threadedComment>
  <threadedComment ref="DD64" dT="2022-07-29T13:57:20.53" personId="{FC08182D-8126-43D2-AFE1-095FC8F8A0A3}" id="{664741F6-5634-463A-B649-C44AD48AAA09}">
    <text>Q222 guidance: 13.78-13.98 reaffirmed
Q322 guidance: 13.84-13.88</text>
  </threadedComment>
  <threadedComment ref="DE64" dT="2023-02-14T04:07:40.83" personId="{FC08182D-8126-43D2-AFE1-095FC8F8A0A3}" id="{A4B38560-E0C3-4F72-B4F8-127C423939FF}">
    <text>Q422: 2023 guidance of 10.70-11.10</text>
  </threadedComment>
  <threadedComment ref="DF64" dT="2024-05-27T03:06:54.34" personId="{FC08182D-8126-43D2-AFE1-095FC8F8A0A3}" id="{02664013-DB26-4B95-A2F2-AE1243BDA9A3}">
    <text>Q324: raises to 10.90-10.94 (incl 64c)
Q224: raises to 10.71-10.91 (incl 60c - 11.31-11.51)
Q124: raises to 11.13-11.33 from 10.97-11.17 including 0.08 IPR&amp;D - 11.21-11.41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3" sqref="E23"/>
    </sheetView>
  </sheetViews>
  <sheetFormatPr defaultColWidth="9.140625" defaultRowHeight="12.75" x14ac:dyDescent="0.2"/>
  <cols>
    <col min="1" max="1" width="5" style="27" bestFit="1" customWidth="1"/>
    <col min="2" max="2" width="18.85546875" style="27" bestFit="1" customWidth="1"/>
    <col min="3" max="16384" width="9.140625" style="27"/>
  </cols>
  <sheetData>
    <row r="1" spans="1:6" x14ac:dyDescent="0.2">
      <c r="A1" s="20" t="s">
        <v>74</v>
      </c>
    </row>
    <row r="2" spans="1:6" x14ac:dyDescent="0.2">
      <c r="A2" s="20"/>
      <c r="B2" s="27" t="s">
        <v>147</v>
      </c>
      <c r="C2" s="41" t="s">
        <v>190</v>
      </c>
      <c r="D2" s="41" t="s">
        <v>36</v>
      </c>
      <c r="E2" s="41" t="s">
        <v>27</v>
      </c>
      <c r="F2" s="41" t="s">
        <v>33</v>
      </c>
    </row>
    <row r="3" spans="1:6" x14ac:dyDescent="0.2">
      <c r="A3" s="20"/>
      <c r="B3" s="27" t="s">
        <v>148</v>
      </c>
    </row>
    <row r="4" spans="1:6" x14ac:dyDescent="0.2">
      <c r="A4" s="20"/>
      <c r="B4" s="27" t="s">
        <v>11</v>
      </c>
    </row>
    <row r="5" spans="1:6" x14ac:dyDescent="0.2">
      <c r="A5" s="20"/>
      <c r="B5" s="27" t="s">
        <v>10</v>
      </c>
    </row>
    <row r="6" spans="1:6" x14ac:dyDescent="0.2">
      <c r="A6" s="20"/>
      <c r="B6" s="41" t="s">
        <v>199</v>
      </c>
      <c r="C6" s="41" t="s">
        <v>200</v>
      </c>
      <c r="D6" s="31">
        <v>1</v>
      </c>
      <c r="E6" s="41" t="s">
        <v>68</v>
      </c>
      <c r="F6" s="41" t="s">
        <v>178</v>
      </c>
    </row>
    <row r="7" spans="1:6" x14ac:dyDescent="0.2">
      <c r="A7" s="20"/>
      <c r="B7" s="27" t="s">
        <v>54</v>
      </c>
    </row>
    <row r="8" spans="1:6" x14ac:dyDescent="0.2">
      <c r="B8" s="27" t="s">
        <v>2</v>
      </c>
      <c r="D8" s="27" t="s">
        <v>37</v>
      </c>
    </row>
    <row r="9" spans="1:6" x14ac:dyDescent="0.2">
      <c r="B9" s="27" t="s">
        <v>149</v>
      </c>
    </row>
    <row r="10" spans="1:6" x14ac:dyDescent="0.2">
      <c r="B10" s="37" t="s">
        <v>167</v>
      </c>
    </row>
    <row r="11" spans="1:6" x14ac:dyDescent="0.2">
      <c r="B11" s="27" t="s">
        <v>5</v>
      </c>
    </row>
    <row r="12" spans="1:6" x14ac:dyDescent="0.2">
      <c r="B12" s="41" t="s">
        <v>38</v>
      </c>
      <c r="C12" s="41" t="s">
        <v>189</v>
      </c>
    </row>
    <row r="13" spans="1:6" x14ac:dyDescent="0.2">
      <c r="B13" s="41" t="s">
        <v>191</v>
      </c>
      <c r="C13" s="41" t="s">
        <v>192</v>
      </c>
    </row>
    <row r="18" spans="2:6" x14ac:dyDescent="0.2">
      <c r="C18" s="27" t="s">
        <v>28</v>
      </c>
      <c r="D18" s="27" t="s">
        <v>150</v>
      </c>
      <c r="E18" s="37" t="s">
        <v>172</v>
      </c>
    </row>
    <row r="19" spans="2:6" x14ac:dyDescent="0.2">
      <c r="B19" s="37" t="s">
        <v>171</v>
      </c>
      <c r="C19" s="37" t="s">
        <v>173</v>
      </c>
      <c r="E19" s="37" t="s">
        <v>30</v>
      </c>
      <c r="F19" s="37" t="s">
        <v>174</v>
      </c>
    </row>
    <row r="20" spans="2:6" x14ac:dyDescent="0.2">
      <c r="B20" s="37" t="s">
        <v>29</v>
      </c>
      <c r="E20" s="37" t="s">
        <v>46</v>
      </c>
      <c r="F20" s="37" t="s">
        <v>66</v>
      </c>
    </row>
    <row r="21" spans="2:6" x14ac:dyDescent="0.2">
      <c r="B21" s="41" t="s">
        <v>69</v>
      </c>
      <c r="E21" s="41" t="s">
        <v>196</v>
      </c>
      <c r="F21" s="41" t="s">
        <v>197</v>
      </c>
    </row>
    <row r="22" spans="2:6" x14ac:dyDescent="0.2">
      <c r="B22" s="41" t="s">
        <v>67</v>
      </c>
      <c r="E22" s="41" t="s">
        <v>221</v>
      </c>
      <c r="F22" s="41" t="s">
        <v>220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BD72-886F-4F39-AAAC-D8E6C0595ABA}">
  <dimension ref="A1:C8"/>
  <sheetViews>
    <sheetView zoomScale="205" zoomScaleNormal="205" workbookViewId="0"/>
  </sheetViews>
  <sheetFormatPr defaultColWidth="9.140625" defaultRowHeight="12.75" x14ac:dyDescent="0.2"/>
  <cols>
    <col min="1" max="1" width="5.42578125" style="89" bestFit="1" customWidth="1"/>
    <col min="2" max="2" width="12.140625" style="89" bestFit="1" customWidth="1"/>
    <col min="3" max="16384" width="9.140625" style="89"/>
  </cols>
  <sheetData>
    <row r="1" spans="1:3" x14ac:dyDescent="0.2">
      <c r="A1" s="20" t="s">
        <v>74</v>
      </c>
    </row>
    <row r="2" spans="1:3" x14ac:dyDescent="0.2">
      <c r="B2" s="89" t="s">
        <v>147</v>
      </c>
      <c r="C2" s="89" t="s">
        <v>415</v>
      </c>
    </row>
    <row r="3" spans="1:3" x14ac:dyDescent="0.2">
      <c r="B3" s="89" t="s">
        <v>190</v>
      </c>
      <c r="C3" s="89" t="s">
        <v>416</v>
      </c>
    </row>
    <row r="4" spans="1:3" x14ac:dyDescent="0.2">
      <c r="B4" s="89" t="s">
        <v>27</v>
      </c>
      <c r="C4" s="89" t="s">
        <v>417</v>
      </c>
    </row>
    <row r="5" spans="1:3" x14ac:dyDescent="0.2">
      <c r="B5" s="89" t="s">
        <v>293</v>
      </c>
      <c r="C5" s="89" t="s">
        <v>418</v>
      </c>
    </row>
    <row r="6" spans="1:3" x14ac:dyDescent="0.2">
      <c r="B6" s="89" t="s">
        <v>36</v>
      </c>
      <c r="C6" s="89" t="s">
        <v>315</v>
      </c>
    </row>
    <row r="7" spans="1:3" x14ac:dyDescent="0.2">
      <c r="B7" s="89" t="s">
        <v>228</v>
      </c>
    </row>
    <row r="8" spans="1:3" x14ac:dyDescent="0.2">
      <c r="C8" s="86" t="s">
        <v>419</v>
      </c>
    </row>
  </sheetData>
  <hyperlinks>
    <hyperlink ref="A1" location="Main!A1" display="Main" xr:uid="{C8688A8B-4341-4B3B-A91A-5830382CFC1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C602-2067-485A-A030-D80CE1189A34}">
  <dimension ref="A1:C10"/>
  <sheetViews>
    <sheetView zoomScale="190" zoomScaleNormal="190" workbookViewId="0"/>
  </sheetViews>
  <sheetFormatPr defaultRowHeight="12.75" x14ac:dyDescent="0.2"/>
  <cols>
    <col min="1" max="1" width="5.42578125" style="102" bestFit="1" customWidth="1"/>
    <col min="2" max="2" width="13.42578125" style="102" customWidth="1"/>
    <col min="3" max="3" width="21.42578125" style="102" customWidth="1"/>
    <col min="4" max="16384" width="9.140625" style="102"/>
  </cols>
  <sheetData>
    <row r="1" spans="1:3" x14ac:dyDescent="0.2">
      <c r="A1" s="20" t="s">
        <v>74</v>
      </c>
    </row>
    <row r="2" spans="1:3" x14ac:dyDescent="0.2">
      <c r="B2" s="102" t="s">
        <v>147</v>
      </c>
    </row>
    <row r="3" spans="1:3" x14ac:dyDescent="0.2">
      <c r="B3" s="102" t="s">
        <v>190</v>
      </c>
      <c r="C3" s="102" t="s">
        <v>481</v>
      </c>
    </row>
    <row r="4" spans="1:3" x14ac:dyDescent="0.2">
      <c r="B4" s="102" t="s">
        <v>27</v>
      </c>
      <c r="C4" s="102" t="s">
        <v>490</v>
      </c>
    </row>
    <row r="5" spans="1:3" x14ac:dyDescent="0.2">
      <c r="B5" s="102" t="s">
        <v>228</v>
      </c>
    </row>
    <row r="6" spans="1:3" x14ac:dyDescent="0.2">
      <c r="C6" s="86" t="s">
        <v>491</v>
      </c>
    </row>
    <row r="7" spans="1:3" x14ac:dyDescent="0.2">
      <c r="C7" s="102" t="s">
        <v>492</v>
      </c>
    </row>
    <row r="10" spans="1:3" x14ac:dyDescent="0.2">
      <c r="C10" s="86" t="s">
        <v>493</v>
      </c>
    </row>
  </sheetData>
  <hyperlinks>
    <hyperlink ref="A1" location="Main!A1" display="Main" xr:uid="{C012461D-5937-4998-A964-450BE15264F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71"/>
  <sheetViews>
    <sheetView tabSelected="1" zoomScale="145" zoomScaleNormal="145" workbookViewId="0">
      <selection activeCell="E29" sqref="E29"/>
    </sheetView>
  </sheetViews>
  <sheetFormatPr defaultColWidth="9.140625" defaultRowHeight="12.75" x14ac:dyDescent="0.2"/>
  <cols>
    <col min="1" max="1" width="2.85546875" style="1" customWidth="1"/>
    <col min="2" max="2" width="23.85546875" style="1" customWidth="1"/>
    <col min="3" max="3" width="34.42578125" style="1" customWidth="1"/>
    <col min="4" max="4" width="10.85546875" style="1" customWidth="1"/>
    <col min="5" max="5" width="14.85546875" style="1" customWidth="1"/>
    <col min="6" max="6" width="10.28515625" style="1" bestFit="1" customWidth="1"/>
    <col min="7" max="7" width="13.85546875" style="1" bestFit="1" customWidth="1"/>
    <col min="8" max="8" width="10.42578125" style="1" bestFit="1" customWidth="1"/>
    <col min="9" max="16384" width="9.140625" style="1"/>
  </cols>
  <sheetData>
    <row r="2" spans="2:12" x14ac:dyDescent="0.2">
      <c r="B2" s="6" t="s">
        <v>26</v>
      </c>
      <c r="C2" s="7" t="s">
        <v>27</v>
      </c>
      <c r="D2" s="7" t="s">
        <v>55</v>
      </c>
      <c r="E2" s="7" t="s">
        <v>33</v>
      </c>
      <c r="F2" s="7" t="s">
        <v>36</v>
      </c>
      <c r="G2" s="40" t="s">
        <v>186</v>
      </c>
      <c r="H2" s="8" t="s">
        <v>53</v>
      </c>
      <c r="J2" s="1" t="s">
        <v>48</v>
      </c>
      <c r="K2" s="14">
        <v>172.05</v>
      </c>
    </row>
    <row r="3" spans="2:12" x14ac:dyDescent="0.2">
      <c r="B3" s="21" t="s">
        <v>73</v>
      </c>
      <c r="C3" s="46" t="s">
        <v>229</v>
      </c>
      <c r="D3" s="19">
        <v>37621</v>
      </c>
      <c r="E3" s="9" t="s">
        <v>32</v>
      </c>
      <c r="F3" s="10">
        <v>1</v>
      </c>
      <c r="G3" s="38" t="s">
        <v>187</v>
      </c>
      <c r="H3" s="11">
        <v>2024</v>
      </c>
      <c r="J3" s="1" t="s">
        <v>14</v>
      </c>
      <c r="K3" s="15">
        <v>1772</v>
      </c>
      <c r="L3" s="101" t="s">
        <v>330</v>
      </c>
    </row>
    <row r="4" spans="2:12" x14ac:dyDescent="0.2">
      <c r="B4" s="21" t="s">
        <v>209</v>
      </c>
      <c r="C4" s="57" t="s">
        <v>269</v>
      </c>
      <c r="D4" s="64">
        <v>33581</v>
      </c>
      <c r="E4" s="57" t="s">
        <v>270</v>
      </c>
      <c r="F4" s="10">
        <v>1</v>
      </c>
      <c r="G4" s="57" t="s">
        <v>187</v>
      </c>
      <c r="H4" s="58" t="s">
        <v>271</v>
      </c>
      <c r="J4" s="1" t="s">
        <v>49</v>
      </c>
      <c r="K4" s="15">
        <f>+K3*K2</f>
        <v>304872.60000000003</v>
      </c>
      <c r="L4" s="2"/>
    </row>
    <row r="5" spans="2:12" x14ac:dyDescent="0.2">
      <c r="B5" s="21" t="s">
        <v>160</v>
      </c>
      <c r="C5" s="57" t="s">
        <v>266</v>
      </c>
      <c r="D5" s="19">
        <v>41591</v>
      </c>
      <c r="E5" s="57" t="s">
        <v>267</v>
      </c>
      <c r="F5" s="34" t="s">
        <v>162</v>
      </c>
      <c r="G5" s="38" t="s">
        <v>188</v>
      </c>
      <c r="H5" s="60">
        <v>46566</v>
      </c>
      <c r="J5" s="1" t="s">
        <v>50</v>
      </c>
      <c r="K5" s="94">
        <v>7552</v>
      </c>
      <c r="L5" s="101" t="s">
        <v>330</v>
      </c>
    </row>
    <row r="6" spans="2:12" x14ac:dyDescent="0.2">
      <c r="B6" s="21" t="s">
        <v>163</v>
      </c>
      <c r="C6" s="57" t="s">
        <v>259</v>
      </c>
      <c r="D6" s="19">
        <v>43578</v>
      </c>
      <c r="E6" s="38" t="s">
        <v>223</v>
      </c>
      <c r="F6" s="59" t="s">
        <v>260</v>
      </c>
      <c r="G6" s="57" t="s">
        <v>187</v>
      </c>
      <c r="H6" s="58" t="s">
        <v>72</v>
      </c>
      <c r="J6" s="1" t="s">
        <v>51</v>
      </c>
      <c r="K6" s="15">
        <v>71079</v>
      </c>
      <c r="L6" s="101" t="s">
        <v>330</v>
      </c>
    </row>
    <row r="7" spans="2:12" x14ac:dyDescent="0.2">
      <c r="B7" s="77" t="s">
        <v>164</v>
      </c>
      <c r="C7" s="36" t="s">
        <v>165</v>
      </c>
      <c r="D7" s="19">
        <v>42471</v>
      </c>
      <c r="E7" s="36" t="s">
        <v>31</v>
      </c>
      <c r="F7" s="36" t="s">
        <v>166</v>
      </c>
      <c r="G7" s="38" t="s">
        <v>188</v>
      </c>
      <c r="H7" s="58" t="s">
        <v>272</v>
      </c>
      <c r="J7" s="1" t="s">
        <v>52</v>
      </c>
      <c r="K7" s="15">
        <f>+K4-K5+K6</f>
        <v>368399.60000000003</v>
      </c>
    </row>
    <row r="8" spans="2:12" x14ac:dyDescent="0.2">
      <c r="B8" s="61" t="s">
        <v>273</v>
      </c>
      <c r="C8" s="57" t="s">
        <v>274</v>
      </c>
      <c r="D8" s="19">
        <v>32534</v>
      </c>
      <c r="E8" s="9"/>
      <c r="F8" s="57" t="s">
        <v>275</v>
      </c>
      <c r="G8" s="57" t="s">
        <v>276</v>
      </c>
      <c r="H8" s="11"/>
    </row>
    <row r="9" spans="2:12" x14ac:dyDescent="0.2">
      <c r="B9" s="21" t="s">
        <v>179</v>
      </c>
      <c r="C9" s="57" t="s">
        <v>253</v>
      </c>
      <c r="D9" s="19">
        <v>44636</v>
      </c>
      <c r="E9" s="38" t="s">
        <v>178</v>
      </c>
      <c r="F9" s="10">
        <v>1</v>
      </c>
      <c r="G9" s="38" t="s">
        <v>188</v>
      </c>
      <c r="H9" s="58" t="s">
        <v>254</v>
      </c>
    </row>
    <row r="10" spans="2:12" x14ac:dyDescent="0.2">
      <c r="B10" s="61" t="s">
        <v>277</v>
      </c>
      <c r="C10" s="57" t="s">
        <v>279</v>
      </c>
      <c r="D10" s="19">
        <v>37461</v>
      </c>
      <c r="E10" s="9"/>
      <c r="F10" s="84" t="s">
        <v>339</v>
      </c>
      <c r="G10" s="38" t="s">
        <v>188</v>
      </c>
      <c r="H10" s="11"/>
    </row>
    <row r="11" spans="2:12" x14ac:dyDescent="0.2">
      <c r="B11" s="77" t="s">
        <v>6</v>
      </c>
      <c r="C11" s="57" t="s">
        <v>278</v>
      </c>
      <c r="D11" s="9"/>
      <c r="E11" s="9"/>
      <c r="F11" s="84" t="s">
        <v>339</v>
      </c>
      <c r="G11" s="38" t="s">
        <v>188</v>
      </c>
      <c r="H11" s="11"/>
    </row>
    <row r="12" spans="2:12" x14ac:dyDescent="0.2">
      <c r="B12" s="61" t="s">
        <v>281</v>
      </c>
      <c r="C12" s="57" t="s">
        <v>282</v>
      </c>
      <c r="D12" s="9"/>
      <c r="E12" s="9"/>
      <c r="F12" s="9"/>
      <c r="G12" s="57" t="s">
        <v>284</v>
      </c>
      <c r="H12" s="11"/>
    </row>
    <row r="13" spans="2:12" x14ac:dyDescent="0.2">
      <c r="B13" s="61" t="s">
        <v>280</v>
      </c>
      <c r="C13" s="57" t="s">
        <v>206</v>
      </c>
      <c r="D13" s="9"/>
      <c r="E13" s="9"/>
      <c r="F13" s="9"/>
      <c r="G13" s="9"/>
      <c r="H13" s="11"/>
      <c r="J13" s="89" t="s">
        <v>397</v>
      </c>
    </row>
    <row r="14" spans="2:12" x14ac:dyDescent="0.2">
      <c r="B14" s="61" t="s">
        <v>268</v>
      </c>
      <c r="C14" s="9" t="s">
        <v>34</v>
      </c>
      <c r="D14" s="9"/>
      <c r="E14" s="9"/>
      <c r="F14" s="9" t="s">
        <v>35</v>
      </c>
      <c r="G14" s="38" t="s">
        <v>188</v>
      </c>
      <c r="H14" s="11"/>
      <c r="J14" s="62" t="s">
        <v>321</v>
      </c>
    </row>
    <row r="15" spans="2:12" x14ac:dyDescent="0.2">
      <c r="B15" s="39" t="s">
        <v>207</v>
      </c>
      <c r="C15" s="38" t="s">
        <v>208</v>
      </c>
      <c r="D15" s="9"/>
      <c r="E15" s="57" t="s">
        <v>283</v>
      </c>
      <c r="F15" s="10">
        <v>1</v>
      </c>
      <c r="G15" s="57" t="s">
        <v>188</v>
      </c>
      <c r="H15" s="11"/>
    </row>
    <row r="16" spans="2:12" x14ac:dyDescent="0.2">
      <c r="B16" s="39" t="s">
        <v>185</v>
      </c>
      <c r="C16" s="36" t="s">
        <v>39</v>
      </c>
      <c r="D16" s="9"/>
      <c r="E16" s="9"/>
      <c r="F16" s="10">
        <v>1</v>
      </c>
      <c r="G16" s="38" t="s">
        <v>188</v>
      </c>
      <c r="H16" s="11"/>
    </row>
    <row r="17" spans="2:10" x14ac:dyDescent="0.2">
      <c r="B17" s="21" t="s">
        <v>336</v>
      </c>
      <c r="C17" s="84" t="s">
        <v>65</v>
      </c>
      <c r="D17" s="9"/>
      <c r="E17" s="103" t="s">
        <v>479</v>
      </c>
      <c r="F17" s="10"/>
      <c r="G17" s="103" t="s">
        <v>480</v>
      </c>
      <c r="H17" s="11"/>
    </row>
    <row r="18" spans="2:10" x14ac:dyDescent="0.2">
      <c r="B18" s="39" t="s">
        <v>211</v>
      </c>
      <c r="C18" s="38" t="s">
        <v>212</v>
      </c>
      <c r="D18" s="9"/>
      <c r="E18" s="9"/>
      <c r="F18" s="10"/>
      <c r="G18" s="57" t="s">
        <v>284</v>
      </c>
      <c r="H18" s="11"/>
    </row>
    <row r="19" spans="2:10" x14ac:dyDescent="0.2">
      <c r="B19" s="21" t="s">
        <v>337</v>
      </c>
      <c r="C19" s="84" t="s">
        <v>338</v>
      </c>
      <c r="D19" s="36"/>
      <c r="E19" s="68" t="s">
        <v>316</v>
      </c>
      <c r="F19" s="67" t="s">
        <v>315</v>
      </c>
      <c r="G19" s="9"/>
      <c r="H19" s="11"/>
    </row>
    <row r="20" spans="2:10" x14ac:dyDescent="0.2">
      <c r="B20" s="61" t="s">
        <v>288</v>
      </c>
      <c r="C20" s="57" t="s">
        <v>289</v>
      </c>
      <c r="D20" s="9"/>
      <c r="E20" s="57" t="s">
        <v>290</v>
      </c>
      <c r="F20" s="10"/>
      <c r="G20" s="57"/>
      <c r="H20" s="11"/>
    </row>
    <row r="21" spans="2:10" x14ac:dyDescent="0.2">
      <c r="B21" s="39" t="s">
        <v>213</v>
      </c>
      <c r="C21" s="38" t="s">
        <v>214</v>
      </c>
      <c r="D21" s="9"/>
      <c r="E21" s="9"/>
      <c r="F21" s="10"/>
      <c r="G21" s="57" t="s">
        <v>284</v>
      </c>
      <c r="H21" s="11"/>
      <c r="J21" s="88"/>
    </row>
    <row r="22" spans="2:10" x14ac:dyDescent="0.2">
      <c r="B22" s="104" t="s">
        <v>486</v>
      </c>
      <c r="C22" s="38" t="s">
        <v>206</v>
      </c>
      <c r="D22" s="84" t="s">
        <v>351</v>
      </c>
      <c r="E22" s="84" t="s">
        <v>352</v>
      </c>
      <c r="F22" s="10">
        <v>1</v>
      </c>
      <c r="G22" s="9"/>
      <c r="H22" s="11"/>
    </row>
    <row r="23" spans="2:10" x14ac:dyDescent="0.2">
      <c r="B23" s="39" t="s">
        <v>210</v>
      </c>
      <c r="C23" s="38" t="s">
        <v>180</v>
      </c>
      <c r="D23" s="9"/>
      <c r="E23" s="9"/>
      <c r="F23" s="9"/>
      <c r="G23" s="38" t="s">
        <v>188</v>
      </c>
      <c r="H23" s="11"/>
    </row>
    <row r="24" spans="2:10" x14ac:dyDescent="0.2">
      <c r="B24" s="6"/>
      <c r="C24" s="7"/>
      <c r="D24" s="7" t="s">
        <v>56</v>
      </c>
      <c r="E24" s="7"/>
      <c r="F24" s="7"/>
      <c r="G24" s="7"/>
      <c r="H24" s="8"/>
    </row>
    <row r="25" spans="2:10" x14ac:dyDescent="0.2">
      <c r="B25" s="66" t="s">
        <v>317</v>
      </c>
      <c r="C25" s="68" t="s">
        <v>318</v>
      </c>
      <c r="D25" s="84" t="s">
        <v>392</v>
      </c>
      <c r="E25" s="84" t="s">
        <v>393</v>
      </c>
      <c r="F25" s="67"/>
      <c r="G25" s="9"/>
      <c r="H25" s="11"/>
    </row>
    <row r="26" spans="2:10" x14ac:dyDescent="0.2">
      <c r="B26" s="83" t="s">
        <v>348</v>
      </c>
      <c r="C26" s="84" t="s">
        <v>349</v>
      </c>
      <c r="D26" s="84" t="s">
        <v>64</v>
      </c>
      <c r="E26" s="84" t="s">
        <v>350</v>
      </c>
      <c r="F26" s="67"/>
      <c r="G26" s="9"/>
      <c r="H26" s="11"/>
    </row>
    <row r="27" spans="2:10" x14ac:dyDescent="0.2">
      <c r="B27" s="66" t="s">
        <v>319</v>
      </c>
      <c r="C27" s="68" t="s">
        <v>320</v>
      </c>
      <c r="D27" s="84" t="s">
        <v>392</v>
      </c>
      <c r="E27" s="68"/>
      <c r="F27" s="67"/>
      <c r="G27" s="9"/>
      <c r="H27" s="11"/>
    </row>
    <row r="28" spans="2:10" x14ac:dyDescent="0.2">
      <c r="B28" s="83" t="s">
        <v>389</v>
      </c>
      <c r="C28" s="84" t="s">
        <v>390</v>
      </c>
      <c r="D28" s="92" t="s">
        <v>392</v>
      </c>
      <c r="E28" s="84" t="s">
        <v>391</v>
      </c>
      <c r="F28" s="9"/>
      <c r="G28" s="9"/>
      <c r="H28" s="11"/>
    </row>
    <row r="29" spans="2:10" x14ac:dyDescent="0.2">
      <c r="B29" s="21" t="s">
        <v>481</v>
      </c>
      <c r="C29" s="103" t="s">
        <v>206</v>
      </c>
      <c r="D29" s="103" t="s">
        <v>392</v>
      </c>
      <c r="E29" s="103" t="s">
        <v>482</v>
      </c>
      <c r="F29" s="9"/>
      <c r="G29" s="9"/>
      <c r="H29" s="11"/>
    </row>
    <row r="30" spans="2:10" x14ac:dyDescent="0.2">
      <c r="B30" s="104" t="s">
        <v>483</v>
      </c>
      <c r="C30" s="103" t="s">
        <v>484</v>
      </c>
      <c r="D30" s="92"/>
      <c r="E30" s="103" t="s">
        <v>485</v>
      </c>
      <c r="F30" s="9"/>
      <c r="G30" s="9"/>
      <c r="H30" s="11"/>
    </row>
    <row r="31" spans="2:10" x14ac:dyDescent="0.2">
      <c r="B31" s="35" t="s">
        <v>168</v>
      </c>
      <c r="C31" s="36" t="s">
        <v>170</v>
      </c>
      <c r="D31" s="36" t="s">
        <v>64</v>
      </c>
      <c r="E31" s="36" t="s">
        <v>169</v>
      </c>
      <c r="F31" s="10">
        <v>1</v>
      </c>
      <c r="G31" s="9"/>
      <c r="H31" s="11"/>
    </row>
    <row r="32" spans="2:10" x14ac:dyDescent="0.2">
      <c r="B32" s="35" t="s">
        <v>175</v>
      </c>
      <c r="C32" s="36" t="s">
        <v>176</v>
      </c>
      <c r="D32" s="36" t="s">
        <v>64</v>
      </c>
      <c r="E32" s="36" t="s">
        <v>161</v>
      </c>
      <c r="F32" s="10">
        <v>1</v>
      </c>
      <c r="G32" s="9"/>
      <c r="H32" s="11"/>
    </row>
    <row r="33" spans="2:8" x14ac:dyDescent="0.2">
      <c r="B33" s="75" t="s">
        <v>326</v>
      </c>
      <c r="C33" s="38" t="s">
        <v>176</v>
      </c>
      <c r="D33" s="38" t="s">
        <v>64</v>
      </c>
      <c r="E33" s="38" t="s">
        <v>177</v>
      </c>
      <c r="F33" s="10">
        <v>1</v>
      </c>
      <c r="G33" s="9"/>
      <c r="H33" s="11"/>
    </row>
    <row r="34" spans="2:8" x14ac:dyDescent="0.2">
      <c r="B34" s="83" t="s">
        <v>379</v>
      </c>
      <c r="C34" s="38"/>
      <c r="D34" s="38"/>
      <c r="E34" s="84" t="s">
        <v>161</v>
      </c>
      <c r="F34" s="10"/>
      <c r="G34" s="9"/>
      <c r="H34" s="11"/>
    </row>
    <row r="35" spans="2:8" x14ac:dyDescent="0.2">
      <c r="B35" s="39" t="s">
        <v>181</v>
      </c>
      <c r="C35" s="38" t="s">
        <v>184</v>
      </c>
      <c r="D35" s="84" t="s">
        <v>64</v>
      </c>
      <c r="E35" s="38" t="s">
        <v>182</v>
      </c>
      <c r="F35" s="10">
        <v>1</v>
      </c>
      <c r="G35" s="9"/>
      <c r="H35" s="11"/>
    </row>
    <row r="36" spans="2:8" x14ac:dyDescent="0.2">
      <c r="B36" s="39" t="s">
        <v>193</v>
      </c>
      <c r="C36" s="38" t="s">
        <v>176</v>
      </c>
      <c r="D36" s="38" t="s">
        <v>64</v>
      </c>
      <c r="E36" s="38" t="s">
        <v>195</v>
      </c>
      <c r="F36" s="38" t="s">
        <v>194</v>
      </c>
      <c r="G36" s="9"/>
      <c r="H36" s="11"/>
    </row>
    <row r="37" spans="2:8" x14ac:dyDescent="0.2">
      <c r="B37" s="83" t="s">
        <v>394</v>
      </c>
      <c r="C37" s="84" t="s">
        <v>395</v>
      </c>
      <c r="D37" s="38" t="s">
        <v>64</v>
      </c>
      <c r="E37" s="38" t="s">
        <v>198</v>
      </c>
      <c r="F37" s="10">
        <v>1</v>
      </c>
      <c r="G37" s="9"/>
      <c r="H37" s="11"/>
    </row>
    <row r="38" spans="2:8" x14ac:dyDescent="0.2">
      <c r="B38" s="39" t="s">
        <v>224</v>
      </c>
      <c r="C38" s="38" t="s">
        <v>206</v>
      </c>
      <c r="D38" s="38" t="s">
        <v>183</v>
      </c>
      <c r="E38" s="38" t="s">
        <v>225</v>
      </c>
      <c r="F38" s="10">
        <v>1</v>
      </c>
      <c r="G38" s="9"/>
      <c r="H38" s="11"/>
    </row>
    <row r="39" spans="2:8" x14ac:dyDescent="0.2">
      <c r="B39" s="83" t="s">
        <v>380</v>
      </c>
      <c r="C39" s="84" t="s">
        <v>196</v>
      </c>
      <c r="D39" s="84" t="s">
        <v>183</v>
      </c>
      <c r="E39" s="84" t="s">
        <v>381</v>
      </c>
      <c r="F39" s="10"/>
      <c r="G39" s="9"/>
      <c r="H39" s="11"/>
    </row>
    <row r="40" spans="2:8" x14ac:dyDescent="0.2">
      <c r="B40" s="83" t="s">
        <v>382</v>
      </c>
      <c r="C40" s="84" t="s">
        <v>196</v>
      </c>
      <c r="D40" s="84" t="s">
        <v>64</v>
      </c>
      <c r="E40" s="84" t="s">
        <v>383</v>
      </c>
      <c r="F40" s="10"/>
      <c r="G40" s="9"/>
      <c r="H40" s="11"/>
    </row>
    <row r="41" spans="2:8" x14ac:dyDescent="0.2">
      <c r="B41" s="91" t="s">
        <v>405</v>
      </c>
      <c r="C41" s="92" t="s">
        <v>406</v>
      </c>
      <c r="D41" s="84"/>
      <c r="E41" s="84"/>
      <c r="F41" s="93" t="s">
        <v>407</v>
      </c>
      <c r="G41" s="9"/>
      <c r="H41" s="11"/>
    </row>
    <row r="42" spans="2:8" x14ac:dyDescent="0.2">
      <c r="B42" s="91" t="s">
        <v>408</v>
      </c>
      <c r="C42" s="92" t="s">
        <v>409</v>
      </c>
      <c r="D42" s="84"/>
      <c r="E42" s="92" t="s">
        <v>410</v>
      </c>
      <c r="F42" s="93" t="s">
        <v>411</v>
      </c>
      <c r="G42" s="9"/>
      <c r="H42" s="11"/>
    </row>
    <row r="43" spans="2:8" x14ac:dyDescent="0.2">
      <c r="B43" s="91" t="s">
        <v>412</v>
      </c>
      <c r="C43" s="92"/>
      <c r="D43" s="92" t="s">
        <v>183</v>
      </c>
      <c r="E43" s="92" t="s">
        <v>413</v>
      </c>
      <c r="F43" s="93" t="s">
        <v>414</v>
      </c>
      <c r="G43" s="9"/>
      <c r="H43" s="11"/>
    </row>
    <row r="44" spans="2:8" x14ac:dyDescent="0.2">
      <c r="B44" s="83" t="s">
        <v>361</v>
      </c>
      <c r="C44" s="84" t="s">
        <v>46</v>
      </c>
      <c r="D44" s="84" t="s">
        <v>64</v>
      </c>
      <c r="E44" s="84" t="s">
        <v>362</v>
      </c>
      <c r="F44" s="10"/>
      <c r="G44" s="9"/>
      <c r="H44" s="11"/>
    </row>
    <row r="45" spans="2:8" x14ac:dyDescent="0.2">
      <c r="B45" s="83" t="s">
        <v>363</v>
      </c>
      <c r="C45" s="84" t="s">
        <v>46</v>
      </c>
      <c r="D45" s="84" t="s">
        <v>64</v>
      </c>
      <c r="E45" s="84" t="s">
        <v>364</v>
      </c>
      <c r="F45" s="10"/>
      <c r="G45" s="9"/>
      <c r="H45" s="11"/>
    </row>
    <row r="46" spans="2:8" x14ac:dyDescent="0.2">
      <c r="B46" s="83" t="s">
        <v>365</v>
      </c>
      <c r="C46" s="84" t="s">
        <v>366</v>
      </c>
      <c r="D46" s="84" t="s">
        <v>183</v>
      </c>
      <c r="E46" s="84" t="s">
        <v>367</v>
      </c>
      <c r="F46" s="87" t="s">
        <v>368</v>
      </c>
      <c r="G46" s="9"/>
      <c r="H46" s="11"/>
    </row>
    <row r="47" spans="2:8" x14ac:dyDescent="0.2">
      <c r="B47" s="83" t="s">
        <v>373</v>
      </c>
      <c r="C47" s="84" t="s">
        <v>46</v>
      </c>
      <c r="D47" s="84" t="s">
        <v>64</v>
      </c>
      <c r="E47" s="84" t="s">
        <v>374</v>
      </c>
      <c r="F47" s="87" t="s">
        <v>375</v>
      </c>
      <c r="G47" s="9"/>
      <c r="H47" s="11"/>
    </row>
    <row r="48" spans="2:8" x14ac:dyDescent="0.2">
      <c r="B48" s="83" t="s">
        <v>376</v>
      </c>
      <c r="C48" s="84" t="s">
        <v>377</v>
      </c>
      <c r="D48" s="84" t="s">
        <v>64</v>
      </c>
      <c r="E48" s="84" t="s">
        <v>378</v>
      </c>
      <c r="F48" s="87"/>
      <c r="G48" s="9"/>
      <c r="H48" s="11"/>
    </row>
    <row r="49" spans="2:8" x14ac:dyDescent="0.2">
      <c r="B49" s="83" t="s">
        <v>369</v>
      </c>
      <c r="C49" s="84" t="s">
        <v>370</v>
      </c>
      <c r="D49" s="84" t="s">
        <v>64</v>
      </c>
      <c r="E49" s="84" t="s">
        <v>371</v>
      </c>
      <c r="F49" s="87" t="s">
        <v>372</v>
      </c>
      <c r="G49" s="9"/>
      <c r="H49" s="11"/>
    </row>
    <row r="50" spans="2:8" x14ac:dyDescent="0.2">
      <c r="B50" s="83" t="s">
        <v>356</v>
      </c>
      <c r="C50" s="84" t="s">
        <v>176</v>
      </c>
      <c r="D50" s="9"/>
      <c r="E50" s="9"/>
      <c r="F50" s="9"/>
      <c r="G50" s="9"/>
      <c r="H50" s="11"/>
    </row>
    <row r="51" spans="2:8" x14ac:dyDescent="0.2">
      <c r="B51" s="83" t="s">
        <v>357</v>
      </c>
      <c r="C51" s="84" t="s">
        <v>360</v>
      </c>
      <c r="D51" s="84" t="s">
        <v>64</v>
      </c>
      <c r="E51" s="84" t="s">
        <v>358</v>
      </c>
      <c r="F51" s="84" t="s">
        <v>359</v>
      </c>
      <c r="G51" s="9"/>
      <c r="H51" s="11"/>
    </row>
    <row r="52" spans="2:8" x14ac:dyDescent="0.2">
      <c r="B52" s="83" t="s">
        <v>354</v>
      </c>
      <c r="C52" s="84" t="s">
        <v>355</v>
      </c>
      <c r="D52" s="9"/>
      <c r="E52" s="9"/>
      <c r="F52" s="9"/>
      <c r="G52" s="9"/>
      <c r="H52" s="11"/>
    </row>
    <row r="53" spans="2:8" x14ac:dyDescent="0.2">
      <c r="B53" s="4" t="s">
        <v>40</v>
      </c>
      <c r="C53" s="9" t="s">
        <v>41</v>
      </c>
      <c r="D53" s="9"/>
      <c r="E53" s="9"/>
      <c r="F53" s="9"/>
      <c r="G53" s="9"/>
      <c r="H53" s="11"/>
    </row>
    <row r="54" spans="2:8" x14ac:dyDescent="0.2">
      <c r="B54" s="91" t="s">
        <v>422</v>
      </c>
      <c r="C54" s="92" t="s">
        <v>423</v>
      </c>
      <c r="D54" s="92" t="s">
        <v>183</v>
      </c>
      <c r="E54" s="92" t="s">
        <v>424</v>
      </c>
      <c r="F54" s="9"/>
      <c r="G54" s="9"/>
      <c r="H54" s="11"/>
    </row>
    <row r="55" spans="2:8" x14ac:dyDescent="0.2">
      <c r="B55" s="91" t="s">
        <v>425</v>
      </c>
      <c r="C55" s="92" t="s">
        <v>427</v>
      </c>
      <c r="D55" s="92" t="s">
        <v>183</v>
      </c>
      <c r="E55" s="92" t="s">
        <v>426</v>
      </c>
      <c r="F55" s="9"/>
      <c r="G55" s="9"/>
      <c r="H55" s="11"/>
    </row>
    <row r="56" spans="2:8" x14ac:dyDescent="0.2">
      <c r="B56" s="61" t="s">
        <v>285</v>
      </c>
      <c r="C56" s="57" t="s">
        <v>286</v>
      </c>
      <c r="D56" s="57" t="s">
        <v>183</v>
      </c>
      <c r="E56" s="57" t="s">
        <v>287</v>
      </c>
      <c r="F56" s="10">
        <v>1</v>
      </c>
      <c r="G56" s="9"/>
      <c r="H56" s="11"/>
    </row>
    <row r="57" spans="2:8" x14ac:dyDescent="0.2">
      <c r="B57" s="4" t="s">
        <v>42</v>
      </c>
      <c r="C57" s="9" t="s">
        <v>65</v>
      </c>
      <c r="D57" s="9" t="s">
        <v>64</v>
      </c>
      <c r="E57" s="9" t="s">
        <v>43</v>
      </c>
      <c r="F57" s="10">
        <v>1</v>
      </c>
      <c r="G57" s="9"/>
      <c r="H57" s="11"/>
    </row>
    <row r="58" spans="2:8" x14ac:dyDescent="0.2">
      <c r="B58" s="83" t="s">
        <v>387</v>
      </c>
      <c r="C58" s="84" t="s">
        <v>196</v>
      </c>
      <c r="D58" s="84" t="s">
        <v>183</v>
      </c>
      <c r="E58" s="84" t="s">
        <v>388</v>
      </c>
      <c r="F58" s="9"/>
      <c r="G58" s="9"/>
      <c r="H58" s="11"/>
    </row>
    <row r="59" spans="2:8" x14ac:dyDescent="0.2">
      <c r="B59" s="83" t="s">
        <v>384</v>
      </c>
      <c r="C59" s="84" t="s">
        <v>196</v>
      </c>
      <c r="D59" s="9"/>
      <c r="E59" s="84" t="s">
        <v>385</v>
      </c>
      <c r="F59" s="84" t="s">
        <v>386</v>
      </c>
      <c r="G59" s="9"/>
      <c r="H59" s="11"/>
    </row>
    <row r="60" spans="2:8" x14ac:dyDescent="0.2">
      <c r="B60" s="4" t="s">
        <v>44</v>
      </c>
      <c r="C60" s="9" t="s">
        <v>45</v>
      </c>
      <c r="D60" s="9"/>
      <c r="E60" s="9"/>
      <c r="F60" s="9"/>
      <c r="G60" s="9"/>
      <c r="H60" s="11"/>
    </row>
    <row r="61" spans="2:8" x14ac:dyDescent="0.2">
      <c r="B61" s="5" t="s">
        <v>47</v>
      </c>
      <c r="C61" s="12"/>
      <c r="D61" s="12"/>
      <c r="E61" s="12"/>
      <c r="F61" s="12"/>
      <c r="G61" s="12"/>
      <c r="H61" s="13"/>
    </row>
    <row r="63" spans="2:8" x14ac:dyDescent="0.2">
      <c r="E63" s="102" t="s">
        <v>477</v>
      </c>
    </row>
    <row r="64" spans="2:8" x14ac:dyDescent="0.2">
      <c r="E64" s="85" t="s">
        <v>343</v>
      </c>
    </row>
    <row r="65" spans="5:5" x14ac:dyDescent="0.2">
      <c r="E65" s="85" t="s">
        <v>346</v>
      </c>
    </row>
    <row r="66" spans="5:5" x14ac:dyDescent="0.2">
      <c r="E66" s="85" t="s">
        <v>347</v>
      </c>
    </row>
    <row r="67" spans="5:5" x14ac:dyDescent="0.2">
      <c r="E67" s="56" t="s">
        <v>252</v>
      </c>
    </row>
    <row r="69" spans="5:5" x14ac:dyDescent="0.2">
      <c r="E69" s="86" t="s">
        <v>70</v>
      </c>
    </row>
    <row r="70" spans="5:5" x14ac:dyDescent="0.2">
      <c r="E70" s="85" t="s">
        <v>353</v>
      </c>
    </row>
    <row r="71" spans="5:5" x14ac:dyDescent="0.2">
      <c r="E71" s="85" t="s">
        <v>396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9" location="Rinvoq!A1" display="Rinvoq (upadacitinib)" xr:uid="{72FB0F31-06D9-4FEB-A880-DE5C4D865704}"/>
    <hyperlink ref="B5" location="Imbruvica!A1" display="Imbruvica (ibrutinib)" xr:uid="{7FDB0815-D4AE-4D2E-8346-C8D60CD6ADD5}"/>
    <hyperlink ref="B4" location="Botox!A1" display="Botox (onabotulinumtoxinA)" xr:uid="{F1A298F7-9913-43DD-BAC4-B7C5601805BB}"/>
    <hyperlink ref="B17" location="Elahere!A1" display="Elahere (mirvetuximab soravtansine)" xr:uid="{99CBA26C-AFD6-49C3-84DC-20B5E8248965}"/>
    <hyperlink ref="B19" location="Epkinly!A1" display="Epkinly (epcoritamab)" xr:uid="{389431BE-2174-48A3-AE52-85ACFEBF6548}"/>
    <hyperlink ref="B29" location="tavapadon!A1" display="tavapadon" xr:uid="{785EEE1F-AB93-4FFE-BFFA-623807EE4D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I121"/>
  <sheetViews>
    <sheetView zoomScale="145" zoomScaleNormal="145" workbookViewId="0">
      <pane xSplit="2" ySplit="2" topLeftCell="DA41" activePane="bottomRight" state="frozen"/>
      <selection pane="topRight" activeCell="C1" sqref="C1"/>
      <selection pane="bottomLeft" activeCell="A3" sqref="A3"/>
      <selection pane="bottomRight" activeCell="DI57" sqref="DI57"/>
    </sheetView>
  </sheetViews>
  <sheetFormatPr defaultColWidth="9.140625" defaultRowHeight="12.75" x14ac:dyDescent="0.2"/>
  <cols>
    <col min="1" max="1" width="5" style="1" bestFit="1" customWidth="1"/>
    <col min="2" max="2" width="21.28515625" style="1" customWidth="1"/>
    <col min="3" max="115" width="9.140625" style="2"/>
    <col min="116" max="118" width="9.140625" style="1"/>
    <col min="119" max="119" width="7.7109375" style="1" customWidth="1"/>
    <col min="120" max="16384" width="9.140625" style="1"/>
  </cols>
  <sheetData>
    <row r="1" spans="1:121" x14ac:dyDescent="0.2">
      <c r="A1" s="20" t="s">
        <v>74</v>
      </c>
    </row>
    <row r="2" spans="1:121" x14ac:dyDescent="0.2">
      <c r="C2" s="97" t="s">
        <v>468</v>
      </c>
      <c r="D2" s="97" t="s">
        <v>469</v>
      </c>
      <c r="E2" s="97" t="s">
        <v>470</v>
      </c>
      <c r="F2" s="97" t="s">
        <v>471</v>
      </c>
      <c r="G2" s="97" t="s">
        <v>464</v>
      </c>
      <c r="H2" s="97" t="s">
        <v>465</v>
      </c>
      <c r="I2" s="97" t="s">
        <v>466</v>
      </c>
      <c r="J2" s="97" t="s">
        <v>467</v>
      </c>
      <c r="K2" s="97" t="s">
        <v>459</v>
      </c>
      <c r="L2" s="97" t="s">
        <v>460</v>
      </c>
      <c r="M2" s="97" t="s">
        <v>461</v>
      </c>
      <c r="N2" s="97" t="s">
        <v>462</v>
      </c>
      <c r="O2" s="97" t="s">
        <v>452</v>
      </c>
      <c r="P2" s="97" t="s">
        <v>453</v>
      </c>
      <c r="Q2" s="97" t="s">
        <v>454</v>
      </c>
      <c r="R2" s="97" t="s">
        <v>455</v>
      </c>
      <c r="S2" s="97" t="s">
        <v>447</v>
      </c>
      <c r="T2" s="97" t="s">
        <v>448</v>
      </c>
      <c r="U2" s="97" t="s">
        <v>449</v>
      </c>
      <c r="V2" s="97" t="s">
        <v>450</v>
      </c>
      <c r="W2" s="97" t="s">
        <v>442</v>
      </c>
      <c r="X2" s="97" t="s">
        <v>443</v>
      </c>
      <c r="Y2" s="97" t="s">
        <v>444</v>
      </c>
      <c r="Z2" s="97" t="s">
        <v>445</v>
      </c>
      <c r="AA2" s="97" t="s">
        <v>436</v>
      </c>
      <c r="AB2" s="97" t="s">
        <v>437</v>
      </c>
      <c r="AC2" s="97" t="s">
        <v>438</v>
      </c>
      <c r="AD2" s="97" t="s">
        <v>439</v>
      </c>
      <c r="AE2" s="97" t="s">
        <v>432</v>
      </c>
      <c r="AF2" s="97" t="s">
        <v>433</v>
      </c>
      <c r="AG2" s="97" t="s">
        <v>434</v>
      </c>
      <c r="AH2" s="97" t="s">
        <v>435</v>
      </c>
      <c r="AI2" s="97" t="s">
        <v>428</v>
      </c>
      <c r="AJ2" s="97" t="s">
        <v>429</v>
      </c>
      <c r="AK2" s="97" t="s">
        <v>430</v>
      </c>
      <c r="AL2" s="97" t="s">
        <v>431</v>
      </c>
      <c r="AM2" s="2" t="s">
        <v>59</v>
      </c>
      <c r="AN2" s="2" t="s">
        <v>60</v>
      </c>
      <c r="AO2" s="2" t="s">
        <v>61</v>
      </c>
      <c r="AP2" s="2" t="s">
        <v>62</v>
      </c>
      <c r="AQ2" s="2" t="s">
        <v>1</v>
      </c>
      <c r="AR2" s="2" t="s">
        <v>58</v>
      </c>
      <c r="AS2" s="2" t="s">
        <v>57</v>
      </c>
      <c r="AT2" s="2" t="s">
        <v>78</v>
      </c>
      <c r="AU2" s="2" t="s">
        <v>79</v>
      </c>
      <c r="AV2" s="2" t="s">
        <v>71</v>
      </c>
      <c r="AW2" s="2" t="s">
        <v>80</v>
      </c>
      <c r="AX2" s="2" t="s">
        <v>81</v>
      </c>
      <c r="AY2" s="2" t="s">
        <v>82</v>
      </c>
      <c r="AZ2" s="2" t="s">
        <v>83</v>
      </c>
      <c r="BA2" s="2" t="s">
        <v>84</v>
      </c>
      <c r="BB2" s="2" t="s">
        <v>85</v>
      </c>
      <c r="BC2" s="22" t="s">
        <v>86</v>
      </c>
      <c r="BD2" s="22" t="s">
        <v>87</v>
      </c>
      <c r="BE2" s="22" t="s">
        <v>88</v>
      </c>
      <c r="BF2" s="22" t="s">
        <v>89</v>
      </c>
      <c r="BG2" s="22" t="s">
        <v>90</v>
      </c>
      <c r="BH2" s="22" t="s">
        <v>91</v>
      </c>
      <c r="BI2" s="22" t="s">
        <v>92</v>
      </c>
      <c r="BJ2" s="22" t="s">
        <v>93</v>
      </c>
      <c r="BK2" s="22" t="s">
        <v>94</v>
      </c>
      <c r="BL2" s="22" t="s">
        <v>95</v>
      </c>
      <c r="BM2" s="22" t="s">
        <v>96</v>
      </c>
      <c r="BN2" s="22" t="s">
        <v>97</v>
      </c>
      <c r="BO2" s="22" t="s">
        <v>98</v>
      </c>
      <c r="BP2" s="22" t="s">
        <v>99</v>
      </c>
      <c r="BQ2" s="22" t="s">
        <v>100</v>
      </c>
      <c r="BR2" s="22" t="s">
        <v>101</v>
      </c>
      <c r="BS2" s="22" t="s">
        <v>102</v>
      </c>
      <c r="BT2" s="22" t="s">
        <v>103</v>
      </c>
      <c r="BU2" s="22" t="s">
        <v>104</v>
      </c>
      <c r="BV2" s="22" t="s">
        <v>105</v>
      </c>
      <c r="BW2" s="22" t="s">
        <v>106</v>
      </c>
      <c r="BX2" s="22" t="s">
        <v>107</v>
      </c>
      <c r="BY2" s="22" t="s">
        <v>108</v>
      </c>
      <c r="BZ2" s="22" t="s">
        <v>109</v>
      </c>
      <c r="CA2" s="22" t="s">
        <v>110</v>
      </c>
      <c r="CB2" s="22" t="s">
        <v>111</v>
      </c>
      <c r="CC2" s="22" t="s">
        <v>112</v>
      </c>
      <c r="CD2" s="22" t="s">
        <v>113</v>
      </c>
      <c r="CE2" s="44" t="s">
        <v>235</v>
      </c>
      <c r="CF2" s="44" t="s">
        <v>236</v>
      </c>
      <c r="CG2" s="44" t="s">
        <v>237</v>
      </c>
      <c r="CH2" s="44" t="s">
        <v>238</v>
      </c>
      <c r="CI2" s="78" t="s">
        <v>327</v>
      </c>
      <c r="CJ2" s="78" t="s">
        <v>328</v>
      </c>
      <c r="CK2" s="78" t="s">
        <v>330</v>
      </c>
      <c r="CL2" s="78" t="s">
        <v>329</v>
      </c>
      <c r="CM2" s="101" t="s">
        <v>473</v>
      </c>
      <c r="CN2" s="101" t="s">
        <v>474</v>
      </c>
      <c r="CO2" s="101" t="s">
        <v>475</v>
      </c>
      <c r="CP2" s="101" t="s">
        <v>476</v>
      </c>
      <c r="CQ2" s="44"/>
      <c r="CR2" s="44"/>
      <c r="CS2" s="2">
        <v>2011</v>
      </c>
      <c r="CT2" s="2">
        <v>2012</v>
      </c>
      <c r="CU2" s="2">
        <v>2013</v>
      </c>
      <c r="CV2" s="2">
        <f>+CU2+1</f>
        <v>2014</v>
      </c>
      <c r="CW2" s="2">
        <f t="shared" ref="CW2:DK2" si="0">+CV2+1</f>
        <v>2015</v>
      </c>
      <c r="CX2" s="2">
        <f t="shared" si="0"/>
        <v>2016</v>
      </c>
      <c r="CY2" s="2">
        <f t="shared" si="0"/>
        <v>2017</v>
      </c>
      <c r="CZ2" s="2">
        <f t="shared" si="0"/>
        <v>2018</v>
      </c>
      <c r="DA2" s="2">
        <f t="shared" si="0"/>
        <v>2019</v>
      </c>
      <c r="DB2" s="2">
        <f t="shared" si="0"/>
        <v>2020</v>
      </c>
      <c r="DC2" s="2">
        <f t="shared" si="0"/>
        <v>2021</v>
      </c>
      <c r="DD2" s="2">
        <f t="shared" si="0"/>
        <v>2022</v>
      </c>
      <c r="DE2" s="2">
        <f t="shared" si="0"/>
        <v>2023</v>
      </c>
      <c r="DF2" s="2">
        <f t="shared" si="0"/>
        <v>2024</v>
      </c>
      <c r="DG2" s="2">
        <f t="shared" si="0"/>
        <v>2025</v>
      </c>
      <c r="DH2" s="2">
        <f t="shared" si="0"/>
        <v>2026</v>
      </c>
      <c r="DI2" s="2">
        <f t="shared" si="0"/>
        <v>2027</v>
      </c>
      <c r="DJ2" s="2">
        <f t="shared" si="0"/>
        <v>2028</v>
      </c>
      <c r="DK2" s="2">
        <f t="shared" si="0"/>
        <v>2029</v>
      </c>
      <c r="DL2" s="1">
        <f>+DK2+1</f>
        <v>2030</v>
      </c>
      <c r="DM2" s="1">
        <f>+DL2+1</f>
        <v>2031</v>
      </c>
      <c r="DN2" s="1">
        <f>+DM2+1</f>
        <v>2032</v>
      </c>
      <c r="DO2" s="1">
        <f>+DN2+1</f>
        <v>2033</v>
      </c>
      <c r="DP2" s="1">
        <f>+DO2+1</f>
        <v>2034</v>
      </c>
      <c r="DQ2" s="1">
        <f>+DP2+1</f>
        <v>2035</v>
      </c>
    </row>
    <row r="3" spans="1:121" x14ac:dyDescent="0.2">
      <c r="B3" s="55" t="s">
        <v>250</v>
      </c>
      <c r="BC3" s="22"/>
      <c r="BD3" s="71">
        <f t="shared" ref="BD3:BJ3" si="1">+BD5+BD8+BD12</f>
        <v>4149</v>
      </c>
      <c r="BE3" s="71">
        <f t="shared" si="1"/>
        <v>4060</v>
      </c>
      <c r="BF3" s="71">
        <f t="shared" si="1"/>
        <v>4292</v>
      </c>
      <c r="BG3" s="71">
        <f t="shared" si="1"/>
        <v>4118</v>
      </c>
      <c r="BH3" s="71">
        <f t="shared" si="1"/>
        <v>4716</v>
      </c>
      <c r="BI3" s="71">
        <f t="shared" si="1"/>
        <v>4701</v>
      </c>
      <c r="BJ3" s="71">
        <f t="shared" si="1"/>
        <v>4892</v>
      </c>
      <c r="BK3" s="71">
        <f t="shared" ref="BK3:BP3" si="2">+BK5+BK8+BK12</f>
        <v>4709</v>
      </c>
      <c r="BL3" s="71">
        <f t="shared" si="2"/>
        <v>5185</v>
      </c>
      <c r="BM3" s="71">
        <f t="shared" si="2"/>
        <v>5124</v>
      </c>
      <c r="BN3" s="71">
        <f t="shared" si="2"/>
        <v>4918</v>
      </c>
      <c r="BO3" s="71">
        <f t="shared" si="2"/>
        <v>4446</v>
      </c>
      <c r="BP3" s="71">
        <f t="shared" si="2"/>
        <v>4918</v>
      </c>
      <c r="BQ3" s="71">
        <f t="shared" ref="BQ3:BV3" si="3">+BQ5+BQ8+BQ12</f>
        <v>5041</v>
      </c>
      <c r="BR3" s="71">
        <f t="shared" si="3"/>
        <v>5166</v>
      </c>
      <c r="BS3" s="71">
        <f t="shared" si="3"/>
        <v>5089</v>
      </c>
      <c r="BT3" s="71">
        <f t="shared" si="3"/>
        <v>5316</v>
      </c>
      <c r="BU3" s="71">
        <f t="shared" si="3"/>
        <v>5790</v>
      </c>
      <c r="BV3" s="71">
        <f t="shared" si="3"/>
        <v>5958</v>
      </c>
      <c r="BW3" s="71">
        <f t="shared" ref="BW3:CC3" si="4">+BW5+BW8+BW12</f>
        <v>5744</v>
      </c>
      <c r="BX3" s="71">
        <f t="shared" si="4"/>
        <v>6120</v>
      </c>
      <c r="BY3" s="71">
        <f t="shared" si="4"/>
        <v>6674</v>
      </c>
      <c r="BZ3" s="71">
        <f t="shared" si="4"/>
        <v>6746</v>
      </c>
      <c r="CA3" s="71">
        <f t="shared" si="4"/>
        <v>6141</v>
      </c>
      <c r="CB3" s="71">
        <f t="shared" si="4"/>
        <v>7207</v>
      </c>
      <c r="CC3" s="71">
        <f t="shared" si="4"/>
        <v>7651</v>
      </c>
      <c r="CD3" s="71">
        <f t="shared" ref="CD3:CL3" si="5">+CD5+CD8+CD12</f>
        <v>7925</v>
      </c>
      <c r="CE3" s="71">
        <f t="shared" si="5"/>
        <v>5587</v>
      </c>
      <c r="CF3" s="71">
        <f t="shared" si="5"/>
        <v>6813</v>
      </c>
      <c r="CG3" s="71">
        <f t="shared" si="5"/>
        <v>6783</v>
      </c>
      <c r="CH3" s="71">
        <f t="shared" si="5"/>
        <v>6953</v>
      </c>
      <c r="CI3" s="71">
        <f t="shared" si="5"/>
        <v>5371</v>
      </c>
      <c r="CJ3" s="71">
        <f t="shared" si="5"/>
        <v>6971</v>
      </c>
      <c r="CK3" s="71">
        <f t="shared" si="5"/>
        <v>7046</v>
      </c>
      <c r="CL3" s="71">
        <f t="shared" si="5"/>
        <v>6361.2</v>
      </c>
      <c r="CM3" s="71"/>
      <c r="CN3" s="71"/>
      <c r="CO3" s="71"/>
      <c r="CP3" s="71"/>
      <c r="CQ3" s="44"/>
      <c r="CR3" s="44"/>
      <c r="CZ3" s="16">
        <f>+CZ5+CZ8+CZ12</f>
        <v>19936</v>
      </c>
      <c r="DA3" s="16">
        <f>+DA5+DA8+DA12</f>
        <v>19571</v>
      </c>
      <c r="DB3" s="16">
        <f>+DB5+DB8+DB12</f>
        <v>22153</v>
      </c>
      <c r="DC3" s="16">
        <f t="shared" ref="DC3:DL3" si="6">+DC5+DC8+DC12</f>
        <v>25284</v>
      </c>
      <c r="DD3" s="16">
        <f t="shared" si="6"/>
        <v>28924</v>
      </c>
      <c r="DE3" s="16">
        <f t="shared" si="6"/>
        <v>26136</v>
      </c>
      <c r="DF3" s="16">
        <f t="shared" si="6"/>
        <v>25749.199999999997</v>
      </c>
      <c r="DG3" s="16">
        <f t="shared" si="6"/>
        <v>28232.989999999998</v>
      </c>
      <c r="DH3" s="16">
        <f t="shared" si="6"/>
        <v>27156.245900000002</v>
      </c>
      <c r="DI3" s="16">
        <f t="shared" si="6"/>
        <v>26431.946237</v>
      </c>
      <c r="DJ3" s="16">
        <f t="shared" si="6"/>
        <v>24387.815472110004</v>
      </c>
      <c r="DK3" s="16">
        <f t="shared" si="6"/>
        <v>23700.9053602733</v>
      </c>
      <c r="DL3" s="16">
        <f t="shared" si="6"/>
        <v>17618.801483895844</v>
      </c>
    </row>
    <row r="4" spans="1:121" x14ac:dyDescent="0.2"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</row>
    <row r="5" spans="1:121" s="15" customFormat="1" x14ac:dyDescent="0.2">
      <c r="B5" s="15" t="s">
        <v>0</v>
      </c>
      <c r="C5" s="16">
        <v>30</v>
      </c>
      <c r="D5" s="16">
        <v>60</v>
      </c>
      <c r="E5" s="16">
        <v>80</v>
      </c>
      <c r="F5" s="16">
        <v>110</v>
      </c>
      <c r="G5" s="16">
        <v>149</v>
      </c>
      <c r="H5" s="16">
        <f>579-I5-G5</f>
        <v>203</v>
      </c>
      <c r="I5" s="16">
        <v>227</v>
      </c>
      <c r="J5" s="16">
        <v>273</v>
      </c>
      <c r="K5" s="16">
        <v>282</v>
      </c>
      <c r="L5" s="16">
        <v>321</v>
      </c>
      <c r="M5" s="16">
        <f>1400-N5-L5-K5</f>
        <v>356</v>
      </c>
      <c r="N5" s="16">
        <v>441</v>
      </c>
      <c r="O5" s="16">
        <v>392</v>
      </c>
      <c r="P5" s="16">
        <f>1424-Q5-O5</f>
        <v>491</v>
      </c>
      <c r="Q5" s="16">
        <v>541</v>
      </c>
      <c r="R5" s="16">
        <v>620</v>
      </c>
      <c r="S5" s="16">
        <v>571</v>
      </c>
      <c r="T5" s="16">
        <v>735</v>
      </c>
      <c r="U5" s="16">
        <v>803</v>
      </c>
      <c r="V5" s="16">
        <v>954</v>
      </c>
      <c r="W5" s="16">
        <v>878</v>
      </c>
      <c r="X5" s="16">
        <v>1089</v>
      </c>
      <c r="Y5" s="16">
        <v>1204</v>
      </c>
      <c r="Z5" s="16">
        <v>1351</v>
      </c>
      <c r="AA5" s="16">
        <f>2335-AB5</f>
        <v>1024</v>
      </c>
      <c r="AB5" s="16">
        <v>1311</v>
      </c>
      <c r="AC5" s="16">
        <v>1491</v>
      </c>
      <c r="AD5" s="16">
        <v>1662</v>
      </c>
      <c r="AE5" s="16">
        <v>1397</v>
      </c>
      <c r="AF5" s="16">
        <v>1593</v>
      </c>
      <c r="AG5" s="16">
        <v>1679</v>
      </c>
      <c r="AH5" s="16">
        <v>1879</v>
      </c>
      <c r="AI5" s="16">
        <v>1646</v>
      </c>
      <c r="AJ5" s="16">
        <v>1997</v>
      </c>
      <c r="AK5" s="16">
        <f>7932-AL5-AI5-AJ5</f>
        <v>2111</v>
      </c>
      <c r="AL5" s="16">
        <v>2178</v>
      </c>
      <c r="AM5" s="16">
        <v>1934</v>
      </c>
      <c r="AN5" s="16">
        <v>2326</v>
      </c>
      <c r="AO5" s="16">
        <v>2325</v>
      </c>
      <c r="AP5" s="16">
        <v>2681</v>
      </c>
      <c r="AQ5" s="16">
        <v>2244</v>
      </c>
      <c r="AR5" s="16">
        <v>2606</v>
      </c>
      <c r="AS5" s="16">
        <v>2770</v>
      </c>
      <c r="AT5" s="16">
        <v>3039</v>
      </c>
      <c r="AU5" s="16">
        <v>2637</v>
      </c>
      <c r="AV5" s="16">
        <v>3288</v>
      </c>
      <c r="AW5" s="16">
        <v>3255</v>
      </c>
      <c r="AX5" s="16">
        <v>3363</v>
      </c>
      <c r="AY5" s="16">
        <v>3111</v>
      </c>
      <c r="AZ5" s="16">
        <v>3537</v>
      </c>
      <c r="BA5" s="16">
        <v>3647</v>
      </c>
      <c r="BB5" s="16">
        <v>3717</v>
      </c>
      <c r="BC5" s="16">
        <v>3577</v>
      </c>
      <c r="BD5" s="16">
        <v>4149</v>
      </c>
      <c r="BE5" s="16">
        <v>4060</v>
      </c>
      <c r="BF5" s="16">
        <v>4292</v>
      </c>
      <c r="BG5" s="16">
        <v>4118</v>
      </c>
      <c r="BH5" s="16">
        <v>4716</v>
      </c>
      <c r="BI5" s="16">
        <v>4701</v>
      </c>
      <c r="BJ5" s="16">
        <v>4892</v>
      </c>
      <c r="BK5" s="16">
        <v>4709</v>
      </c>
      <c r="BL5" s="16">
        <v>5185</v>
      </c>
      <c r="BM5" s="16">
        <v>5124</v>
      </c>
      <c r="BN5" s="16">
        <v>4918</v>
      </c>
      <c r="BO5" s="16">
        <v>4446</v>
      </c>
      <c r="BP5" s="16">
        <v>4870</v>
      </c>
      <c r="BQ5" s="16">
        <v>4936</v>
      </c>
      <c r="BR5" s="16">
        <v>4917</v>
      </c>
      <c r="BS5" s="16">
        <v>4703</v>
      </c>
      <c r="BT5" s="16">
        <v>4837</v>
      </c>
      <c r="BU5" s="16">
        <v>5140</v>
      </c>
      <c r="BV5" s="16">
        <v>5152</v>
      </c>
      <c r="BW5" s="16">
        <v>4867</v>
      </c>
      <c r="BX5" s="16">
        <v>5068</v>
      </c>
      <c r="BY5" s="16">
        <v>5425</v>
      </c>
      <c r="BZ5" s="16">
        <v>5334</v>
      </c>
      <c r="CA5" s="16">
        <v>4736</v>
      </c>
      <c r="CB5" s="16">
        <v>5363</v>
      </c>
      <c r="CC5" s="16">
        <v>5559</v>
      </c>
      <c r="CD5" s="16">
        <v>5579</v>
      </c>
      <c r="CE5" s="16">
        <v>3541</v>
      </c>
      <c r="CF5" s="16">
        <v>4012</v>
      </c>
      <c r="CG5" s="16">
        <v>3547</v>
      </c>
      <c r="CH5" s="16">
        <v>3304</v>
      </c>
      <c r="CI5" s="16">
        <v>2270</v>
      </c>
      <c r="CJ5" s="16">
        <v>2814</v>
      </c>
      <c r="CK5" s="16">
        <v>2227</v>
      </c>
      <c r="CL5" s="16">
        <f>+CH5*0.6</f>
        <v>1982.3999999999999</v>
      </c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>
        <f>SUM(BK5:BN5)</f>
        <v>19936</v>
      </c>
      <c r="DA5" s="16">
        <f>SUM(BO5:BR5)</f>
        <v>19169</v>
      </c>
      <c r="DB5" s="16">
        <f>SUM(BS5:BV5)</f>
        <v>19832</v>
      </c>
      <c r="DC5" s="16">
        <f>SUM(BW5:BZ5)</f>
        <v>20694</v>
      </c>
      <c r="DD5" s="16">
        <f>SUM(CA5:CD5)</f>
        <v>21237</v>
      </c>
      <c r="DE5" s="16">
        <f>SUM(CE5:CH5)</f>
        <v>14404</v>
      </c>
      <c r="DF5" s="16">
        <f>SUM(CI5:CL5)</f>
        <v>9293.4</v>
      </c>
      <c r="DG5" s="16">
        <f>+DF5*0.9</f>
        <v>8364.06</v>
      </c>
      <c r="DH5" s="16">
        <f>+DG5*0.8</f>
        <v>6691.2479999999996</v>
      </c>
      <c r="DI5" s="16">
        <f>+DH5*0.8</f>
        <v>5352.9984000000004</v>
      </c>
      <c r="DJ5" s="16">
        <f t="shared" ref="DJ5:DL5" si="7">+DI5*0.5</f>
        <v>2676.4992000000002</v>
      </c>
      <c r="DK5" s="16">
        <f t="shared" si="7"/>
        <v>1338.2496000000001</v>
      </c>
      <c r="DL5" s="16">
        <f t="shared" si="7"/>
        <v>669.12480000000005</v>
      </c>
    </row>
    <row r="6" spans="1:121" s="15" customFormat="1" x14ac:dyDescent="0.2">
      <c r="B6" s="23" t="s">
        <v>123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95" t="s">
        <v>203</v>
      </c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47" t="s">
        <v>230</v>
      </c>
      <c r="BU6" s="42" t="s">
        <v>201</v>
      </c>
      <c r="BV6" s="28" t="s">
        <v>159</v>
      </c>
      <c r="BW6" s="28" t="s">
        <v>154</v>
      </c>
      <c r="BX6" s="28" t="s">
        <v>153</v>
      </c>
      <c r="BY6" s="28" t="s">
        <v>152</v>
      </c>
      <c r="BZ6" s="28" t="s">
        <v>151</v>
      </c>
      <c r="CA6" s="24" t="s">
        <v>122</v>
      </c>
      <c r="CB6" s="42" t="s">
        <v>202</v>
      </c>
      <c r="CC6" s="52" t="s">
        <v>248</v>
      </c>
      <c r="CD6" s="72" t="s">
        <v>323</v>
      </c>
      <c r="CE6" s="73" t="s">
        <v>324</v>
      </c>
      <c r="CF6" s="82" t="s">
        <v>335</v>
      </c>
      <c r="CG6" s="82" t="s">
        <v>334</v>
      </c>
      <c r="CH6" s="82" t="s">
        <v>340</v>
      </c>
      <c r="CI6" s="80" t="s">
        <v>333</v>
      </c>
      <c r="CJ6" s="90" t="s">
        <v>398</v>
      </c>
      <c r="CK6" s="100" t="s">
        <v>472</v>
      </c>
      <c r="CL6" s="82" t="s">
        <v>341</v>
      </c>
      <c r="CM6" s="82"/>
      <c r="CN6" s="82"/>
      <c r="CO6" s="82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>
        <f t="shared" ref="CZ6:CZ57" si="8">SUM(BK6:BN6)</f>
        <v>0</v>
      </c>
      <c r="DA6" s="16">
        <f t="shared" ref="DA6:DA51" si="9">SUM(BO6:BR6)</f>
        <v>0</v>
      </c>
      <c r="DB6" s="47" t="s">
        <v>239</v>
      </c>
      <c r="DC6" s="47" t="s">
        <v>240</v>
      </c>
      <c r="DD6" s="47" t="s">
        <v>241</v>
      </c>
      <c r="DE6" s="82" t="s">
        <v>342</v>
      </c>
      <c r="DF6" s="16"/>
      <c r="DG6" s="16"/>
      <c r="DH6" s="16"/>
      <c r="DI6" s="16"/>
      <c r="DJ6" s="16"/>
      <c r="DK6" s="16"/>
    </row>
    <row r="7" spans="1:121" s="15" customFormat="1" x14ac:dyDescent="0.2">
      <c r="B7" s="23" t="s">
        <v>116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95" t="s">
        <v>203</v>
      </c>
      <c r="AR7" s="16"/>
      <c r="AS7" s="16"/>
      <c r="AT7" s="16"/>
      <c r="AU7" s="16"/>
      <c r="AV7" s="16"/>
      <c r="AW7" s="16"/>
      <c r="AX7" s="16"/>
      <c r="AY7" s="16"/>
      <c r="AZ7" s="16">
        <v>107</v>
      </c>
      <c r="BA7" s="16">
        <v>304</v>
      </c>
      <c r="BB7" s="16">
        <v>343</v>
      </c>
      <c r="BC7" s="16">
        <v>381</v>
      </c>
      <c r="BD7" s="16">
        <v>439</v>
      </c>
      <c r="BE7" s="16">
        <v>501</v>
      </c>
      <c r="BF7" s="16">
        <v>511</v>
      </c>
      <c r="BG7" s="16">
        <v>551</v>
      </c>
      <c r="BH7" s="16">
        <v>626</v>
      </c>
      <c r="BI7" s="16">
        <v>688</v>
      </c>
      <c r="BJ7" s="16">
        <v>708</v>
      </c>
      <c r="BK7" s="16">
        <v>762</v>
      </c>
      <c r="BL7" s="16">
        <v>850</v>
      </c>
      <c r="BM7" s="16">
        <v>972</v>
      </c>
      <c r="BN7" s="16">
        <v>1006</v>
      </c>
      <c r="BO7" s="16">
        <v>1022</v>
      </c>
      <c r="BP7" s="16">
        <v>1099</v>
      </c>
      <c r="BQ7" s="16">
        <v>1257</v>
      </c>
      <c r="BR7" s="16">
        <v>1296</v>
      </c>
      <c r="BS7" s="16">
        <v>1232</v>
      </c>
      <c r="BT7" s="16">
        <v>1288</v>
      </c>
      <c r="BU7" s="16">
        <v>1370</v>
      </c>
      <c r="BV7" s="16">
        <v>1424</v>
      </c>
      <c r="BW7" s="16">
        <v>1268</v>
      </c>
      <c r="BX7" s="16">
        <v>1381</v>
      </c>
      <c r="BY7" s="16">
        <v>1374</v>
      </c>
      <c r="BZ7" s="16">
        <v>1385</v>
      </c>
      <c r="CA7" s="16">
        <v>1173</v>
      </c>
      <c r="CB7" s="16">
        <v>1145</v>
      </c>
      <c r="CC7" s="16">
        <v>1135</v>
      </c>
      <c r="CD7" s="16">
        <v>1115</v>
      </c>
      <c r="CE7" s="16">
        <v>878</v>
      </c>
      <c r="CF7" s="16">
        <v>907</v>
      </c>
      <c r="CG7" s="16">
        <v>908</v>
      </c>
      <c r="CH7" s="16">
        <v>903</v>
      </c>
      <c r="CI7" s="16">
        <v>838</v>
      </c>
      <c r="CJ7" s="16">
        <v>833</v>
      </c>
      <c r="CK7" s="16">
        <v>828</v>
      </c>
      <c r="CL7" s="16">
        <f>+CH7*0.95</f>
        <v>857.84999999999991</v>
      </c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>
        <f t="shared" si="8"/>
        <v>3590</v>
      </c>
      <c r="DA7" s="16">
        <f t="shared" si="9"/>
        <v>4674</v>
      </c>
      <c r="DB7" s="16">
        <f t="shared" ref="DB7:DB51" si="10">SUM(BS7:BV7)</f>
        <v>5314</v>
      </c>
      <c r="DC7" s="16">
        <f t="shared" ref="DC7:DC52" si="11">SUM(BW7:BZ7)</f>
        <v>5408</v>
      </c>
      <c r="DD7" s="16">
        <f t="shared" ref="DD7:DD52" si="12">SUM(CA7:CD7)</f>
        <v>4568</v>
      </c>
      <c r="DE7" s="16">
        <f t="shared" ref="DE7:DE26" si="13">SUM(CE7:CH7)</f>
        <v>3596</v>
      </c>
      <c r="DF7" s="16">
        <f t="shared" ref="DF7:DF29" si="14">SUM(CI7:CL7)</f>
        <v>3356.85</v>
      </c>
      <c r="DG7" s="16">
        <f t="shared" ref="DG7:DL7" si="15">+DF7*0.9</f>
        <v>3021.165</v>
      </c>
      <c r="DH7" s="16">
        <f t="shared" si="15"/>
        <v>2719.0484999999999</v>
      </c>
      <c r="DI7" s="16">
        <f t="shared" si="15"/>
        <v>2447.14365</v>
      </c>
      <c r="DJ7" s="16">
        <f t="shared" si="15"/>
        <v>2202.4292850000002</v>
      </c>
      <c r="DK7" s="16">
        <f t="shared" si="15"/>
        <v>1982.1863565000001</v>
      </c>
      <c r="DL7" s="16">
        <f t="shared" si="15"/>
        <v>1783.9677208500002</v>
      </c>
    </row>
    <row r="8" spans="1:121" s="15" customFormat="1" x14ac:dyDescent="0.2">
      <c r="B8" s="23" t="s">
        <v>114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9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16">
        <v>48</v>
      </c>
      <c r="BQ8" s="16">
        <v>91</v>
      </c>
      <c r="BR8" s="16">
        <v>216</v>
      </c>
      <c r="BS8" s="16">
        <v>300</v>
      </c>
      <c r="BT8" s="16">
        <v>330</v>
      </c>
      <c r="BU8" s="16">
        <v>435</v>
      </c>
      <c r="BV8" s="16">
        <v>525</v>
      </c>
      <c r="BW8" s="16">
        <v>574</v>
      </c>
      <c r="BX8" s="16">
        <v>674</v>
      </c>
      <c r="BY8" s="16">
        <v>796</v>
      </c>
      <c r="BZ8" s="16">
        <v>895</v>
      </c>
      <c r="CA8" s="16">
        <v>940</v>
      </c>
      <c r="CB8" s="16">
        <v>1252</v>
      </c>
      <c r="CC8" s="16">
        <v>1397</v>
      </c>
      <c r="CD8" s="16">
        <v>1576</v>
      </c>
      <c r="CE8" s="16">
        <v>1360</v>
      </c>
      <c r="CF8" s="16">
        <v>1883</v>
      </c>
      <c r="CG8" s="16">
        <v>2126</v>
      </c>
      <c r="CH8" s="16">
        <v>2394</v>
      </c>
      <c r="CI8" s="16">
        <v>2008</v>
      </c>
      <c r="CJ8" s="16">
        <v>2727</v>
      </c>
      <c r="CK8" s="16">
        <v>3205</v>
      </c>
      <c r="CL8" s="16">
        <f>+CH8*1.2</f>
        <v>2872.7999999999997</v>
      </c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>
        <f t="shared" si="8"/>
        <v>0</v>
      </c>
      <c r="DA8" s="16">
        <f t="shared" si="9"/>
        <v>355</v>
      </c>
      <c r="DB8" s="16">
        <f t="shared" si="10"/>
        <v>1590</v>
      </c>
      <c r="DC8" s="16">
        <f t="shared" si="11"/>
        <v>2939</v>
      </c>
      <c r="DD8" s="16">
        <f t="shared" si="12"/>
        <v>5165</v>
      </c>
      <c r="DE8" s="16">
        <f t="shared" si="13"/>
        <v>7763</v>
      </c>
      <c r="DF8" s="16">
        <f t="shared" si="14"/>
        <v>10812.8</v>
      </c>
      <c r="DG8" s="16">
        <f>+DF8*1.3</f>
        <v>14056.64</v>
      </c>
      <c r="DH8" s="16">
        <f>+DG8*1.03</f>
        <v>14478.3392</v>
      </c>
      <c r="DI8" s="16">
        <f t="shared" ref="DI8:DL8" si="16">+DH8*1.03</f>
        <v>14912.689376</v>
      </c>
      <c r="DJ8" s="16">
        <f t="shared" si="16"/>
        <v>15360.070057280001</v>
      </c>
      <c r="DK8" s="16">
        <f t="shared" si="16"/>
        <v>15820.872158998402</v>
      </c>
      <c r="DL8" s="16">
        <f t="shared" si="16"/>
        <v>16295.498323768354</v>
      </c>
    </row>
    <row r="9" spans="1:121" s="15" customFormat="1" x14ac:dyDescent="0.2">
      <c r="B9" s="23" t="s">
        <v>118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95" t="s">
        <v>203</v>
      </c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226</v>
      </c>
      <c r="BU9" s="16">
        <v>393</v>
      </c>
      <c r="BV9" s="16">
        <v>493</v>
      </c>
      <c r="BW9" s="16">
        <v>477</v>
      </c>
      <c r="BX9" s="16">
        <v>584</v>
      </c>
      <c r="BY9" s="16">
        <v>545</v>
      </c>
      <c r="BZ9" s="16">
        <v>626</v>
      </c>
      <c r="CA9" s="16">
        <v>641</v>
      </c>
      <c r="CB9" s="16">
        <v>695</v>
      </c>
      <c r="CC9" s="16">
        <v>637</v>
      </c>
      <c r="CD9" s="16">
        <v>642</v>
      </c>
      <c r="CE9" s="16">
        <v>659</v>
      </c>
      <c r="CF9" s="16">
        <v>685</v>
      </c>
      <c r="CG9" s="16">
        <v>620</v>
      </c>
      <c r="CH9" s="16">
        <f>2682-CG9-CF9-CE9</f>
        <v>718</v>
      </c>
      <c r="CI9" s="16">
        <v>633</v>
      </c>
      <c r="CJ9" s="16">
        <v>729</v>
      </c>
      <c r="CK9" s="16">
        <v>671</v>
      </c>
      <c r="CL9" s="16">
        <f>+CH9*0.97</f>
        <v>696.46</v>
      </c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>
        <f t="shared" si="8"/>
        <v>0</v>
      </c>
      <c r="DA9" s="16">
        <f t="shared" si="9"/>
        <v>0</v>
      </c>
      <c r="DB9" s="16">
        <f t="shared" si="10"/>
        <v>1112</v>
      </c>
      <c r="DC9" s="16">
        <f t="shared" si="11"/>
        <v>2232</v>
      </c>
      <c r="DD9" s="16">
        <f t="shared" si="12"/>
        <v>2615</v>
      </c>
      <c r="DE9" s="16">
        <f t="shared" si="13"/>
        <v>2682</v>
      </c>
      <c r="DF9" s="16">
        <f t="shared" si="14"/>
        <v>2729.46</v>
      </c>
      <c r="DG9" s="16">
        <f t="shared" ref="DG9:DL9" si="17">+DF9*1.05</f>
        <v>2865.933</v>
      </c>
      <c r="DH9" s="16">
        <f t="shared" si="17"/>
        <v>3009.2296500000002</v>
      </c>
      <c r="DI9" s="16">
        <f t="shared" si="17"/>
        <v>3159.6911325000005</v>
      </c>
      <c r="DJ9" s="16">
        <f t="shared" si="17"/>
        <v>3317.6756891250006</v>
      </c>
      <c r="DK9" s="16">
        <f t="shared" si="17"/>
        <v>3483.559473581251</v>
      </c>
      <c r="DL9" s="16">
        <f t="shared" si="17"/>
        <v>3657.7374472603137</v>
      </c>
    </row>
    <row r="10" spans="1:121" s="15" customFormat="1" x14ac:dyDescent="0.2">
      <c r="B10" s="23" t="s">
        <v>121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95" t="s">
        <v>203</v>
      </c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297</v>
      </c>
      <c r="BU10" s="16">
        <v>523</v>
      </c>
      <c r="BV10" s="16">
        <v>567</v>
      </c>
      <c r="BW10" s="16">
        <v>532</v>
      </c>
      <c r="BX10" s="16">
        <v>603</v>
      </c>
      <c r="BY10" s="16">
        <v>645</v>
      </c>
      <c r="BZ10" s="16">
        <v>671</v>
      </c>
      <c r="CA10" s="16">
        <v>614</v>
      </c>
      <c r="CB10" s="16">
        <v>678</v>
      </c>
      <c r="CC10" s="16">
        <v>699</v>
      </c>
      <c r="CD10" s="16">
        <v>728</v>
      </c>
      <c r="CE10" s="16">
        <v>719</v>
      </c>
      <c r="CF10" s="16">
        <v>748</v>
      </c>
      <c r="CG10" s="16">
        <v>748</v>
      </c>
      <c r="CH10" s="16">
        <f>2991-CG10-CF10-CE10</f>
        <v>776</v>
      </c>
      <c r="CI10" s="16">
        <v>748</v>
      </c>
      <c r="CJ10" s="16">
        <v>814</v>
      </c>
      <c r="CK10" s="16">
        <v>848</v>
      </c>
      <c r="CL10" s="16">
        <f>+CH10*1.03</f>
        <v>799.28</v>
      </c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>
        <f t="shared" si="8"/>
        <v>0</v>
      </c>
      <c r="DA10" s="16">
        <f t="shared" si="9"/>
        <v>0</v>
      </c>
      <c r="DB10" s="16">
        <f t="shared" si="10"/>
        <v>1387</v>
      </c>
      <c r="DC10" s="16">
        <f t="shared" si="11"/>
        <v>2451</v>
      </c>
      <c r="DD10" s="16">
        <f t="shared" si="12"/>
        <v>2719</v>
      </c>
      <c r="DE10" s="16">
        <f t="shared" si="13"/>
        <v>2991</v>
      </c>
      <c r="DF10" s="16">
        <f t="shared" si="14"/>
        <v>3209.2799999999997</v>
      </c>
      <c r="DG10" s="16">
        <f t="shared" ref="DG10:DL10" si="18">+DF10*1.05</f>
        <v>3369.7439999999997</v>
      </c>
      <c r="DH10" s="16">
        <f t="shared" si="18"/>
        <v>3538.2311999999997</v>
      </c>
      <c r="DI10" s="16">
        <f t="shared" si="18"/>
        <v>3715.1427599999997</v>
      </c>
      <c r="DJ10" s="16">
        <f t="shared" si="18"/>
        <v>3900.8998979999997</v>
      </c>
      <c r="DK10" s="16">
        <f t="shared" si="18"/>
        <v>4095.9448929</v>
      </c>
      <c r="DL10" s="16">
        <f t="shared" si="18"/>
        <v>4300.7421375450003</v>
      </c>
    </row>
    <row r="11" spans="1:121" s="15" customFormat="1" x14ac:dyDescent="0.2">
      <c r="B11" s="76" t="s">
        <v>117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>
        <v>96</v>
      </c>
      <c r="BN11" s="16">
        <v>124</v>
      </c>
      <c r="BO11" s="16">
        <v>151</v>
      </c>
      <c r="BP11" s="16">
        <v>169</v>
      </c>
      <c r="BQ11" s="16">
        <v>221</v>
      </c>
      <c r="BR11" s="16">
        <v>251</v>
      </c>
      <c r="BS11" s="16">
        <v>317</v>
      </c>
      <c r="BT11" s="16">
        <v>303</v>
      </c>
      <c r="BU11" s="16">
        <v>352</v>
      </c>
      <c r="BV11" s="16">
        <v>365</v>
      </c>
      <c r="BW11" s="16">
        <v>405</v>
      </c>
      <c r="BX11" s="16">
        <v>435</v>
      </c>
      <c r="BY11" s="16">
        <v>492</v>
      </c>
      <c r="BZ11" s="16">
        <v>488</v>
      </c>
      <c r="CA11" s="16">
        <v>473</v>
      </c>
      <c r="CB11" s="16">
        <v>505</v>
      </c>
      <c r="CC11" s="16">
        <v>515</v>
      </c>
      <c r="CD11" s="16">
        <v>516</v>
      </c>
      <c r="CE11" s="16">
        <v>538</v>
      </c>
      <c r="CF11" s="16">
        <v>571</v>
      </c>
      <c r="CG11" s="16">
        <v>590</v>
      </c>
      <c r="CH11" s="16">
        <v>589</v>
      </c>
      <c r="CI11" s="16">
        <v>614</v>
      </c>
      <c r="CJ11" s="16">
        <v>637</v>
      </c>
      <c r="CK11" s="16">
        <v>677</v>
      </c>
      <c r="CL11" s="16">
        <f>+CH11*1.1</f>
        <v>647.90000000000009</v>
      </c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>
        <f t="shared" si="8"/>
        <v>220</v>
      </c>
      <c r="DA11" s="16">
        <f t="shared" si="9"/>
        <v>792</v>
      </c>
      <c r="DB11" s="16">
        <f t="shared" si="10"/>
        <v>1337</v>
      </c>
      <c r="DC11" s="16">
        <f t="shared" si="11"/>
        <v>1820</v>
      </c>
      <c r="DD11" s="16">
        <f t="shared" si="12"/>
        <v>2009</v>
      </c>
      <c r="DE11" s="16">
        <f t="shared" si="13"/>
        <v>2288</v>
      </c>
      <c r="DF11" s="16">
        <f t="shared" si="14"/>
        <v>2575.9</v>
      </c>
      <c r="DG11" s="16">
        <f t="shared" ref="DG11:DK11" si="19">+DF11*1.03</f>
        <v>2653.1770000000001</v>
      </c>
      <c r="DH11" s="16">
        <f t="shared" si="19"/>
        <v>2732.7723100000003</v>
      </c>
      <c r="DI11" s="16">
        <f t="shared" si="19"/>
        <v>2814.7554793000004</v>
      </c>
      <c r="DJ11" s="16">
        <f t="shared" si="19"/>
        <v>2899.1981436790006</v>
      </c>
      <c r="DK11" s="16">
        <f t="shared" si="19"/>
        <v>2986.1740879893705</v>
      </c>
      <c r="DL11" s="15">
        <f>+DK11*0.1</f>
        <v>298.61740879893705</v>
      </c>
    </row>
    <row r="12" spans="1:121" s="15" customFormat="1" x14ac:dyDescent="0.2">
      <c r="B12" s="23" t="s">
        <v>115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16">
        <v>14</v>
      </c>
      <c r="BR12" s="16">
        <v>33</v>
      </c>
      <c r="BS12" s="16">
        <v>86</v>
      </c>
      <c r="BT12" s="16">
        <v>149</v>
      </c>
      <c r="BU12" s="16">
        <v>215</v>
      </c>
      <c r="BV12" s="16">
        <v>281</v>
      </c>
      <c r="BW12" s="16">
        <v>303</v>
      </c>
      <c r="BX12" s="16">
        <v>378</v>
      </c>
      <c r="BY12" s="16">
        <v>453</v>
      </c>
      <c r="BZ12" s="16">
        <v>517</v>
      </c>
      <c r="CA12" s="16">
        <v>465</v>
      </c>
      <c r="CB12" s="16">
        <v>592</v>
      </c>
      <c r="CC12" s="16">
        <v>695</v>
      </c>
      <c r="CD12" s="16">
        <v>770</v>
      </c>
      <c r="CE12" s="16">
        <v>686</v>
      </c>
      <c r="CF12" s="16">
        <v>918</v>
      </c>
      <c r="CG12" s="16">
        <v>1110</v>
      </c>
      <c r="CH12" s="16">
        <v>1255</v>
      </c>
      <c r="CI12" s="16">
        <v>1093</v>
      </c>
      <c r="CJ12" s="16">
        <v>1430</v>
      </c>
      <c r="CK12" s="16">
        <v>1614</v>
      </c>
      <c r="CL12" s="16">
        <f>+CH12*1.2</f>
        <v>1506</v>
      </c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>
        <f t="shared" si="8"/>
        <v>0</v>
      </c>
      <c r="DA12" s="16">
        <f t="shared" si="9"/>
        <v>47</v>
      </c>
      <c r="DB12" s="16">
        <f t="shared" si="10"/>
        <v>731</v>
      </c>
      <c r="DC12" s="16">
        <f t="shared" si="11"/>
        <v>1651</v>
      </c>
      <c r="DD12" s="16">
        <f t="shared" si="12"/>
        <v>2522</v>
      </c>
      <c r="DE12" s="16">
        <f t="shared" si="13"/>
        <v>3969</v>
      </c>
      <c r="DF12" s="16">
        <f t="shared" si="14"/>
        <v>5643</v>
      </c>
      <c r="DG12" s="16">
        <f t="shared" ref="DG12:DK12" si="20">+DF12*1.03</f>
        <v>5812.29</v>
      </c>
      <c r="DH12" s="16">
        <f t="shared" si="20"/>
        <v>5986.6587</v>
      </c>
      <c r="DI12" s="16">
        <f t="shared" si="20"/>
        <v>6166.2584610000004</v>
      </c>
      <c r="DJ12" s="16">
        <f t="shared" si="20"/>
        <v>6351.2462148300001</v>
      </c>
      <c r="DK12" s="16">
        <f t="shared" si="20"/>
        <v>6541.7836012749003</v>
      </c>
      <c r="DL12" s="15">
        <f t="shared" ref="DL12:DL13" si="21">+DK12*0.1</f>
        <v>654.17836012749012</v>
      </c>
    </row>
    <row r="13" spans="1:121" s="15" customFormat="1" x14ac:dyDescent="0.2">
      <c r="B13" s="23" t="s">
        <v>124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95" t="s">
        <v>203</v>
      </c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192</v>
      </c>
      <c r="BU13" s="16">
        <v>358</v>
      </c>
      <c r="BV13" s="16">
        <v>401</v>
      </c>
      <c r="BW13" s="16">
        <v>346</v>
      </c>
      <c r="BX13" s="16">
        <v>432</v>
      </c>
      <c r="BY13" s="16">
        <v>461</v>
      </c>
      <c r="BZ13" s="16">
        <v>489</v>
      </c>
      <c r="CA13" s="16">
        <v>427</v>
      </c>
      <c r="CB13" s="16">
        <v>492</v>
      </c>
      <c r="CC13" s="16">
        <v>554</v>
      </c>
      <c r="CD13" s="16">
        <v>565</v>
      </c>
      <c r="CE13" s="16">
        <v>561</v>
      </c>
      <c r="CF13" s="16">
        <v>658</v>
      </c>
      <c r="CG13" s="16">
        <v>751</v>
      </c>
      <c r="CH13" s="16">
        <v>789</v>
      </c>
      <c r="CI13" s="16">
        <v>694</v>
      </c>
      <c r="CJ13" s="16">
        <v>774</v>
      </c>
      <c r="CK13" s="16">
        <v>875</v>
      </c>
      <c r="CL13" s="16">
        <f>+CH13*1.05</f>
        <v>828.45</v>
      </c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>
        <f t="shared" si="8"/>
        <v>0</v>
      </c>
      <c r="DA13" s="16">
        <f t="shared" si="9"/>
        <v>0</v>
      </c>
      <c r="DB13" s="16">
        <f t="shared" si="10"/>
        <v>951</v>
      </c>
      <c r="DC13" s="16">
        <f t="shared" si="11"/>
        <v>1728</v>
      </c>
      <c r="DD13" s="16">
        <f t="shared" si="12"/>
        <v>2038</v>
      </c>
      <c r="DE13" s="16">
        <f t="shared" si="13"/>
        <v>2759</v>
      </c>
      <c r="DF13" s="16">
        <f t="shared" si="14"/>
        <v>3171.45</v>
      </c>
      <c r="DG13" s="16">
        <f t="shared" ref="DG13:DK13" si="22">+DF13*1.03</f>
        <v>3266.5934999999999</v>
      </c>
      <c r="DH13" s="16">
        <f t="shared" si="22"/>
        <v>3364.5913049999999</v>
      </c>
      <c r="DI13" s="16">
        <f t="shared" si="22"/>
        <v>3465.5290441500001</v>
      </c>
      <c r="DJ13" s="16">
        <f t="shared" si="22"/>
        <v>3569.4949154745004</v>
      </c>
      <c r="DK13" s="16">
        <f t="shared" si="22"/>
        <v>3676.5797629387357</v>
      </c>
      <c r="DL13" s="15">
        <f t="shared" si="21"/>
        <v>367.65797629387362</v>
      </c>
    </row>
    <row r="14" spans="1:121" s="15" customFormat="1" x14ac:dyDescent="0.2">
      <c r="B14" s="23" t="s">
        <v>119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95" t="s">
        <v>203</v>
      </c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113</v>
      </c>
      <c r="BU14" s="16">
        <v>274</v>
      </c>
      <c r="BV14" s="16">
        <v>331</v>
      </c>
      <c r="BW14" s="16">
        <v>321</v>
      </c>
      <c r="BX14" s="16">
        <v>428</v>
      </c>
      <c r="BY14" s="16">
        <v>354</v>
      </c>
      <c r="BZ14" s="16">
        <v>252</v>
      </c>
      <c r="CA14" s="16">
        <v>410</v>
      </c>
      <c r="CB14" s="16">
        <v>344</v>
      </c>
      <c r="CC14" s="16">
        <v>352</v>
      </c>
      <c r="CD14" s="16">
        <v>322</v>
      </c>
      <c r="CE14" s="16">
        <v>355</v>
      </c>
      <c r="CF14" s="16">
        <v>368</v>
      </c>
      <c r="CG14" s="16">
        <v>321</v>
      </c>
      <c r="CH14" s="16">
        <v>334</v>
      </c>
      <c r="CI14" s="16">
        <v>297</v>
      </c>
      <c r="CJ14" s="16">
        <v>343</v>
      </c>
      <c r="CK14" s="16">
        <v>258</v>
      </c>
      <c r="CL14" s="16">
        <f>+CH14*0.9</f>
        <v>300.60000000000002</v>
      </c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>
        <f t="shared" si="8"/>
        <v>0</v>
      </c>
      <c r="DA14" s="16">
        <f t="shared" si="9"/>
        <v>0</v>
      </c>
      <c r="DB14" s="16">
        <f t="shared" si="10"/>
        <v>718</v>
      </c>
      <c r="DC14" s="16">
        <f t="shared" si="11"/>
        <v>1355</v>
      </c>
      <c r="DD14" s="16">
        <f t="shared" si="12"/>
        <v>1428</v>
      </c>
      <c r="DE14" s="16">
        <f t="shared" si="13"/>
        <v>1378</v>
      </c>
      <c r="DF14" s="16">
        <f t="shared" si="14"/>
        <v>1198.5999999999999</v>
      </c>
      <c r="DG14" s="16">
        <f t="shared" ref="DG14:DL14" si="23">+DF14*1.05</f>
        <v>1258.53</v>
      </c>
      <c r="DH14" s="16">
        <f t="shared" si="23"/>
        <v>1321.4565</v>
      </c>
      <c r="DI14" s="16">
        <f t="shared" si="23"/>
        <v>1387.529325</v>
      </c>
      <c r="DJ14" s="16">
        <f t="shared" si="23"/>
        <v>1456.90579125</v>
      </c>
      <c r="DK14" s="16">
        <f t="shared" si="23"/>
        <v>1529.7510808125</v>
      </c>
      <c r="DL14" s="16">
        <f t="shared" si="23"/>
        <v>1606.2386348531252</v>
      </c>
    </row>
    <row r="15" spans="1:121" s="15" customFormat="1" x14ac:dyDescent="0.2">
      <c r="B15" s="23" t="s">
        <v>132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>
        <v>0</v>
      </c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>
        <v>0</v>
      </c>
      <c r="BH15" s="16">
        <v>0</v>
      </c>
      <c r="BI15" s="16">
        <v>276</v>
      </c>
      <c r="BJ15" s="16">
        <v>510</v>
      </c>
      <c r="BK15" s="16">
        <v>919</v>
      </c>
      <c r="BL15" s="16">
        <v>973</v>
      </c>
      <c r="BM15" s="16">
        <v>839</v>
      </c>
      <c r="BN15" s="16">
        <v>819</v>
      </c>
      <c r="BO15" s="16">
        <v>790</v>
      </c>
      <c r="BP15" s="16">
        <v>780</v>
      </c>
      <c r="BQ15" s="16">
        <v>695</v>
      </c>
      <c r="BR15" s="16">
        <v>628</v>
      </c>
      <c r="BS15" s="16">
        <v>559</v>
      </c>
      <c r="BT15" s="16">
        <v>376</v>
      </c>
      <c r="BU15" s="16">
        <v>414</v>
      </c>
      <c r="BV15" s="16">
        <v>481</v>
      </c>
      <c r="BW15" s="16">
        <v>415</v>
      </c>
      <c r="BX15" s="16">
        <v>442</v>
      </c>
      <c r="BY15" s="16">
        <v>426</v>
      </c>
      <c r="BZ15" s="16">
        <v>427</v>
      </c>
      <c r="CA15" s="16">
        <v>380</v>
      </c>
      <c r="CB15" s="16">
        <v>398</v>
      </c>
      <c r="CC15" s="16">
        <v>383</v>
      </c>
      <c r="CD15" s="16">
        <v>380</v>
      </c>
      <c r="CE15" s="16">
        <v>364</v>
      </c>
      <c r="CF15" s="16">
        <v>387</v>
      </c>
      <c r="CG15" s="16">
        <v>370</v>
      </c>
      <c r="CH15" s="16">
        <v>309</v>
      </c>
      <c r="CI15" s="16">
        <v>349</v>
      </c>
      <c r="CJ15" s="16">
        <v>369</v>
      </c>
      <c r="CK15" s="16">
        <v>302</v>
      </c>
      <c r="CL15" s="16">
        <f t="shared" ref="CL15" si="24">+CH15*0.9</f>
        <v>278.10000000000002</v>
      </c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>
        <f t="shared" si="8"/>
        <v>3550</v>
      </c>
      <c r="DA15" s="16">
        <f t="shared" si="9"/>
        <v>2893</v>
      </c>
      <c r="DB15" s="16">
        <f t="shared" si="10"/>
        <v>1830</v>
      </c>
      <c r="DC15" s="16">
        <f t="shared" si="11"/>
        <v>1710</v>
      </c>
      <c r="DD15" s="16">
        <f t="shared" si="12"/>
        <v>1541</v>
      </c>
      <c r="DE15" s="16">
        <f t="shared" si="13"/>
        <v>1430</v>
      </c>
      <c r="DF15" s="16">
        <f t="shared" si="14"/>
        <v>1298.0999999999999</v>
      </c>
      <c r="DG15" s="16">
        <f t="shared" ref="DG15:DL15" si="25">+DF15*0.7</f>
        <v>908.66999999999985</v>
      </c>
      <c r="DH15" s="16">
        <f t="shared" si="25"/>
        <v>636.06899999999985</v>
      </c>
      <c r="DI15" s="16">
        <f t="shared" si="25"/>
        <v>445.24829999999986</v>
      </c>
      <c r="DJ15" s="16">
        <f t="shared" si="25"/>
        <v>311.67380999999989</v>
      </c>
      <c r="DK15" s="16">
        <f t="shared" si="25"/>
        <v>218.1716669999999</v>
      </c>
      <c r="DL15" s="16">
        <f t="shared" si="25"/>
        <v>152.72016689999992</v>
      </c>
    </row>
    <row r="16" spans="1:121" s="15" customFormat="1" x14ac:dyDescent="0.2">
      <c r="B16" s="23" t="s">
        <v>120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95" t="s">
        <v>203</v>
      </c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142</v>
      </c>
      <c r="BU16" s="16">
        <v>300</v>
      </c>
      <c r="BV16" s="16">
        <v>318</v>
      </c>
      <c r="BW16" s="16">
        <v>343</v>
      </c>
      <c r="BX16" s="16">
        <v>422</v>
      </c>
      <c r="BY16" s="16">
        <v>352</v>
      </c>
      <c r="BZ16" s="16">
        <v>349</v>
      </c>
      <c r="CA16" s="16">
        <v>323</v>
      </c>
      <c r="CB16" s="16">
        <v>332</v>
      </c>
      <c r="CC16" s="16">
        <v>312</v>
      </c>
      <c r="CD16" s="16">
        <v>323</v>
      </c>
      <c r="CE16" s="16">
        <v>286</v>
      </c>
      <c r="CF16" s="16">
        <v>331</v>
      </c>
      <c r="CG16" s="16">
        <v>298</v>
      </c>
      <c r="CH16" s="16">
        <v>319</v>
      </c>
      <c r="CI16" s="16">
        <v>319</v>
      </c>
      <c r="CJ16" s="16">
        <v>318</v>
      </c>
      <c r="CK16" s="16">
        <v>310</v>
      </c>
      <c r="CL16" s="16">
        <f t="shared" ref="CL16:CL18" si="26">+CH16</f>
        <v>319</v>
      </c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>
        <f t="shared" si="8"/>
        <v>0</v>
      </c>
      <c r="DA16" s="16">
        <f t="shared" si="9"/>
        <v>0</v>
      </c>
      <c r="DB16" s="16">
        <f t="shared" si="10"/>
        <v>760</v>
      </c>
      <c r="DC16" s="16">
        <f t="shared" si="11"/>
        <v>1466</v>
      </c>
      <c r="DD16" s="16">
        <f t="shared" si="12"/>
        <v>1290</v>
      </c>
      <c r="DE16" s="16">
        <f t="shared" si="13"/>
        <v>1234</v>
      </c>
      <c r="DF16" s="16">
        <f t="shared" si="14"/>
        <v>1266</v>
      </c>
      <c r="DG16" s="16">
        <f t="shared" ref="DG16:DL16" si="27">+DF16*0.9</f>
        <v>1139.4000000000001</v>
      </c>
      <c r="DH16" s="16">
        <f t="shared" si="27"/>
        <v>1025.46</v>
      </c>
      <c r="DI16" s="16">
        <f t="shared" si="27"/>
        <v>922.9140000000001</v>
      </c>
      <c r="DJ16" s="16">
        <f t="shared" si="27"/>
        <v>830.62260000000015</v>
      </c>
      <c r="DK16" s="16">
        <f t="shared" si="27"/>
        <v>747.56034000000011</v>
      </c>
      <c r="DL16" s="16">
        <f t="shared" si="27"/>
        <v>672.80430600000011</v>
      </c>
    </row>
    <row r="17" spans="2:116" s="15" customFormat="1" x14ac:dyDescent="0.2">
      <c r="B17" s="15" t="s">
        <v>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>
        <v>146</v>
      </c>
      <c r="AN17" s="16">
        <v>162</v>
      </c>
      <c r="AO17" s="16">
        <v>163</v>
      </c>
      <c r="AP17" s="16">
        <v>188</v>
      </c>
      <c r="AQ17" s="16">
        <v>90</v>
      </c>
      <c r="AR17" s="16">
        <v>106</v>
      </c>
      <c r="AS17" s="16">
        <v>101</v>
      </c>
      <c r="AT17" s="16">
        <v>115</v>
      </c>
      <c r="AU17" s="16">
        <v>107</v>
      </c>
      <c r="AV17" s="16">
        <v>110</v>
      </c>
      <c r="AW17" s="16">
        <v>148</v>
      </c>
      <c r="AX17" s="16">
        <v>151</v>
      </c>
      <c r="AY17" s="16">
        <v>127</v>
      </c>
      <c r="AZ17" s="16">
        <v>159</v>
      </c>
      <c r="BA17" s="16">
        <v>161</v>
      </c>
      <c r="BB17" s="16">
        <v>185</v>
      </c>
      <c r="BC17" s="16">
        <v>150</v>
      </c>
      <c r="BD17" s="16">
        <v>180</v>
      </c>
      <c r="BE17" s="16">
        <v>187</v>
      </c>
      <c r="BF17" s="16">
        <v>213</v>
      </c>
      <c r="BG17" s="16">
        <v>185</v>
      </c>
      <c r="BH17" s="16">
        <v>196</v>
      </c>
      <c r="BI17" s="16">
        <v>215</v>
      </c>
      <c r="BJ17" s="16">
        <v>235</v>
      </c>
      <c r="BK17" s="16">
        <v>209</v>
      </c>
      <c r="BL17" s="16">
        <v>219</v>
      </c>
      <c r="BM17" s="16">
        <v>239</v>
      </c>
      <c r="BN17" s="16">
        <v>261</v>
      </c>
      <c r="BO17" s="16">
        <v>227</v>
      </c>
      <c r="BP17" s="16">
        <v>257</v>
      </c>
      <c r="BQ17" s="16">
        <v>265</v>
      </c>
      <c r="BR17" s="16">
        <v>292</v>
      </c>
      <c r="BS17" s="16">
        <v>276</v>
      </c>
      <c r="BT17" s="16">
        <v>252</v>
      </c>
      <c r="BU17" s="16">
        <v>282</v>
      </c>
      <c r="BV17" s="16">
        <v>304</v>
      </c>
      <c r="BW17" s="16">
        <v>274</v>
      </c>
      <c r="BX17" s="16">
        <v>280</v>
      </c>
      <c r="BY17" s="16">
        <v>310</v>
      </c>
      <c r="BZ17" s="16">
        <v>327</v>
      </c>
      <c r="CA17" s="16">
        <v>287</v>
      </c>
      <c r="CB17" s="16">
        <v>318</v>
      </c>
      <c r="CC17" s="16">
        <v>336</v>
      </c>
      <c r="CD17" s="16">
        <v>337</v>
      </c>
      <c r="CE17" s="16">
        <v>305</v>
      </c>
      <c r="CF17" s="16">
        <v>282</v>
      </c>
      <c r="CG17" s="16">
        <v>305</v>
      </c>
      <c r="CH17" s="16">
        <v>376</v>
      </c>
      <c r="CI17" s="16">
        <v>285</v>
      </c>
      <c r="CJ17" s="16">
        <v>372</v>
      </c>
      <c r="CK17" s="16">
        <v>338</v>
      </c>
      <c r="CL17" s="16">
        <f t="shared" si="26"/>
        <v>376</v>
      </c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>
        <f t="shared" si="8"/>
        <v>928</v>
      </c>
      <c r="DA17" s="16">
        <f t="shared" si="9"/>
        <v>1041</v>
      </c>
      <c r="DB17" s="16">
        <f t="shared" si="10"/>
        <v>1114</v>
      </c>
      <c r="DC17" s="16">
        <f t="shared" si="11"/>
        <v>1191</v>
      </c>
      <c r="DD17" s="16">
        <f t="shared" si="12"/>
        <v>1278</v>
      </c>
      <c r="DE17" s="16">
        <f t="shared" si="13"/>
        <v>1268</v>
      </c>
      <c r="DF17" s="16">
        <f t="shared" si="14"/>
        <v>1371</v>
      </c>
      <c r="DG17" s="16">
        <f t="shared" ref="DG17:DL17" si="28">+DF17*1.03</f>
        <v>1412.13</v>
      </c>
      <c r="DH17" s="16">
        <f t="shared" si="28"/>
        <v>1454.4939000000002</v>
      </c>
      <c r="DI17" s="16">
        <f t="shared" si="28"/>
        <v>1498.1287170000003</v>
      </c>
      <c r="DJ17" s="16">
        <f t="shared" si="28"/>
        <v>1543.0725785100003</v>
      </c>
      <c r="DK17" s="16">
        <f t="shared" si="28"/>
        <v>1589.3647558653004</v>
      </c>
      <c r="DL17" s="16">
        <f t="shared" si="28"/>
        <v>1637.0456985412595</v>
      </c>
    </row>
    <row r="18" spans="2:116" s="15" customFormat="1" x14ac:dyDescent="0.2">
      <c r="B18" s="23" t="s">
        <v>131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128</v>
      </c>
      <c r="BU18" s="16">
        <v>269</v>
      </c>
      <c r="BV18" s="16">
        <v>296</v>
      </c>
      <c r="BW18" s="16">
        <v>276</v>
      </c>
      <c r="BX18" s="16">
        <v>301</v>
      </c>
      <c r="BY18" s="16">
        <v>286</v>
      </c>
      <c r="BZ18" s="16">
        <v>306</v>
      </c>
      <c r="CA18" s="16">
        <v>278</v>
      </c>
      <c r="CB18" s="16">
        <v>217</v>
      </c>
      <c r="CC18" s="16">
        <f>287-CC29</f>
        <v>181</v>
      </c>
      <c r="CD18" s="16">
        <v>283</v>
      </c>
      <c r="CE18" s="16">
        <v>200</v>
      </c>
      <c r="CF18" s="16">
        <v>215</v>
      </c>
      <c r="CG18" s="16">
        <v>207</v>
      </c>
      <c r="CH18" s="16">
        <v>181</v>
      </c>
      <c r="CI18" s="16">
        <v>200</v>
      </c>
      <c r="CJ18" s="16">
        <v>225</v>
      </c>
      <c r="CK18" s="16">
        <v>207</v>
      </c>
      <c r="CL18" s="16">
        <f t="shared" si="26"/>
        <v>181</v>
      </c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>
        <f t="shared" si="8"/>
        <v>0</v>
      </c>
      <c r="DA18" s="16">
        <f t="shared" si="9"/>
        <v>0</v>
      </c>
      <c r="DB18" s="16">
        <f t="shared" si="10"/>
        <v>693</v>
      </c>
      <c r="DC18" s="16">
        <f t="shared" si="11"/>
        <v>1169</v>
      </c>
      <c r="DD18" s="16">
        <f t="shared" si="12"/>
        <v>959</v>
      </c>
      <c r="DE18" s="16">
        <f t="shared" si="13"/>
        <v>803</v>
      </c>
      <c r="DF18" s="16">
        <f t="shared" si="14"/>
        <v>813</v>
      </c>
      <c r="DG18" s="16">
        <f t="shared" ref="DG18:DL18" si="29">+DF18*0.9</f>
        <v>731.7</v>
      </c>
      <c r="DH18" s="16">
        <f t="shared" si="29"/>
        <v>658.53000000000009</v>
      </c>
      <c r="DI18" s="16">
        <f t="shared" si="29"/>
        <v>592.67700000000013</v>
      </c>
      <c r="DJ18" s="16">
        <f t="shared" si="29"/>
        <v>533.40930000000014</v>
      </c>
      <c r="DK18" s="16">
        <f t="shared" si="29"/>
        <v>480.06837000000013</v>
      </c>
      <c r="DL18" s="16">
        <f t="shared" si="29"/>
        <v>432.06153300000011</v>
      </c>
    </row>
    <row r="19" spans="2:116" s="15" customFormat="1" x14ac:dyDescent="0.2">
      <c r="B19" s="23" t="s">
        <v>130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144</v>
      </c>
      <c r="BU19" s="16">
        <v>299</v>
      </c>
      <c r="BV19" s="16">
        <v>344</v>
      </c>
      <c r="BW19" s="16">
        <v>280</v>
      </c>
      <c r="BX19" s="16">
        <v>327</v>
      </c>
      <c r="BY19" s="16">
        <v>319</v>
      </c>
      <c r="BZ19" s="16">
        <v>364</v>
      </c>
      <c r="CA19" s="16">
        <v>246</v>
      </c>
      <c r="CB19" s="16">
        <v>168</v>
      </c>
      <c r="CC19" s="16">
        <v>142</v>
      </c>
      <c r="CD19" s="16">
        <v>110</v>
      </c>
      <c r="CE19" s="16">
        <v>92</v>
      </c>
      <c r="CF19" s="16">
        <v>99</v>
      </c>
      <c r="CG19" s="16">
        <v>117</v>
      </c>
      <c r="CH19" s="16">
        <v>128</v>
      </c>
      <c r="CI19" s="16">
        <v>57</v>
      </c>
      <c r="CJ19" s="16">
        <v>32</v>
      </c>
      <c r="CK19" s="16">
        <v>21</v>
      </c>
      <c r="CL19" s="16">
        <f>+CK19-3</f>
        <v>18</v>
      </c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>
        <f t="shared" si="8"/>
        <v>0</v>
      </c>
      <c r="DA19" s="16">
        <f t="shared" si="9"/>
        <v>0</v>
      </c>
      <c r="DB19" s="16">
        <f t="shared" si="10"/>
        <v>787</v>
      </c>
      <c r="DC19" s="16">
        <f t="shared" si="11"/>
        <v>1290</v>
      </c>
      <c r="DD19" s="16">
        <f t="shared" si="12"/>
        <v>666</v>
      </c>
      <c r="DE19" s="16">
        <f t="shared" si="13"/>
        <v>436</v>
      </c>
      <c r="DF19" s="16">
        <f t="shared" si="14"/>
        <v>128</v>
      </c>
      <c r="DG19" s="16">
        <f t="shared" ref="DG19:DL19" si="30">+DF19*0.9</f>
        <v>115.2</v>
      </c>
      <c r="DH19" s="16">
        <f t="shared" si="30"/>
        <v>103.68</v>
      </c>
      <c r="DI19" s="16">
        <f t="shared" si="30"/>
        <v>93.312000000000012</v>
      </c>
      <c r="DJ19" s="16">
        <f t="shared" si="30"/>
        <v>83.980800000000016</v>
      </c>
      <c r="DK19" s="16">
        <f t="shared" si="30"/>
        <v>75.582720000000023</v>
      </c>
      <c r="DL19" s="16">
        <f t="shared" si="30"/>
        <v>68.024448000000021</v>
      </c>
    </row>
    <row r="20" spans="2:116" s="15" customFormat="1" x14ac:dyDescent="0.2">
      <c r="B20" s="23" t="s">
        <v>133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133</v>
      </c>
      <c r="BU20" s="16">
        <v>248</v>
      </c>
      <c r="BV20" s="16">
        <v>286</v>
      </c>
      <c r="BW20" s="16">
        <v>222</v>
      </c>
      <c r="BX20" s="16">
        <v>268</v>
      </c>
      <c r="BY20" s="16">
        <v>261</v>
      </c>
      <c r="BZ20" s="16">
        <v>287</v>
      </c>
      <c r="CA20" s="16">
        <v>240</v>
      </c>
      <c r="CB20" s="16">
        <v>255</v>
      </c>
      <c r="CC20" s="16">
        <v>271</v>
      </c>
      <c r="CD20" s="16">
        <v>269</v>
      </c>
      <c r="CE20" s="16">
        <v>259</v>
      </c>
      <c r="CF20" s="16">
        <v>278</v>
      </c>
      <c r="CG20" s="16">
        <v>288</v>
      </c>
      <c r="CH20" s="16">
        <v>283</v>
      </c>
      <c r="CI20" s="16">
        <v>266</v>
      </c>
      <c r="CJ20" s="16">
        <v>221</v>
      </c>
      <c r="CK20" s="16">
        <v>234</v>
      </c>
      <c r="CL20" s="16">
        <f t="shared" ref="CL20:CL21" si="31">+CH20</f>
        <v>283</v>
      </c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>
        <f t="shared" si="8"/>
        <v>0</v>
      </c>
      <c r="DA20" s="16">
        <f t="shared" si="9"/>
        <v>0</v>
      </c>
      <c r="DB20" s="16">
        <f t="shared" si="10"/>
        <v>667</v>
      </c>
      <c r="DC20" s="16">
        <f t="shared" si="11"/>
        <v>1038</v>
      </c>
      <c r="DD20" s="16">
        <f t="shared" si="12"/>
        <v>1035</v>
      </c>
      <c r="DE20" s="16">
        <f t="shared" si="13"/>
        <v>1108</v>
      </c>
      <c r="DF20" s="16">
        <f t="shared" si="14"/>
        <v>1004</v>
      </c>
      <c r="DG20" s="16">
        <f t="shared" ref="DG20:DL20" si="32">+DF20*0.5</f>
        <v>502</v>
      </c>
      <c r="DH20" s="16">
        <f t="shared" si="32"/>
        <v>251</v>
      </c>
      <c r="DI20" s="16">
        <f t="shared" si="32"/>
        <v>125.5</v>
      </c>
      <c r="DJ20" s="16">
        <f t="shared" si="32"/>
        <v>62.75</v>
      </c>
      <c r="DK20" s="16">
        <f t="shared" si="32"/>
        <v>31.375</v>
      </c>
      <c r="DL20" s="16">
        <f t="shared" si="32"/>
        <v>15.6875</v>
      </c>
    </row>
    <row r="21" spans="2:116" s="15" customFormat="1" x14ac:dyDescent="0.2">
      <c r="B21" s="23" t="s">
        <v>127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105</v>
      </c>
      <c r="BU21" s="16">
        <v>207</v>
      </c>
      <c r="BV21" s="16">
        <v>227</v>
      </c>
      <c r="BW21" s="16">
        <v>160</v>
      </c>
      <c r="BX21" s="16">
        <v>171</v>
      </c>
      <c r="BY21" s="16">
        <v>171</v>
      </c>
      <c r="BZ21" s="16">
        <v>183</v>
      </c>
      <c r="CA21" s="16">
        <v>177</v>
      </c>
      <c r="CB21" s="16">
        <v>150</v>
      </c>
      <c r="CC21" s="16">
        <v>87</v>
      </c>
      <c r="CD21" s="16">
        <v>61</v>
      </c>
      <c r="CE21" s="16">
        <v>79</v>
      </c>
      <c r="CF21" s="16">
        <v>70</v>
      </c>
      <c r="CG21" s="16">
        <v>61</v>
      </c>
      <c r="CH21" s="16">
        <v>66</v>
      </c>
      <c r="CI21" s="16">
        <v>74</v>
      </c>
      <c r="CJ21" s="16">
        <v>80</v>
      </c>
      <c r="CK21" s="16">
        <v>84</v>
      </c>
      <c r="CL21" s="16">
        <f t="shared" si="31"/>
        <v>66</v>
      </c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>
        <f t="shared" si="8"/>
        <v>0</v>
      </c>
      <c r="DA21" s="16">
        <f t="shared" si="9"/>
        <v>0</v>
      </c>
      <c r="DB21" s="16">
        <f t="shared" si="10"/>
        <v>539</v>
      </c>
      <c r="DC21" s="16">
        <f t="shared" si="11"/>
        <v>685</v>
      </c>
      <c r="DD21" s="16">
        <f t="shared" si="12"/>
        <v>475</v>
      </c>
      <c r="DE21" s="16">
        <f t="shared" si="13"/>
        <v>276</v>
      </c>
      <c r="DF21" s="16">
        <f t="shared" si="14"/>
        <v>304</v>
      </c>
      <c r="DG21" s="16">
        <f t="shared" ref="DG21:DL21" si="33">+DF21*0.9</f>
        <v>273.60000000000002</v>
      </c>
      <c r="DH21" s="16">
        <f t="shared" si="33"/>
        <v>246.24000000000004</v>
      </c>
      <c r="DI21" s="16">
        <f t="shared" si="33"/>
        <v>221.61600000000004</v>
      </c>
      <c r="DJ21" s="16">
        <f t="shared" si="33"/>
        <v>199.45440000000005</v>
      </c>
      <c r="DK21" s="16">
        <f t="shared" si="33"/>
        <v>179.50896000000006</v>
      </c>
      <c r="DL21" s="16">
        <f t="shared" si="33"/>
        <v>161.55806400000006</v>
      </c>
    </row>
    <row r="22" spans="2:116" s="15" customFormat="1" x14ac:dyDescent="0.2">
      <c r="B22" s="23" t="s">
        <v>128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76</v>
      </c>
      <c r="BU22" s="16">
        <v>149</v>
      </c>
      <c r="BV22" s="16">
        <v>153</v>
      </c>
      <c r="BW22" s="16">
        <v>143</v>
      </c>
      <c r="BX22" s="16">
        <v>149</v>
      </c>
      <c r="BY22" s="16">
        <v>138</v>
      </c>
      <c r="BZ22" s="16">
        <v>149</v>
      </c>
      <c r="CA22" s="16">
        <v>140</v>
      </c>
      <c r="CB22" s="16">
        <v>130</v>
      </c>
      <c r="CC22" s="16">
        <v>121</v>
      </c>
      <c r="CD22" s="16">
        <v>123</v>
      </c>
      <c r="CE22" s="16">
        <v>130</v>
      </c>
      <c r="CF22" s="16">
        <v>119</v>
      </c>
      <c r="CG22" s="16">
        <v>91</v>
      </c>
      <c r="CH22" s="16">
        <v>92</v>
      </c>
      <c r="CI22" s="16">
        <v>91</v>
      </c>
      <c r="CJ22" s="16">
        <v>103</v>
      </c>
      <c r="CK22" s="16">
        <v>116</v>
      </c>
      <c r="CL22" s="16">
        <f>+CK22-1</f>
        <v>115</v>
      </c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>
        <f t="shared" si="8"/>
        <v>0</v>
      </c>
      <c r="DA22" s="16">
        <f t="shared" si="9"/>
        <v>0</v>
      </c>
      <c r="DB22" s="16">
        <f t="shared" si="10"/>
        <v>378</v>
      </c>
      <c r="DC22" s="16">
        <f t="shared" si="11"/>
        <v>579</v>
      </c>
      <c r="DD22" s="16">
        <f t="shared" si="12"/>
        <v>514</v>
      </c>
      <c r="DE22" s="16">
        <f t="shared" si="13"/>
        <v>432</v>
      </c>
      <c r="DF22" s="16">
        <f t="shared" si="14"/>
        <v>425</v>
      </c>
      <c r="DG22" s="16">
        <f t="shared" ref="DG22:DL22" si="34">+DF22*0.9</f>
        <v>382.5</v>
      </c>
      <c r="DH22" s="16">
        <f t="shared" si="34"/>
        <v>344.25</v>
      </c>
      <c r="DI22" s="16">
        <f t="shared" si="34"/>
        <v>309.82499999999999</v>
      </c>
      <c r="DJ22" s="16">
        <f t="shared" si="34"/>
        <v>278.84249999999997</v>
      </c>
      <c r="DK22" s="16">
        <f t="shared" si="34"/>
        <v>250.95824999999999</v>
      </c>
      <c r="DL22" s="16">
        <f t="shared" si="34"/>
        <v>225.862425</v>
      </c>
    </row>
    <row r="23" spans="2:116" s="15" customFormat="1" x14ac:dyDescent="0.2">
      <c r="B23" s="23" t="s">
        <v>125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22</v>
      </c>
      <c r="BU23" s="16">
        <v>38</v>
      </c>
      <c r="BV23" s="16">
        <v>65</v>
      </c>
      <c r="BW23" s="16">
        <v>81</v>
      </c>
      <c r="BX23" s="16">
        <v>126</v>
      </c>
      <c r="BY23" s="16">
        <v>162</v>
      </c>
      <c r="BZ23" s="16">
        <v>183</v>
      </c>
      <c r="CA23" s="16">
        <v>138</v>
      </c>
      <c r="CB23" s="16">
        <v>185</v>
      </c>
      <c r="CC23" s="16">
        <v>160</v>
      </c>
      <c r="CD23" s="16">
        <v>197</v>
      </c>
      <c r="CE23" s="16">
        <v>152</v>
      </c>
      <c r="CF23" s="16">
        <v>196</v>
      </c>
      <c r="CG23" s="16">
        <v>233</v>
      </c>
      <c r="CH23" s="16">
        <v>234</v>
      </c>
      <c r="CI23" s="16">
        <v>203</v>
      </c>
      <c r="CJ23" s="16">
        <v>231</v>
      </c>
      <c r="CK23" s="16">
        <v>269</v>
      </c>
      <c r="CL23" s="16">
        <f>+CH23*1.1</f>
        <v>257.40000000000003</v>
      </c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>
        <f t="shared" si="8"/>
        <v>0</v>
      </c>
      <c r="DA23" s="16">
        <f t="shared" si="9"/>
        <v>0</v>
      </c>
      <c r="DB23" s="16">
        <f t="shared" si="10"/>
        <v>125</v>
      </c>
      <c r="DC23" s="16">
        <f t="shared" si="11"/>
        <v>552</v>
      </c>
      <c r="DD23" s="16">
        <f t="shared" si="12"/>
        <v>680</v>
      </c>
      <c r="DE23" s="16">
        <f t="shared" si="13"/>
        <v>815</v>
      </c>
      <c r="DF23" s="16">
        <f t="shared" si="14"/>
        <v>960.40000000000009</v>
      </c>
      <c r="DG23" s="16">
        <f>+DF23*1.2</f>
        <v>1152.48</v>
      </c>
      <c r="DH23" s="16">
        <f>+DG23*1.2</f>
        <v>1382.9759999999999</v>
      </c>
      <c r="DI23" s="16">
        <f>+DH23*1.1</f>
        <v>1521.2736</v>
      </c>
      <c r="DJ23" s="16">
        <f>+DI23*1.1</f>
        <v>1673.4009600000002</v>
      </c>
      <c r="DK23" s="16">
        <f>+DJ23*1.03</f>
        <v>1723.6029888000003</v>
      </c>
      <c r="DL23" s="15">
        <f>+DK23*0.1</f>
        <v>172.36029888000004</v>
      </c>
    </row>
    <row r="24" spans="2:116" s="15" customFormat="1" x14ac:dyDescent="0.2">
      <c r="B24" s="15" t="s">
        <v>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>
        <v>37</v>
      </c>
      <c r="AP24" s="16"/>
      <c r="AQ24" s="16">
        <v>39</v>
      </c>
      <c r="AR24" s="16">
        <v>44</v>
      </c>
      <c r="AS24" s="16">
        <v>46</v>
      </c>
      <c r="AT24" s="16">
        <v>49</v>
      </c>
      <c r="AU24" s="16">
        <v>52</v>
      </c>
      <c r="AV24" s="16">
        <v>56</v>
      </c>
      <c r="AW24" s="16">
        <v>56</v>
      </c>
      <c r="AX24" s="16">
        <v>56</v>
      </c>
      <c r="AY24" s="16">
        <v>53</v>
      </c>
      <c r="AZ24" s="16">
        <v>55</v>
      </c>
      <c r="BA24" s="16">
        <v>61</v>
      </c>
      <c r="BB24" s="16">
        <v>62</v>
      </c>
      <c r="BC24" s="16">
        <v>68</v>
      </c>
      <c r="BD24" s="16">
        <v>73</v>
      </c>
      <c r="BE24" s="16">
        <v>74</v>
      </c>
      <c r="BF24" s="16">
        <v>78</v>
      </c>
      <c r="BG24" s="16">
        <v>80</v>
      </c>
      <c r="BH24" s="16">
        <v>81</v>
      </c>
      <c r="BI24" s="16">
        <v>94</v>
      </c>
      <c r="BJ24" s="16">
        <v>100</v>
      </c>
      <c r="BK24" s="16">
        <v>103</v>
      </c>
      <c r="BL24" s="16">
        <v>108</v>
      </c>
      <c r="BM24" s="16">
        <v>106</v>
      </c>
      <c r="BN24" s="16">
        <v>113</v>
      </c>
      <c r="BO24" s="16">
        <v>111</v>
      </c>
      <c r="BP24" s="16">
        <v>115</v>
      </c>
      <c r="BQ24" s="16">
        <v>117</v>
      </c>
      <c r="BR24" s="16">
        <v>118</v>
      </c>
      <c r="BS24" s="16">
        <v>124</v>
      </c>
      <c r="BT24" s="16">
        <v>118</v>
      </c>
      <c r="BU24" s="16">
        <v>123</v>
      </c>
      <c r="BV24" s="16">
        <v>129</v>
      </c>
      <c r="BW24" s="16">
        <v>129</v>
      </c>
      <c r="BX24" s="16">
        <v>127</v>
      </c>
      <c r="BY24" s="16">
        <v>127</v>
      </c>
      <c r="BZ24" s="16">
        <v>128</v>
      </c>
      <c r="CA24" s="16">
        <v>121</v>
      </c>
      <c r="CB24" s="16">
        <v>120</v>
      </c>
      <c r="CC24" s="16">
        <v>110</v>
      </c>
      <c r="CD24" s="16">
        <v>107</v>
      </c>
      <c r="CE24" s="16">
        <v>118</v>
      </c>
      <c r="CF24" s="16">
        <v>117</v>
      </c>
      <c r="CG24" s="16">
        <v>118</v>
      </c>
      <c r="CH24" s="16">
        <v>115</v>
      </c>
      <c r="CI24" s="16">
        <v>115</v>
      </c>
      <c r="CJ24" s="16">
        <v>113</v>
      </c>
      <c r="CK24" s="16">
        <v>111</v>
      </c>
      <c r="CL24" s="16">
        <f>+CH24</f>
        <v>115</v>
      </c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>
        <f t="shared" si="8"/>
        <v>430</v>
      </c>
      <c r="DA24" s="16">
        <f t="shared" si="9"/>
        <v>461</v>
      </c>
      <c r="DB24" s="16">
        <f t="shared" si="10"/>
        <v>494</v>
      </c>
      <c r="DC24" s="16">
        <f t="shared" si="11"/>
        <v>511</v>
      </c>
      <c r="DD24" s="16">
        <f t="shared" si="12"/>
        <v>458</v>
      </c>
      <c r="DE24" s="16">
        <f t="shared" si="13"/>
        <v>468</v>
      </c>
      <c r="DF24" s="16">
        <f t="shared" si="14"/>
        <v>454</v>
      </c>
      <c r="DG24" s="16">
        <f t="shared" ref="DG24:DL24" si="35">+DF24*0.9</f>
        <v>408.6</v>
      </c>
      <c r="DH24" s="16">
        <f t="shared" si="35"/>
        <v>367.74</v>
      </c>
      <c r="DI24" s="16">
        <f t="shared" si="35"/>
        <v>330.96600000000001</v>
      </c>
      <c r="DJ24" s="16">
        <f t="shared" si="35"/>
        <v>297.86940000000004</v>
      </c>
      <c r="DK24" s="16">
        <f t="shared" si="35"/>
        <v>268.08246000000003</v>
      </c>
      <c r="DL24" s="16">
        <f t="shared" si="35"/>
        <v>241.27421400000003</v>
      </c>
    </row>
    <row r="25" spans="2:116" s="15" customFormat="1" x14ac:dyDescent="0.2">
      <c r="B25" s="23" t="s">
        <v>129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69</v>
      </c>
      <c r="BU25" s="16">
        <v>123</v>
      </c>
      <c r="BV25" s="16">
        <v>134</v>
      </c>
      <c r="BW25" s="16">
        <v>118</v>
      </c>
      <c r="BX25" s="16">
        <v>142</v>
      </c>
      <c r="BY25" s="16">
        <v>128</v>
      </c>
      <c r="BZ25" s="16">
        <v>141</v>
      </c>
      <c r="CA25" s="16">
        <v>107</v>
      </c>
      <c r="CB25" s="16">
        <v>92</v>
      </c>
      <c r="CC25" s="16">
        <v>73</v>
      </c>
      <c r="CD25" s="16">
        <v>74</v>
      </c>
      <c r="CE25" s="16">
        <v>71</v>
      </c>
      <c r="CF25" s="16">
        <v>65</v>
      </c>
      <c r="CG25" s="16">
        <v>70</v>
      </c>
      <c r="CH25" s="16">
        <v>66</v>
      </c>
      <c r="CI25" s="16">
        <v>59</v>
      </c>
      <c r="CJ25" s="16">
        <v>49</v>
      </c>
      <c r="CK25" s="16">
        <v>62</v>
      </c>
      <c r="CL25" s="16">
        <f>+CK25-1</f>
        <v>61</v>
      </c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>
        <f t="shared" si="8"/>
        <v>0</v>
      </c>
      <c r="DA25" s="16">
        <f t="shared" si="9"/>
        <v>0</v>
      </c>
      <c r="DB25" s="16">
        <f t="shared" si="10"/>
        <v>326</v>
      </c>
      <c r="DC25" s="16">
        <f t="shared" si="11"/>
        <v>529</v>
      </c>
      <c r="DD25" s="16">
        <f t="shared" si="12"/>
        <v>346</v>
      </c>
      <c r="DE25" s="16">
        <f t="shared" si="13"/>
        <v>272</v>
      </c>
      <c r="DF25" s="16">
        <f t="shared" si="14"/>
        <v>231</v>
      </c>
      <c r="DG25" s="16">
        <f t="shared" ref="DG25:DL25" si="36">+DF25*0.9</f>
        <v>207.9</v>
      </c>
      <c r="DH25" s="16">
        <f t="shared" si="36"/>
        <v>187.11</v>
      </c>
      <c r="DI25" s="16">
        <f t="shared" si="36"/>
        <v>168.39900000000003</v>
      </c>
      <c r="DJ25" s="16">
        <f t="shared" si="36"/>
        <v>151.55910000000003</v>
      </c>
      <c r="DK25" s="16">
        <f t="shared" si="36"/>
        <v>136.40319000000002</v>
      </c>
      <c r="DL25" s="16">
        <f t="shared" si="36"/>
        <v>122.76287100000002</v>
      </c>
    </row>
    <row r="26" spans="2:116" s="15" customFormat="1" x14ac:dyDescent="0.2">
      <c r="B26" s="23" t="s">
        <v>126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11</v>
      </c>
      <c r="CB26" s="16">
        <v>33</v>
      </c>
      <c r="CC26" s="16">
        <v>62</v>
      </c>
      <c r="CD26" s="16">
        <v>52</v>
      </c>
      <c r="CE26" s="16">
        <v>66</v>
      </c>
      <c r="CF26" s="16">
        <v>96</v>
      </c>
      <c r="CG26" s="16">
        <v>132</v>
      </c>
      <c r="CH26" s="16">
        <v>114</v>
      </c>
      <c r="CI26" s="16">
        <v>131</v>
      </c>
      <c r="CJ26" s="16">
        <v>150</v>
      </c>
      <c r="CK26" s="16">
        <v>176</v>
      </c>
      <c r="CL26" s="16">
        <f>+CH26*1.3</f>
        <v>148.20000000000002</v>
      </c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>
        <f t="shared" si="8"/>
        <v>0</v>
      </c>
      <c r="DA26" s="16">
        <f t="shared" si="9"/>
        <v>0</v>
      </c>
      <c r="DB26" s="16">
        <f t="shared" si="10"/>
        <v>0</v>
      </c>
      <c r="DC26" s="16">
        <f t="shared" si="11"/>
        <v>0</v>
      </c>
      <c r="DD26" s="16">
        <f t="shared" si="12"/>
        <v>158</v>
      </c>
      <c r="DE26" s="16">
        <f t="shared" si="13"/>
        <v>408</v>
      </c>
      <c r="DF26" s="16">
        <f t="shared" si="14"/>
        <v>605.20000000000005</v>
      </c>
      <c r="DG26" s="16">
        <f>+DF26*1.2</f>
        <v>726.24</v>
      </c>
      <c r="DH26" s="16">
        <f>+DG26*1.2</f>
        <v>871.48799999999994</v>
      </c>
      <c r="DI26" s="16">
        <f>+DH26*1.1</f>
        <v>958.63679999999999</v>
      </c>
      <c r="DJ26" s="16">
        <f>+DI26*1.1</f>
        <v>1054.5004800000002</v>
      </c>
      <c r="DK26" s="16">
        <f>+DJ26*1.03</f>
        <v>1086.1354944000002</v>
      </c>
      <c r="DL26" s="15">
        <f>+DK26*0.1</f>
        <v>108.61354944000003</v>
      </c>
    </row>
    <row r="27" spans="2:116" s="15" customFormat="1" x14ac:dyDescent="0.2">
      <c r="B27" s="79" t="s">
        <v>331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>
        <v>64</v>
      </c>
      <c r="CJ27" s="16">
        <v>128</v>
      </c>
      <c r="CK27" s="16">
        <v>139</v>
      </c>
      <c r="CL27" s="16">
        <f>+CK27+2</f>
        <v>141</v>
      </c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>
        <f t="shared" si="14"/>
        <v>472</v>
      </c>
      <c r="DG27" s="16">
        <f>+DF27*1.1</f>
        <v>519.20000000000005</v>
      </c>
      <c r="DH27" s="16">
        <f>+DG27*1.1</f>
        <v>571.12000000000012</v>
      </c>
      <c r="DI27" s="16">
        <f>+DH27*1.1</f>
        <v>628.2320000000002</v>
      </c>
      <c r="DJ27" s="16">
        <f>+DI27*1.1</f>
        <v>691.05520000000024</v>
      </c>
      <c r="DK27" s="16">
        <f>+DJ27*1.1</f>
        <v>760.16072000000031</v>
      </c>
      <c r="DL27" s="16">
        <f>+DK27*1.1</f>
        <v>836.17679200000043</v>
      </c>
    </row>
    <row r="28" spans="2:116" s="15" customFormat="1" x14ac:dyDescent="0.2">
      <c r="B28" s="79" t="s">
        <v>332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>
        <v>14</v>
      </c>
      <c r="CH28" s="16">
        <v>17</v>
      </c>
      <c r="CI28" s="16">
        <v>27</v>
      </c>
      <c r="CJ28" s="16">
        <v>36</v>
      </c>
      <c r="CK28" s="16">
        <v>43</v>
      </c>
      <c r="CL28" s="16">
        <f>+CK28+3</f>
        <v>46</v>
      </c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>
        <f t="shared" ref="DE28:DE29" si="37">SUM(CE28:CH28)</f>
        <v>31</v>
      </c>
      <c r="DF28" s="16">
        <f t="shared" si="14"/>
        <v>152</v>
      </c>
      <c r="DG28" s="16"/>
      <c r="DH28" s="16"/>
      <c r="DI28" s="16"/>
      <c r="DJ28" s="16"/>
      <c r="DK28" s="16"/>
    </row>
    <row r="29" spans="2:116" s="15" customFormat="1" x14ac:dyDescent="0.2">
      <c r="B29" s="74" t="s">
        <v>325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>
        <v>110</v>
      </c>
      <c r="CC29" s="16">
        <v>106</v>
      </c>
      <c r="CD29" s="16"/>
      <c r="CE29" s="16">
        <v>115</v>
      </c>
      <c r="CF29" s="16">
        <v>119</v>
      </c>
      <c r="CG29" s="16">
        <v>120</v>
      </c>
      <c r="CH29" s="16">
        <v>118</v>
      </c>
      <c r="CI29" s="16">
        <v>131</v>
      </c>
      <c r="CJ29" s="16">
        <v>124</v>
      </c>
      <c r="CK29" s="16">
        <v>119</v>
      </c>
      <c r="CL29" s="16">
        <f>+CH29+5</f>
        <v>123</v>
      </c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>
        <f t="shared" si="37"/>
        <v>472</v>
      </c>
      <c r="DF29" s="16">
        <f t="shared" si="14"/>
        <v>497</v>
      </c>
      <c r="DG29" s="16"/>
      <c r="DH29" s="16"/>
      <c r="DI29" s="16"/>
      <c r="DJ29" s="16"/>
      <c r="DK29" s="16"/>
    </row>
    <row r="30" spans="2:116" s="15" customFormat="1" x14ac:dyDescent="0.2">
      <c r="B30" s="48" t="s">
        <v>231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80</v>
      </c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>
        <f t="shared" si="8"/>
        <v>0</v>
      </c>
      <c r="DA30" s="16">
        <f t="shared" si="9"/>
        <v>0</v>
      </c>
      <c r="DB30" s="16">
        <f t="shared" si="10"/>
        <v>80</v>
      </c>
      <c r="DC30" s="16"/>
      <c r="DD30" s="16"/>
      <c r="DE30" s="16"/>
      <c r="DF30" s="16"/>
      <c r="DG30" s="16"/>
      <c r="DH30" s="16"/>
      <c r="DI30" s="16"/>
      <c r="DJ30" s="16"/>
      <c r="DK30" s="16"/>
    </row>
    <row r="31" spans="2:116" s="15" customFormat="1" x14ac:dyDescent="0.2">
      <c r="B31" s="48" t="s">
        <v>232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19</v>
      </c>
      <c r="BQ31" s="16">
        <v>27</v>
      </c>
      <c r="BR31" s="16">
        <v>34</v>
      </c>
      <c r="BS31" s="16">
        <v>31</v>
      </c>
      <c r="BT31" s="16">
        <v>31</v>
      </c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>
        <f t="shared" si="8"/>
        <v>0</v>
      </c>
      <c r="DA31" s="16">
        <f t="shared" si="9"/>
        <v>80</v>
      </c>
      <c r="DB31" s="16">
        <f t="shared" si="10"/>
        <v>62</v>
      </c>
      <c r="DC31" s="16"/>
      <c r="DD31" s="16"/>
      <c r="DE31" s="16"/>
      <c r="DF31" s="16"/>
      <c r="DG31" s="16"/>
      <c r="DH31" s="16"/>
      <c r="DI31" s="16"/>
      <c r="DJ31" s="16"/>
      <c r="DK31" s="16"/>
    </row>
    <row r="32" spans="2:116" s="15" customFormat="1" x14ac:dyDescent="0.2">
      <c r="B32" s="98" t="s">
        <v>456</v>
      </c>
      <c r="C32" s="16"/>
      <c r="D32" s="16"/>
      <c r="E32" s="16"/>
      <c r="F32" s="16"/>
      <c r="G32" s="16">
        <v>50</v>
      </c>
      <c r="H32" s="16">
        <v>43</v>
      </c>
      <c r="I32" s="16">
        <v>50</v>
      </c>
      <c r="J32" s="16">
        <v>54</v>
      </c>
      <c r="K32" s="16">
        <v>52</v>
      </c>
      <c r="L32" s="16">
        <v>57</v>
      </c>
      <c r="M32" s="16">
        <f>219-N32-L32-K32</f>
        <v>56</v>
      </c>
      <c r="N32" s="16">
        <v>54</v>
      </c>
      <c r="O32" s="16">
        <v>53</v>
      </c>
      <c r="P32" s="16">
        <v>58</v>
      </c>
      <c r="Q32" s="16">
        <f>168-P32-O32</f>
        <v>57</v>
      </c>
      <c r="R32" s="16">
        <v>61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</row>
    <row r="33" spans="2:115" s="15" customFormat="1" x14ac:dyDescent="0.2">
      <c r="B33" s="98" t="s">
        <v>457</v>
      </c>
      <c r="C33" s="16"/>
      <c r="D33" s="16"/>
      <c r="E33" s="16"/>
      <c r="F33" s="16"/>
      <c r="G33" s="16">
        <v>37</v>
      </c>
      <c r="H33" s="16">
        <v>30</v>
      </c>
      <c r="I33" s="16">
        <v>35</v>
      </c>
      <c r="J33" s="16">
        <v>41</v>
      </c>
      <c r="K33" s="16">
        <v>36</v>
      </c>
      <c r="L33" s="16">
        <v>37</v>
      </c>
      <c r="M33" s="16">
        <f>154-L33-K33-N33</f>
        <v>40</v>
      </c>
      <c r="N33" s="16">
        <v>41</v>
      </c>
      <c r="O33" s="16">
        <v>40</v>
      </c>
      <c r="P33" s="16">
        <v>44</v>
      </c>
      <c r="Q33" s="16">
        <f>127-P33-O33</f>
        <v>43</v>
      </c>
      <c r="R33" s="16">
        <v>46</v>
      </c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</row>
    <row r="34" spans="2:115" s="15" customFormat="1" x14ac:dyDescent="0.2">
      <c r="B34" s="98" t="s">
        <v>458</v>
      </c>
      <c r="C34" s="16"/>
      <c r="D34" s="16"/>
      <c r="E34" s="16"/>
      <c r="F34" s="16"/>
      <c r="G34" s="16">
        <v>700</v>
      </c>
      <c r="H34" s="16">
        <v>706</v>
      </c>
      <c r="I34" s="16">
        <v>711</v>
      </c>
      <c r="J34" s="16">
        <v>475</v>
      </c>
      <c r="K34" s="16">
        <v>590</v>
      </c>
      <c r="L34" s="16">
        <v>337</v>
      </c>
      <c r="M34" s="16">
        <f>2501-L34-K34-N34</f>
        <v>942</v>
      </c>
      <c r="N34" s="16">
        <v>632</v>
      </c>
      <c r="O34" s="16">
        <v>616</v>
      </c>
      <c r="P34" s="16">
        <v>663</v>
      </c>
      <c r="Q34" s="16">
        <f>1891-P34-O34</f>
        <v>612</v>
      </c>
      <c r="R34" s="16">
        <v>709</v>
      </c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</row>
    <row r="35" spans="2:115" s="15" customFormat="1" x14ac:dyDescent="0.2">
      <c r="B35" s="15" t="s">
        <v>9</v>
      </c>
      <c r="C35" s="16"/>
      <c r="D35" s="16"/>
      <c r="E35" s="16"/>
      <c r="F35" s="16"/>
      <c r="G35" s="16">
        <v>180</v>
      </c>
      <c r="H35" s="16">
        <v>182</v>
      </c>
      <c r="I35" s="16">
        <v>202</v>
      </c>
      <c r="J35" s="16">
        <v>206</v>
      </c>
      <c r="K35" s="16">
        <v>171</v>
      </c>
      <c r="L35" s="16">
        <v>174</v>
      </c>
      <c r="M35" s="16">
        <f>699-L35-K35-N35</f>
        <v>181</v>
      </c>
      <c r="N35" s="16">
        <v>173</v>
      </c>
      <c r="O35" s="16">
        <v>168</v>
      </c>
      <c r="P35" s="16">
        <v>159</v>
      </c>
      <c r="Q35" s="16">
        <f>499-P35-O35</f>
        <v>172</v>
      </c>
      <c r="R35" s="16">
        <v>164</v>
      </c>
      <c r="S35" s="16"/>
      <c r="T35" s="16"/>
      <c r="U35" s="16"/>
      <c r="V35" s="16"/>
      <c r="W35" s="16">
        <f>218-X35</f>
        <v>64</v>
      </c>
      <c r="X35" s="16">
        <v>154</v>
      </c>
      <c r="Y35" s="16">
        <v>221</v>
      </c>
      <c r="Z35" s="16">
        <v>213</v>
      </c>
      <c r="AA35" s="16">
        <f>390-AB35</f>
        <v>193</v>
      </c>
      <c r="AB35" s="16">
        <v>197</v>
      </c>
      <c r="AC35" s="16">
        <v>195</v>
      </c>
      <c r="AD35" s="16">
        <v>215</v>
      </c>
      <c r="AE35" s="16">
        <v>172</v>
      </c>
      <c r="AF35" s="16">
        <v>187</v>
      </c>
      <c r="AG35" s="16">
        <v>189</v>
      </c>
      <c r="AH35" s="16">
        <v>200</v>
      </c>
      <c r="AI35" s="16">
        <v>184</v>
      </c>
      <c r="AJ35" s="16">
        <v>205</v>
      </c>
      <c r="AK35" s="16">
        <f>810-AJ35-AI35-AL35</f>
        <v>213</v>
      </c>
      <c r="AL35" s="16">
        <v>208</v>
      </c>
      <c r="AM35" s="16">
        <v>199</v>
      </c>
      <c r="AN35" s="16">
        <v>200</v>
      </c>
      <c r="AO35" s="16">
        <v>189</v>
      </c>
      <c r="AP35" s="16">
        <v>211</v>
      </c>
      <c r="AQ35" s="16">
        <v>181</v>
      </c>
      <c r="AR35" s="16">
        <v>199</v>
      </c>
      <c r="AS35" s="16">
        <v>196</v>
      </c>
      <c r="AT35" s="16">
        <v>209</v>
      </c>
      <c r="AU35" s="16">
        <v>189</v>
      </c>
      <c r="AV35" s="16">
        <v>186</v>
      </c>
      <c r="AW35" s="16">
        <v>196</v>
      </c>
      <c r="AX35" s="16">
        <v>207</v>
      </c>
      <c r="AY35" s="16">
        <v>192</v>
      </c>
      <c r="AZ35" s="16">
        <v>198</v>
      </c>
      <c r="BA35" s="16">
        <v>201</v>
      </c>
      <c r="BB35" s="16">
        <v>235</v>
      </c>
      <c r="BC35" s="16">
        <v>190</v>
      </c>
      <c r="BD35" s="16">
        <v>219</v>
      </c>
      <c r="BE35" s="16">
        <v>193</v>
      </c>
      <c r="BF35" s="16">
        <v>219</v>
      </c>
      <c r="BG35" s="16">
        <v>194</v>
      </c>
      <c r="BH35" s="16">
        <v>210</v>
      </c>
      <c r="BI35" s="16">
        <v>201</v>
      </c>
      <c r="BJ35" s="16">
        <v>224</v>
      </c>
      <c r="BK35" s="16">
        <v>219</v>
      </c>
      <c r="BL35" s="16">
        <v>223</v>
      </c>
      <c r="BM35" s="16">
        <v>214</v>
      </c>
      <c r="BN35" s="16">
        <v>236</v>
      </c>
      <c r="BO35" s="16">
        <v>229</v>
      </c>
      <c r="BP35" s="16">
        <v>209</v>
      </c>
      <c r="BQ35" s="16">
        <v>230</v>
      </c>
      <c r="BR35" s="16">
        <v>219</v>
      </c>
      <c r="BS35" s="16">
        <v>233</v>
      </c>
      <c r="BT35" s="16">
        <v>205</v>
      </c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>
        <f t="shared" si="8"/>
        <v>892</v>
      </c>
      <c r="DA35" s="16">
        <f t="shared" si="9"/>
        <v>887</v>
      </c>
      <c r="DB35" s="16">
        <f t="shared" si="10"/>
        <v>438</v>
      </c>
      <c r="DC35" s="16"/>
      <c r="DD35" s="16"/>
      <c r="DE35" s="16"/>
      <c r="DF35" s="16"/>
      <c r="DG35" s="16"/>
      <c r="DH35" s="16"/>
      <c r="DI35" s="16"/>
      <c r="DJ35" s="16"/>
      <c r="DK35" s="16"/>
    </row>
    <row r="36" spans="2:115" s="15" customFormat="1" x14ac:dyDescent="0.2">
      <c r="B36" s="15" t="s">
        <v>7</v>
      </c>
      <c r="C36" s="16"/>
      <c r="D36" s="16"/>
      <c r="E36" s="16"/>
      <c r="F36" s="16"/>
      <c r="G36" s="16">
        <v>180</v>
      </c>
      <c r="H36" s="16">
        <v>189</v>
      </c>
      <c r="I36" s="16">
        <v>165</v>
      </c>
      <c r="J36" s="16">
        <v>154</v>
      </c>
      <c r="K36" s="16">
        <v>136</v>
      </c>
      <c r="L36" s="16">
        <v>127</v>
      </c>
      <c r="M36" s="16">
        <f>554-L36-K36-N36</f>
        <v>135</v>
      </c>
      <c r="N36" s="16">
        <v>156</v>
      </c>
      <c r="O36" s="16">
        <v>126</v>
      </c>
      <c r="P36" s="16">
        <v>149</v>
      </c>
      <c r="Q36" s="16">
        <f>403-P36-O36</f>
        <v>128</v>
      </c>
      <c r="R36" s="16">
        <v>132</v>
      </c>
      <c r="S36" s="16">
        <v>129</v>
      </c>
      <c r="T36" s="16">
        <v>121</v>
      </c>
      <c r="U36" s="16">
        <v>130</v>
      </c>
      <c r="V36" s="16">
        <v>153</v>
      </c>
      <c r="W36" s="16">
        <v>115</v>
      </c>
      <c r="X36" s="16">
        <v>138</v>
      </c>
      <c r="Y36" s="16">
        <v>129</v>
      </c>
      <c r="Z36" s="16">
        <v>142</v>
      </c>
      <c r="AA36" s="16">
        <f>220-AB36</f>
        <v>104</v>
      </c>
      <c r="AB36" s="16">
        <v>116</v>
      </c>
      <c r="AC36" s="16">
        <v>134</v>
      </c>
      <c r="AD36" s="16">
        <v>148</v>
      </c>
      <c r="AE36" s="16">
        <v>123</v>
      </c>
      <c r="AF36" s="16">
        <v>129</v>
      </c>
      <c r="AG36" s="16">
        <v>143</v>
      </c>
      <c r="AH36" s="16">
        <v>160</v>
      </c>
      <c r="AI36" s="16">
        <v>145</v>
      </c>
      <c r="AJ36" s="16">
        <v>169</v>
      </c>
      <c r="AK36" s="16">
        <f>638-AJ36-AI36-AL36</f>
        <v>161</v>
      </c>
      <c r="AL36" s="16">
        <v>163</v>
      </c>
      <c r="AM36" s="16">
        <v>155</v>
      </c>
      <c r="AN36" s="16">
        <v>149</v>
      </c>
      <c r="AO36" s="16">
        <v>157</v>
      </c>
      <c r="AP36" s="16">
        <v>194</v>
      </c>
      <c r="AQ36" s="16">
        <v>119</v>
      </c>
      <c r="AR36" s="16">
        <v>153</v>
      </c>
      <c r="AS36" s="16">
        <v>161</v>
      </c>
      <c r="AT36" s="16">
        <v>189</v>
      </c>
      <c r="AU36" s="16">
        <v>157</v>
      </c>
      <c r="AV36" s="16">
        <v>166</v>
      </c>
      <c r="AW36" s="16">
        <v>200</v>
      </c>
      <c r="AX36" s="16">
        <v>186</v>
      </c>
      <c r="AY36" s="16">
        <v>186</v>
      </c>
      <c r="AZ36" s="16">
        <v>187</v>
      </c>
      <c r="BA36" s="16">
        <v>188</v>
      </c>
      <c r="BB36" s="16">
        <v>194</v>
      </c>
      <c r="BC36" s="16">
        <v>182</v>
      </c>
      <c r="BD36" s="16">
        <v>188</v>
      </c>
      <c r="BE36" s="16">
        <v>188</v>
      </c>
      <c r="BF36" s="16">
        <v>205</v>
      </c>
      <c r="BG36" s="16">
        <v>192</v>
      </c>
      <c r="BH36" s="16">
        <v>193</v>
      </c>
      <c r="BI36" s="16">
        <v>191</v>
      </c>
      <c r="BJ36" s="16">
        <v>205</v>
      </c>
      <c r="BK36" s="16">
        <v>182</v>
      </c>
      <c r="BL36" s="16">
        <v>193</v>
      </c>
      <c r="BM36" s="16">
        <v>192</v>
      </c>
      <c r="BN36" s="16">
        <v>209</v>
      </c>
      <c r="BO36" s="16">
        <v>182</v>
      </c>
      <c r="BP36" s="16">
        <v>203</v>
      </c>
      <c r="BQ36" s="16">
        <v>197</v>
      </c>
      <c r="BR36" s="16">
        <v>204</v>
      </c>
      <c r="BS36" s="16">
        <v>205</v>
      </c>
      <c r="BT36" s="16">
        <v>183</v>
      </c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>
        <f t="shared" si="8"/>
        <v>776</v>
      </c>
      <c r="DA36" s="16">
        <f t="shared" si="9"/>
        <v>786</v>
      </c>
      <c r="DB36" s="16">
        <f t="shared" si="10"/>
        <v>388</v>
      </c>
      <c r="DC36" s="16"/>
      <c r="DD36" s="16"/>
      <c r="DE36" s="16"/>
      <c r="DF36" s="16"/>
      <c r="DG36" s="16"/>
      <c r="DH36" s="16"/>
      <c r="DI36" s="16"/>
      <c r="DJ36" s="16"/>
      <c r="DK36" s="16"/>
    </row>
    <row r="37" spans="2:115" s="15" customFormat="1" x14ac:dyDescent="0.2">
      <c r="B37" s="48" t="s">
        <v>233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36</v>
      </c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>
        <f t="shared" si="8"/>
        <v>0</v>
      </c>
      <c r="DA37" s="16">
        <f t="shared" si="9"/>
        <v>0</v>
      </c>
      <c r="DB37" s="16">
        <f t="shared" si="10"/>
        <v>36</v>
      </c>
      <c r="DC37" s="16"/>
      <c r="DD37" s="16"/>
      <c r="DE37" s="16"/>
      <c r="DF37" s="16"/>
      <c r="DG37" s="16"/>
      <c r="DH37" s="16"/>
      <c r="DI37" s="16"/>
      <c r="DJ37" s="16"/>
      <c r="DK37" s="16"/>
    </row>
    <row r="38" spans="2:115" s="15" customFormat="1" x14ac:dyDescent="0.2">
      <c r="B38" s="15" t="s">
        <v>2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>
        <v>96</v>
      </c>
      <c r="AP38" s="16"/>
      <c r="AQ38" s="16">
        <v>345</v>
      </c>
      <c r="AR38" s="16">
        <v>70</v>
      </c>
      <c r="AS38" s="16">
        <v>98</v>
      </c>
      <c r="AT38" s="16">
        <v>314</v>
      </c>
      <c r="AU38" s="16">
        <v>354</v>
      </c>
      <c r="AV38" s="16">
        <v>74</v>
      </c>
      <c r="AW38" s="16">
        <v>109</v>
      </c>
      <c r="AX38" s="16">
        <v>298</v>
      </c>
      <c r="AY38" s="16">
        <v>335</v>
      </c>
      <c r="AZ38" s="16">
        <v>46</v>
      </c>
      <c r="BA38" s="16">
        <v>93</v>
      </c>
      <c r="BB38" s="16">
        <v>266</v>
      </c>
      <c r="BC38" s="16">
        <v>319</v>
      </c>
      <c r="BD38" s="16">
        <v>45</v>
      </c>
      <c r="BE38" s="16">
        <v>96</v>
      </c>
      <c r="BF38" s="16">
        <v>270</v>
      </c>
      <c r="BG38" s="16">
        <v>300</v>
      </c>
      <c r="BH38" s="16">
        <v>40</v>
      </c>
      <c r="BI38" s="16">
        <v>116</v>
      </c>
      <c r="BJ38" s="16">
        <v>282</v>
      </c>
      <c r="BK38" s="16">
        <v>321</v>
      </c>
      <c r="BL38" s="16">
        <v>44</v>
      </c>
      <c r="BM38" s="16">
        <v>97</v>
      </c>
      <c r="BN38" s="16">
        <v>264</v>
      </c>
      <c r="BO38" s="16">
        <v>287</v>
      </c>
      <c r="BP38" s="16">
        <v>38</v>
      </c>
      <c r="BQ38" s="16">
        <v>132</v>
      </c>
      <c r="BR38" s="16">
        <v>261</v>
      </c>
      <c r="BS38" s="16">
        <v>270</v>
      </c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>
        <f t="shared" si="8"/>
        <v>726</v>
      </c>
      <c r="DA38" s="16">
        <f t="shared" si="9"/>
        <v>718</v>
      </c>
      <c r="DB38" s="16">
        <f t="shared" si="10"/>
        <v>270</v>
      </c>
      <c r="DC38" s="16"/>
      <c r="DD38" s="16"/>
      <c r="DE38" s="16"/>
      <c r="DF38" s="16"/>
      <c r="DG38" s="16"/>
      <c r="DH38" s="16"/>
      <c r="DI38" s="16"/>
      <c r="DJ38" s="16"/>
      <c r="DK38" s="16"/>
    </row>
    <row r="39" spans="2:115" s="15" customFormat="1" x14ac:dyDescent="0.2">
      <c r="B39" s="98" t="s">
        <v>446</v>
      </c>
      <c r="C39" s="16"/>
      <c r="D39" s="16"/>
      <c r="E39" s="16"/>
      <c r="F39" s="16"/>
      <c r="G39" s="16">
        <v>17</v>
      </c>
      <c r="H39" s="16">
        <v>193</v>
      </c>
      <c r="I39" s="16">
        <v>200</v>
      </c>
      <c r="J39" s="16">
        <v>211</v>
      </c>
      <c r="K39" s="16">
        <v>197</v>
      </c>
      <c r="L39" s="16">
        <v>226</v>
      </c>
      <c r="M39" s="16">
        <f>874-L39-K39-N39</f>
        <v>218</v>
      </c>
      <c r="N39" s="16">
        <v>233</v>
      </c>
      <c r="O39" s="16">
        <v>207</v>
      </c>
      <c r="P39" s="16">
        <v>189</v>
      </c>
      <c r="Q39" s="16">
        <f>604-P39-O39</f>
        <v>208</v>
      </c>
      <c r="R39" s="16">
        <v>195</v>
      </c>
      <c r="S39" s="16">
        <v>174</v>
      </c>
      <c r="T39" s="16">
        <v>197</v>
      </c>
      <c r="U39" s="16">
        <v>188</v>
      </c>
      <c r="V39" s="16">
        <v>200</v>
      </c>
      <c r="W39" s="16">
        <v>187</v>
      </c>
      <c r="X39" s="16">
        <v>202</v>
      </c>
      <c r="Y39" s="16">
        <v>200</v>
      </c>
      <c r="Z39" s="16">
        <v>198</v>
      </c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</row>
    <row r="40" spans="2:115" s="15" customFormat="1" x14ac:dyDescent="0.2">
      <c r="B40" s="15" t="s">
        <v>3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>
        <v>241</v>
      </c>
      <c r="AN40" s="16">
        <v>284</v>
      </c>
      <c r="AO40" s="16">
        <v>287</v>
      </c>
      <c r="AP40" s="16">
        <v>373</v>
      </c>
      <c r="AQ40" s="16">
        <v>240</v>
      </c>
      <c r="AR40" s="16">
        <v>258</v>
      </c>
      <c r="AS40" s="16">
        <v>248</v>
      </c>
      <c r="AT40" s="16">
        <v>289</v>
      </c>
      <c r="AU40" s="16">
        <v>254</v>
      </c>
      <c r="AV40" s="16">
        <v>218</v>
      </c>
      <c r="AW40" s="16">
        <v>232</v>
      </c>
      <c r="AX40" s="16">
        <v>230</v>
      </c>
      <c r="AY40" s="16">
        <v>153</v>
      </c>
      <c r="AZ40" s="16">
        <v>170</v>
      </c>
      <c r="BA40" s="16">
        <v>177</v>
      </c>
      <c r="BB40" s="16">
        <v>194</v>
      </c>
      <c r="BC40" s="16">
        <v>156</v>
      </c>
      <c r="BD40" s="16">
        <v>171</v>
      </c>
      <c r="BE40" s="16">
        <v>174</v>
      </c>
      <c r="BF40" s="16">
        <v>174</v>
      </c>
      <c r="BG40" s="16">
        <v>136</v>
      </c>
      <c r="BH40" s="16">
        <v>154</v>
      </c>
      <c r="BI40" s="16">
        <v>147</v>
      </c>
      <c r="BJ40" s="16">
        <v>140</v>
      </c>
      <c r="BK40" s="16">
        <v>130</v>
      </c>
      <c r="BL40" s="16">
        <v>128</v>
      </c>
      <c r="BM40" s="16">
        <v>135</v>
      </c>
      <c r="BN40" s="16">
        <v>76</v>
      </c>
      <c r="BO40" s="16">
        <v>74</v>
      </c>
      <c r="BP40" s="16">
        <v>22</v>
      </c>
      <c r="BQ40" s="16">
        <v>53</v>
      </c>
      <c r="BR40" s="16">
        <v>23</v>
      </c>
      <c r="BS40" s="16">
        <v>8</v>
      </c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>
        <f t="shared" si="8"/>
        <v>469</v>
      </c>
      <c r="DA40" s="16">
        <f t="shared" si="9"/>
        <v>172</v>
      </c>
      <c r="DB40" s="16">
        <f t="shared" si="10"/>
        <v>8</v>
      </c>
      <c r="DC40" s="16"/>
      <c r="DD40" s="16"/>
      <c r="DE40" s="16"/>
      <c r="DF40" s="16"/>
      <c r="DG40" s="16"/>
      <c r="DH40" s="16"/>
      <c r="DI40" s="16"/>
      <c r="DJ40" s="16"/>
      <c r="DK40" s="16"/>
    </row>
    <row r="41" spans="2:115" s="15" customFormat="1" x14ac:dyDescent="0.2">
      <c r="B41" s="98" t="s">
        <v>463</v>
      </c>
      <c r="C41" s="16"/>
      <c r="D41" s="16"/>
      <c r="E41" s="16"/>
      <c r="F41" s="16"/>
      <c r="G41" s="16">
        <v>104</v>
      </c>
      <c r="H41" s="16">
        <v>104</v>
      </c>
      <c r="I41" s="16">
        <v>126</v>
      </c>
      <c r="J41" s="16">
        <v>258</v>
      </c>
      <c r="K41" s="16">
        <v>293</v>
      </c>
      <c r="L41" s="16">
        <v>322</v>
      </c>
      <c r="M41" s="16">
        <f>1232-N41-K41-L41</f>
        <v>311</v>
      </c>
      <c r="N41" s="16">
        <v>306</v>
      </c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</row>
    <row r="42" spans="2:115" s="15" customFormat="1" x14ac:dyDescent="0.2">
      <c r="B42" s="98" t="s">
        <v>451</v>
      </c>
      <c r="C42" s="16"/>
      <c r="D42" s="16"/>
      <c r="E42" s="16"/>
      <c r="F42" s="16"/>
      <c r="G42" s="16">
        <v>75</v>
      </c>
      <c r="H42" s="16">
        <v>50</v>
      </c>
      <c r="I42" s="16">
        <v>50</v>
      </c>
      <c r="J42" s="16">
        <v>148</v>
      </c>
      <c r="K42" s="16">
        <v>135</v>
      </c>
      <c r="L42" s="16">
        <v>85</v>
      </c>
      <c r="M42" s="16">
        <f>495-N42-L42-K42</f>
        <v>86</v>
      </c>
      <c r="N42" s="16">
        <v>189</v>
      </c>
      <c r="O42" s="16">
        <v>143</v>
      </c>
      <c r="P42" s="16">
        <v>135</v>
      </c>
      <c r="Q42" s="16">
        <f>378-P42-O42</f>
        <v>100</v>
      </c>
      <c r="R42" s="16">
        <v>259</v>
      </c>
      <c r="S42" s="16">
        <v>161</v>
      </c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</row>
    <row r="43" spans="2:115" s="15" customFormat="1" x14ac:dyDescent="0.2">
      <c r="B43" s="98" t="s">
        <v>441</v>
      </c>
      <c r="C43" s="16"/>
      <c r="D43" s="16"/>
      <c r="E43" s="16"/>
      <c r="F43" s="16"/>
      <c r="G43" s="16">
        <v>290</v>
      </c>
      <c r="H43" s="16">
        <v>286</v>
      </c>
      <c r="I43" s="16">
        <v>224</v>
      </c>
      <c r="J43" s="16">
        <v>383</v>
      </c>
      <c r="K43" s="16">
        <v>353</v>
      </c>
      <c r="L43" s="16">
        <v>254</v>
      </c>
      <c r="M43" s="16">
        <f>1065-N43-L43-K43</f>
        <v>177</v>
      </c>
      <c r="N43" s="16">
        <v>281</v>
      </c>
      <c r="O43" s="16">
        <v>249</v>
      </c>
      <c r="P43" s="16">
        <v>138</v>
      </c>
      <c r="Q43" s="16">
        <f>580-P43-O43</f>
        <v>193</v>
      </c>
      <c r="R43" s="16">
        <v>235</v>
      </c>
      <c r="S43" s="16">
        <v>224</v>
      </c>
      <c r="T43" s="16">
        <v>170</v>
      </c>
      <c r="U43" s="16">
        <v>131</v>
      </c>
      <c r="V43" s="16">
        <v>200</v>
      </c>
      <c r="W43" s="16">
        <v>222</v>
      </c>
      <c r="X43" s="16">
        <v>159</v>
      </c>
      <c r="Y43" s="16">
        <v>115</v>
      </c>
      <c r="Z43" s="16">
        <v>154</v>
      </c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</row>
    <row r="44" spans="2:115" s="15" customFormat="1" x14ac:dyDescent="0.2">
      <c r="B44" s="15" t="s">
        <v>11</v>
      </c>
      <c r="C44" s="16"/>
      <c r="D44" s="16"/>
      <c r="E44" s="16"/>
      <c r="F44" s="16"/>
      <c r="G44" s="16">
        <v>200</v>
      </c>
      <c r="H44" s="16">
        <v>225</v>
      </c>
      <c r="I44" s="16">
        <v>224</v>
      </c>
      <c r="J44" s="16">
        <v>247</v>
      </c>
      <c r="K44" s="16">
        <v>238</v>
      </c>
      <c r="L44" s="16">
        <v>236</v>
      </c>
      <c r="M44" s="16">
        <f>1005-N44-L44-K44</f>
        <v>259</v>
      </c>
      <c r="N44" s="16">
        <v>272</v>
      </c>
      <c r="O44" s="16">
        <v>280</v>
      </c>
      <c r="P44" s="16">
        <v>294</v>
      </c>
      <c r="Q44" s="16">
        <f>839-P44-O44</f>
        <v>265</v>
      </c>
      <c r="R44" s="16">
        <v>159</v>
      </c>
      <c r="S44" s="16">
        <v>300</v>
      </c>
      <c r="T44" s="16">
        <v>315</v>
      </c>
      <c r="U44" s="16">
        <v>338</v>
      </c>
      <c r="V44" s="16">
        <v>371</v>
      </c>
      <c r="W44" s="16">
        <v>353</v>
      </c>
      <c r="X44" s="16">
        <v>355</v>
      </c>
      <c r="Y44" s="16">
        <v>387</v>
      </c>
      <c r="Z44" s="16">
        <v>378</v>
      </c>
      <c r="AA44" s="16">
        <f>635-AB44</f>
        <v>292</v>
      </c>
      <c r="AB44" s="16">
        <v>343</v>
      </c>
      <c r="AC44" s="16">
        <v>353</v>
      </c>
      <c r="AD44" s="16">
        <v>378</v>
      </c>
      <c r="AE44" s="16">
        <v>292</v>
      </c>
      <c r="AF44" s="16">
        <v>294</v>
      </c>
      <c r="AG44" s="16">
        <v>328</v>
      </c>
      <c r="AH44" s="16">
        <v>341</v>
      </c>
      <c r="AI44" s="16">
        <v>248</v>
      </c>
      <c r="AJ44" s="16">
        <v>336</v>
      </c>
      <c r="AK44" s="16">
        <f>1170-AJ44-AI44-AL44</f>
        <v>298</v>
      </c>
      <c r="AL44" s="16">
        <v>288</v>
      </c>
      <c r="AM44" s="16">
        <v>221</v>
      </c>
      <c r="AN44" s="16">
        <v>275</v>
      </c>
      <c r="AO44" s="16">
        <v>267</v>
      </c>
      <c r="AP44" s="16">
        <v>250</v>
      </c>
      <c r="AQ44" s="16">
        <v>219</v>
      </c>
      <c r="AR44" s="16">
        <v>278</v>
      </c>
      <c r="AS44" s="16">
        <v>237</v>
      </c>
      <c r="AT44" s="16">
        <v>228</v>
      </c>
      <c r="AU44" s="16">
        <v>195</v>
      </c>
      <c r="AV44" s="16">
        <v>216</v>
      </c>
      <c r="AW44" s="16">
        <v>256</v>
      </c>
      <c r="AX44" s="16">
        <v>203</v>
      </c>
      <c r="AY44" s="16">
        <v>180</v>
      </c>
      <c r="AZ44" s="16">
        <v>167</v>
      </c>
      <c r="BA44" s="16">
        <v>168</v>
      </c>
      <c r="BB44" s="16">
        <v>185</v>
      </c>
      <c r="BC44" s="16">
        <v>133</v>
      </c>
      <c r="BD44" s="16">
        <v>146</v>
      </c>
      <c r="BE44" s="16">
        <v>137</v>
      </c>
      <c r="BF44" s="16">
        <v>133</v>
      </c>
      <c r="BG44" s="16">
        <v>115</v>
      </c>
      <c r="BH44" s="16">
        <v>110</v>
      </c>
      <c r="BI44" s="16">
        <v>85</v>
      </c>
      <c r="BJ44" s="16">
        <v>113</v>
      </c>
      <c r="BK44" s="16">
        <v>73</v>
      </c>
      <c r="BL44" s="16">
        <v>91</v>
      </c>
      <c r="BM44" s="16">
        <v>88</v>
      </c>
      <c r="BN44" s="16">
        <v>84</v>
      </c>
      <c r="BO44" s="16">
        <v>78</v>
      </c>
      <c r="BP44" s="16">
        <v>77</v>
      </c>
      <c r="BQ44" s="16">
        <v>74</v>
      </c>
      <c r="BR44" s="16">
        <v>54</v>
      </c>
      <c r="BS44" s="16">
        <v>86</v>
      </c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>
        <f t="shared" si="8"/>
        <v>336</v>
      </c>
      <c r="DA44" s="16">
        <f t="shared" si="9"/>
        <v>283</v>
      </c>
      <c r="DB44" s="16">
        <f t="shared" si="10"/>
        <v>86</v>
      </c>
      <c r="DC44" s="16"/>
      <c r="DD44" s="16"/>
      <c r="DE44" s="16"/>
      <c r="DF44" s="16"/>
      <c r="DG44" s="16"/>
      <c r="DH44" s="16"/>
      <c r="DI44" s="16"/>
      <c r="DJ44" s="16"/>
      <c r="DK44" s="16"/>
    </row>
    <row r="45" spans="2:115" s="15" customFormat="1" x14ac:dyDescent="0.2">
      <c r="B45" s="98" t="s">
        <v>440</v>
      </c>
      <c r="C45" s="16"/>
      <c r="D45" s="16"/>
      <c r="E45" s="16"/>
      <c r="F45" s="16"/>
      <c r="G45" s="16">
        <v>225</v>
      </c>
      <c r="H45" s="16">
        <v>224</v>
      </c>
      <c r="I45" s="16">
        <v>262</v>
      </c>
      <c r="J45" s="16">
        <v>317</v>
      </c>
      <c r="K45" s="16">
        <v>217</v>
      </c>
      <c r="L45" s="16">
        <v>267</v>
      </c>
      <c r="M45" s="16">
        <f>1096-N45-L45-K45</f>
        <v>262</v>
      </c>
      <c r="N45" s="16">
        <v>350</v>
      </c>
      <c r="O45" s="16">
        <v>246</v>
      </c>
      <c r="P45" s="16">
        <v>339</v>
      </c>
      <c r="Q45" s="16">
        <f>904-P45-O45</f>
        <v>319</v>
      </c>
      <c r="R45" s="16">
        <v>405</v>
      </c>
      <c r="S45" s="16">
        <v>326</v>
      </c>
      <c r="T45" s="16">
        <v>404</v>
      </c>
      <c r="U45" s="16">
        <v>383</v>
      </c>
      <c r="V45" s="16">
        <v>461</v>
      </c>
      <c r="W45" s="16">
        <v>365</v>
      </c>
      <c r="X45" s="16">
        <v>414</v>
      </c>
      <c r="Y45" s="16">
        <v>387</v>
      </c>
      <c r="Z45" s="16">
        <v>268</v>
      </c>
      <c r="AA45" s="16">
        <f>232-AB45</f>
        <v>130</v>
      </c>
      <c r="AB45" s="16">
        <v>102</v>
      </c>
      <c r="AC45" s="16">
        <v>92</v>
      </c>
      <c r="AD45" s="16">
        <v>102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</row>
    <row r="46" spans="2:115" s="15" customFormat="1" x14ac:dyDescent="0.2">
      <c r="B46" s="15" t="s">
        <v>10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>
        <v>142</v>
      </c>
      <c r="T46" s="16">
        <v>170</v>
      </c>
      <c r="U46" s="16">
        <v>167</v>
      </c>
      <c r="V46" s="16">
        <v>179</v>
      </c>
      <c r="W46" s="16">
        <v>176</v>
      </c>
      <c r="X46" s="16">
        <v>194</v>
      </c>
      <c r="Y46" s="16">
        <v>194</v>
      </c>
      <c r="Z46" s="16">
        <v>221</v>
      </c>
      <c r="AA46" s="16">
        <f>386-AB46</f>
        <v>178</v>
      </c>
      <c r="AB46" s="16">
        <v>208</v>
      </c>
      <c r="AC46" s="16">
        <v>215</v>
      </c>
      <c r="AD46" s="16">
        <v>254</v>
      </c>
      <c r="AE46" s="16">
        <v>205</v>
      </c>
      <c r="AF46" s="16">
        <v>211</v>
      </c>
      <c r="AG46" s="16">
        <v>225</v>
      </c>
      <c r="AH46" s="16">
        <v>286</v>
      </c>
      <c r="AI46" s="16">
        <v>226</v>
      </c>
      <c r="AJ46" s="16">
        <v>247</v>
      </c>
      <c r="AK46" s="16">
        <f>976-AJ46-AI46-AL46</f>
        <v>245</v>
      </c>
      <c r="AL46" s="16">
        <v>258</v>
      </c>
      <c r="AM46" s="16">
        <v>191</v>
      </c>
      <c r="AN46" s="16">
        <v>211</v>
      </c>
      <c r="AO46" s="16">
        <v>232</v>
      </c>
      <c r="AP46" s="16">
        <v>277</v>
      </c>
      <c r="AQ46" s="16">
        <v>186</v>
      </c>
      <c r="AR46" s="16">
        <v>232</v>
      </c>
      <c r="AS46" s="16">
        <v>201</v>
      </c>
      <c r="AT46" s="16">
        <v>31</v>
      </c>
      <c r="AU46" s="16">
        <v>47</v>
      </c>
      <c r="AV46" s="16">
        <v>21</v>
      </c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>
        <f t="shared" si="8"/>
        <v>0</v>
      </c>
      <c r="DA46" s="16">
        <f t="shared" si="9"/>
        <v>0</v>
      </c>
      <c r="DB46" s="16">
        <f t="shared" si="10"/>
        <v>0</v>
      </c>
      <c r="DC46" s="16"/>
      <c r="DD46" s="16"/>
      <c r="DE46" s="16"/>
      <c r="DF46" s="16"/>
      <c r="DG46" s="16"/>
      <c r="DH46" s="16"/>
      <c r="DI46" s="16"/>
      <c r="DJ46" s="16"/>
      <c r="DK46" s="16"/>
    </row>
    <row r="47" spans="2:115" s="15" customFormat="1" x14ac:dyDescent="0.2">
      <c r="B47" s="48" t="s">
        <v>234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16">
        <v>48</v>
      </c>
      <c r="AY47" s="16">
        <v>231</v>
      </c>
      <c r="AZ47" s="16">
        <v>385</v>
      </c>
      <c r="BA47" s="16">
        <v>469</v>
      </c>
      <c r="BB47" s="16">
        <v>554</v>
      </c>
      <c r="BC47" s="16">
        <v>414</v>
      </c>
      <c r="BD47" s="16">
        <v>419</v>
      </c>
      <c r="BE47" s="16">
        <v>378</v>
      </c>
      <c r="BF47" s="16">
        <v>311</v>
      </c>
      <c r="BG47" s="16">
        <v>263</v>
      </c>
      <c r="BH47" s="16">
        <v>225</v>
      </c>
      <c r="BI47" s="16">
        <v>0</v>
      </c>
      <c r="BJ47" s="16">
        <v>0</v>
      </c>
      <c r="BK47" s="16">
        <v>0</v>
      </c>
      <c r="BL47" s="16">
        <v>0</v>
      </c>
      <c r="BM47" s="16">
        <v>23</v>
      </c>
      <c r="BN47" s="16">
        <v>43</v>
      </c>
      <c r="BO47" s="16">
        <v>25</v>
      </c>
      <c r="BP47" s="16">
        <v>4</v>
      </c>
      <c r="BQ47" s="16">
        <v>3</v>
      </c>
      <c r="BR47" s="16">
        <v>4</v>
      </c>
      <c r="BS47" s="16">
        <v>5</v>
      </c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>
        <f t="shared" si="8"/>
        <v>66</v>
      </c>
      <c r="DA47" s="16">
        <f t="shared" si="9"/>
        <v>36</v>
      </c>
      <c r="DB47" s="16">
        <f t="shared" si="10"/>
        <v>5</v>
      </c>
      <c r="DC47" s="16"/>
      <c r="DD47" s="16"/>
      <c r="DE47" s="16"/>
      <c r="DF47" s="16"/>
      <c r="DG47" s="16"/>
      <c r="DH47" s="16"/>
      <c r="DI47" s="16"/>
      <c r="DJ47" s="16"/>
      <c r="DK47" s="16"/>
    </row>
    <row r="48" spans="2:115" s="15" customFormat="1" x14ac:dyDescent="0.2">
      <c r="B48" s="15" t="s">
        <v>8</v>
      </c>
      <c r="C48" s="16"/>
      <c r="D48" s="16"/>
      <c r="E48" s="16"/>
      <c r="F48" s="16"/>
      <c r="G48" s="16"/>
      <c r="H48" s="16"/>
      <c r="I48" s="16">
        <v>208</v>
      </c>
      <c r="J48" s="16">
        <v>227</v>
      </c>
      <c r="K48" s="16">
        <v>171</v>
      </c>
      <c r="L48" s="16">
        <v>219</v>
      </c>
      <c r="M48" s="16">
        <f>927-N48-L48-K48</f>
        <v>225</v>
      </c>
      <c r="N48" s="16">
        <v>312</v>
      </c>
      <c r="O48" s="16">
        <v>205</v>
      </c>
      <c r="P48" s="16">
        <v>266</v>
      </c>
      <c r="Q48" s="16">
        <f>722-P48-O48</f>
        <v>251</v>
      </c>
      <c r="R48" s="16">
        <v>326</v>
      </c>
      <c r="S48" s="16">
        <v>223</v>
      </c>
      <c r="T48" s="16">
        <v>302</v>
      </c>
      <c r="U48" s="16">
        <v>300</v>
      </c>
      <c r="V48" s="16">
        <v>392</v>
      </c>
      <c r="W48" s="16">
        <v>245</v>
      </c>
      <c r="X48" s="16">
        <v>307</v>
      </c>
      <c r="Y48" s="16">
        <v>334</v>
      </c>
      <c r="Z48" s="16">
        <v>455</v>
      </c>
      <c r="AA48" s="16">
        <f>588-AB48</f>
        <v>252</v>
      </c>
      <c r="AB48" s="16">
        <v>336</v>
      </c>
      <c r="AC48" s="16">
        <v>330</v>
      </c>
      <c r="AD48" s="16">
        <v>419</v>
      </c>
      <c r="AE48" s="16">
        <v>291</v>
      </c>
      <c r="AF48" s="16">
        <v>388</v>
      </c>
      <c r="AG48" s="16">
        <v>404</v>
      </c>
      <c r="AH48" s="16">
        <v>499</v>
      </c>
      <c r="AI48" s="16">
        <v>372</v>
      </c>
      <c r="AJ48" s="16">
        <v>419</v>
      </c>
      <c r="AK48" s="16">
        <f>1692-AJ48-AI48-AL48</f>
        <v>418</v>
      </c>
      <c r="AL48" s="16">
        <v>483</v>
      </c>
      <c r="AM48" s="16">
        <v>329</v>
      </c>
      <c r="AN48" s="16">
        <v>388</v>
      </c>
      <c r="AO48" s="16">
        <v>404</v>
      </c>
      <c r="AP48" s="16">
        <v>269</v>
      </c>
      <c r="AQ48" s="16">
        <v>128</v>
      </c>
      <c r="AR48" s="16">
        <v>107</v>
      </c>
      <c r="AS48" s="16">
        <v>39</v>
      </c>
      <c r="AT48" s="16">
        <v>29</v>
      </c>
      <c r="AU48" s="16">
        <v>23</v>
      </c>
      <c r="AV48" s="16">
        <v>17</v>
      </c>
      <c r="AW48" s="16">
        <v>63</v>
      </c>
      <c r="AX48" s="16">
        <v>104</v>
      </c>
      <c r="AY48" s="16"/>
      <c r="AZ48" s="16"/>
      <c r="BA48" s="16"/>
      <c r="BB48" s="16"/>
      <c r="BC48" s="16"/>
      <c r="BD48" s="16"/>
      <c r="BE48" s="16"/>
      <c r="BF48" s="16"/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>
        <f t="shared" si="8"/>
        <v>0</v>
      </c>
      <c r="DA48" s="16">
        <f t="shared" si="9"/>
        <v>0</v>
      </c>
      <c r="DB48" s="16">
        <f t="shared" si="10"/>
        <v>0</v>
      </c>
      <c r="DC48" s="16"/>
      <c r="DD48" s="16"/>
      <c r="DE48" s="16"/>
      <c r="DF48" s="16"/>
      <c r="DG48" s="16"/>
      <c r="DH48" s="16"/>
      <c r="DI48" s="16"/>
      <c r="DJ48" s="16"/>
      <c r="DK48" s="16"/>
    </row>
    <row r="49" spans="2:243" s="15" customFormat="1" x14ac:dyDescent="0.2">
      <c r="B49" s="15" t="s">
        <v>63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>
        <v>135</v>
      </c>
      <c r="AP49" s="16"/>
      <c r="AQ49" s="16">
        <f>274-AR49</f>
        <v>137</v>
      </c>
      <c r="AR49" s="16">
        <v>137</v>
      </c>
      <c r="AS49" s="16">
        <v>138</v>
      </c>
      <c r="AT49" s="16">
        <v>156</v>
      </c>
      <c r="AU49" s="16">
        <v>142</v>
      </c>
      <c r="AV49" s="16">
        <v>154</v>
      </c>
      <c r="AW49" s="16">
        <v>134</v>
      </c>
      <c r="AX49" s="16">
        <v>120</v>
      </c>
      <c r="AY49" s="16">
        <v>126</v>
      </c>
      <c r="AZ49" s="16">
        <v>118</v>
      </c>
      <c r="BA49" s="16">
        <v>122</v>
      </c>
      <c r="BB49" s="16">
        <v>108</v>
      </c>
      <c r="BC49" s="16">
        <v>111</v>
      </c>
      <c r="BD49" s="16">
        <v>114</v>
      </c>
      <c r="BE49" s="16">
        <v>102</v>
      </c>
      <c r="BF49" s="16">
        <v>101</v>
      </c>
      <c r="BG49" s="16">
        <v>107</v>
      </c>
      <c r="BH49" s="16">
        <v>104</v>
      </c>
      <c r="BI49" s="16">
        <v>100</v>
      </c>
      <c r="BJ49" s="16">
        <v>99</v>
      </c>
      <c r="BK49" s="16">
        <v>106</v>
      </c>
      <c r="BL49" s="16">
        <v>113</v>
      </c>
      <c r="BM49" s="16">
        <v>86</v>
      </c>
      <c r="BN49" s="16">
        <v>86</v>
      </c>
      <c r="BO49" s="16">
        <v>92</v>
      </c>
      <c r="BP49" s="16">
        <v>91</v>
      </c>
      <c r="BQ49" s="16">
        <v>84</v>
      </c>
      <c r="BR49" s="16">
        <v>81</v>
      </c>
      <c r="BS49" s="16">
        <v>79</v>
      </c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>
        <f t="shared" si="8"/>
        <v>391</v>
      </c>
      <c r="DA49" s="16">
        <f t="shared" si="9"/>
        <v>348</v>
      </c>
      <c r="DB49" s="16">
        <f t="shared" si="10"/>
        <v>79</v>
      </c>
      <c r="DC49" s="16"/>
      <c r="DD49" s="16"/>
      <c r="DE49" s="16"/>
      <c r="DF49" s="16"/>
      <c r="DG49" s="16"/>
      <c r="DH49" s="16"/>
      <c r="DI49" s="16"/>
      <c r="DJ49" s="16"/>
      <c r="DK49" s="16"/>
    </row>
    <row r="50" spans="2:243" s="15" customFormat="1" x14ac:dyDescent="0.2">
      <c r="B50" s="15" t="s">
        <v>5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>
        <v>91</v>
      </c>
      <c r="AP50" s="16"/>
      <c r="AQ50" s="16">
        <v>81</v>
      </c>
      <c r="AR50" s="16">
        <v>107</v>
      </c>
      <c r="AS50" s="16">
        <v>100</v>
      </c>
      <c r="AT50" s="16">
        <v>101</v>
      </c>
      <c r="AU50" s="16"/>
      <c r="AV50" s="16">
        <v>0</v>
      </c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>
        <f t="shared" si="8"/>
        <v>0</v>
      </c>
      <c r="DA50" s="16">
        <f t="shared" si="9"/>
        <v>0</v>
      </c>
      <c r="DB50" s="16">
        <f t="shared" si="10"/>
        <v>0</v>
      </c>
      <c r="DC50" s="16"/>
      <c r="DD50" s="16"/>
      <c r="DE50" s="16"/>
      <c r="DF50" s="16"/>
      <c r="DG50" s="16"/>
      <c r="DH50" s="16"/>
      <c r="DI50" s="16"/>
      <c r="DJ50" s="16"/>
      <c r="DK50" s="16"/>
    </row>
    <row r="51" spans="2:243" s="15" customFormat="1" x14ac:dyDescent="0.2">
      <c r="B51" s="15" t="s">
        <v>13</v>
      </c>
      <c r="C51" s="16">
        <f t="shared" ref="C51" si="38">SUM(C5:C50)</f>
        <v>30</v>
      </c>
      <c r="D51" s="16">
        <f t="shared" ref="D51" si="39">SUM(D5:D50)</f>
        <v>60</v>
      </c>
      <c r="E51" s="16">
        <f>SUM(E5:E50)</f>
        <v>80</v>
      </c>
      <c r="F51" s="16">
        <f>SUM(F5:F50)</f>
        <v>110</v>
      </c>
      <c r="G51" s="16">
        <f t="shared" ref="G51" si="40">SUM(G5:G50)</f>
        <v>2207</v>
      </c>
      <c r="H51" s="16">
        <f t="shared" ref="H51" si="41">SUM(H5:H50)</f>
        <v>2435</v>
      </c>
      <c r="I51" s="16">
        <f>SUM(I5:I50)</f>
        <v>2684</v>
      </c>
      <c r="J51" s="16">
        <f>SUM(J5:J50)</f>
        <v>2994</v>
      </c>
      <c r="K51" s="16">
        <f t="shared" ref="K51" si="42">SUM(K5:K50)</f>
        <v>2871</v>
      </c>
      <c r="L51" s="16">
        <f t="shared" ref="L51" si="43">SUM(L5:L50)</f>
        <v>2662</v>
      </c>
      <c r="M51" s="16">
        <f>SUM(M5:M50)</f>
        <v>3248</v>
      </c>
      <c r="N51" s="16">
        <f>SUM(N5:N50)</f>
        <v>3440</v>
      </c>
      <c r="O51" s="16">
        <f t="shared" ref="O51" si="44">SUM(O5:O50)</f>
        <v>2725</v>
      </c>
      <c r="P51" s="16">
        <f t="shared" ref="P51" si="45">SUM(P5:P50)</f>
        <v>2925</v>
      </c>
      <c r="Q51" s="16">
        <f>SUM(Q5:Q50)</f>
        <v>2889</v>
      </c>
      <c r="R51" s="16">
        <f>SUM(R5:R50)</f>
        <v>3311</v>
      </c>
      <c r="S51" s="16">
        <f t="shared" ref="S51" si="46">SUM(S5:S50)</f>
        <v>2250</v>
      </c>
      <c r="T51" s="16">
        <f t="shared" ref="T51" si="47">SUM(T5:T50)</f>
        <v>2414</v>
      </c>
      <c r="U51" s="16">
        <f>SUM(U5:U50)</f>
        <v>2440</v>
      </c>
      <c r="V51" s="16">
        <f>SUM(V5:V50)</f>
        <v>2910</v>
      </c>
      <c r="W51" s="16">
        <f t="shared" ref="W51" si="48">SUM(W5:W50)</f>
        <v>2605</v>
      </c>
      <c r="X51" s="16">
        <f t="shared" ref="X51" si="49">SUM(X5:X50)</f>
        <v>3012</v>
      </c>
      <c r="Y51" s="16">
        <f>SUM(Y5:Y50)</f>
        <v>3171</v>
      </c>
      <c r="Z51" s="16">
        <f>SUM(Z5:Z50)</f>
        <v>3380</v>
      </c>
      <c r="AA51" s="16">
        <f t="shared" ref="AA51" si="50">SUM(AA5:AA50)</f>
        <v>2173</v>
      </c>
      <c r="AB51" s="16">
        <f t="shared" ref="AB51" si="51">SUM(AB5:AB50)</f>
        <v>2613</v>
      </c>
      <c r="AC51" s="16">
        <f>SUM(AC5:AC50)</f>
        <v>2810</v>
      </c>
      <c r="AD51" s="16">
        <f>SUM(AD5:AD50)</f>
        <v>3178</v>
      </c>
      <c r="AE51" s="16">
        <f t="shared" ref="AE51" si="52">SUM(AE5:AE50)</f>
        <v>2480</v>
      </c>
      <c r="AF51" s="16">
        <f t="shared" ref="AF51" si="53">SUM(AF5:AF50)</f>
        <v>2802</v>
      </c>
      <c r="AG51" s="16">
        <f>SUM(AG5:AG50)</f>
        <v>2968</v>
      </c>
      <c r="AH51" s="16">
        <f>SUM(AH5:AH50)</f>
        <v>3365</v>
      </c>
      <c r="AI51" s="16">
        <f t="shared" ref="AI51" si="54">SUM(AI5:AI50)</f>
        <v>2821</v>
      </c>
      <c r="AJ51" s="16">
        <f t="shared" ref="AJ51" si="55">SUM(AJ5:AJ50)</f>
        <v>3373</v>
      </c>
      <c r="AK51" s="16">
        <f>SUM(AK5:AK50)</f>
        <v>3446</v>
      </c>
      <c r="AL51" s="16">
        <f>SUM(AL5:AL50)</f>
        <v>3578</v>
      </c>
      <c r="AM51" s="16">
        <f t="shared" ref="AM51:AN51" si="56">SUM(AM5:AM50)</f>
        <v>3416</v>
      </c>
      <c r="AN51" s="16">
        <f t="shared" si="56"/>
        <v>3995</v>
      </c>
      <c r="AO51" s="16">
        <f t="shared" ref="AO51:BF51" si="57">SUM(AO5:AO50)</f>
        <v>4383</v>
      </c>
      <c r="AP51" s="16">
        <f t="shared" si="57"/>
        <v>4443</v>
      </c>
      <c r="AQ51" s="16">
        <f t="shared" si="57"/>
        <v>4009</v>
      </c>
      <c r="AR51" s="16">
        <f t="shared" si="57"/>
        <v>4297</v>
      </c>
      <c r="AS51" s="16">
        <f t="shared" si="57"/>
        <v>4335</v>
      </c>
      <c r="AT51" s="16">
        <f t="shared" si="57"/>
        <v>4749</v>
      </c>
      <c r="AU51" s="16">
        <f t="shared" si="57"/>
        <v>4157</v>
      </c>
      <c r="AV51" s="16">
        <f t="shared" si="57"/>
        <v>4506</v>
      </c>
      <c r="AW51" s="16">
        <f t="shared" si="57"/>
        <v>4649</v>
      </c>
      <c r="AX51" s="16">
        <f t="shared" si="57"/>
        <v>4966</v>
      </c>
      <c r="AY51" s="16">
        <f t="shared" si="57"/>
        <v>4694</v>
      </c>
      <c r="AZ51" s="16">
        <f t="shared" si="57"/>
        <v>5129</v>
      </c>
      <c r="BA51" s="16">
        <f t="shared" si="57"/>
        <v>5591</v>
      </c>
      <c r="BB51" s="16">
        <f t="shared" si="57"/>
        <v>6043</v>
      </c>
      <c r="BC51" s="16">
        <f t="shared" si="57"/>
        <v>5681</v>
      </c>
      <c r="BD51" s="16">
        <f t="shared" si="57"/>
        <v>6143</v>
      </c>
      <c r="BE51" s="16">
        <f t="shared" si="57"/>
        <v>6090</v>
      </c>
      <c r="BF51" s="16">
        <f t="shared" si="57"/>
        <v>6507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>
        <f t="shared" si="8"/>
        <v>0</v>
      </c>
      <c r="DA51" s="16">
        <f t="shared" si="9"/>
        <v>0</v>
      </c>
      <c r="DB51" s="16">
        <f t="shared" si="10"/>
        <v>0</v>
      </c>
      <c r="DC51" s="16"/>
      <c r="DD51" s="16"/>
      <c r="DE51" s="16"/>
      <c r="DF51" s="16"/>
      <c r="DG51" s="16"/>
      <c r="DH51" s="16"/>
      <c r="DI51" s="16"/>
      <c r="DJ51" s="16"/>
      <c r="DK51" s="16"/>
    </row>
    <row r="52" spans="2:243" s="15" customFormat="1" x14ac:dyDescent="0.2">
      <c r="B52" s="15" t="s">
        <v>12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>
        <v>301</v>
      </c>
      <c r="AP52" s="16"/>
      <c r="AQ52" s="16">
        <f>+AQ53-AQ51</f>
        <v>320</v>
      </c>
      <c r="AR52" s="16">
        <v>395</v>
      </c>
      <c r="AS52" s="16">
        <v>323</v>
      </c>
      <c r="AT52" s="16">
        <v>362</v>
      </c>
      <c r="AU52" s="16">
        <v>406</v>
      </c>
      <c r="AV52" s="16">
        <f>4926-AV51</f>
        <v>420</v>
      </c>
      <c r="AW52" s="16">
        <v>370</v>
      </c>
      <c r="AX52" s="16">
        <v>486</v>
      </c>
      <c r="AY52" s="16">
        <v>346</v>
      </c>
      <c r="AZ52" s="16">
        <v>346</v>
      </c>
      <c r="BA52" s="16">
        <v>353</v>
      </c>
      <c r="BB52" s="16">
        <v>317</v>
      </c>
      <c r="BC52" s="16">
        <v>277</v>
      </c>
      <c r="BD52" s="16">
        <v>289</v>
      </c>
      <c r="BE52" s="16">
        <v>296</v>
      </c>
      <c r="BF52" s="16">
        <v>277</v>
      </c>
      <c r="BG52" s="16">
        <f>6538-SUM(BG5:BG51)</f>
        <v>297</v>
      </c>
      <c r="BH52" s="16">
        <f>6944-SUM(BH5:BH51)</f>
        <v>289</v>
      </c>
      <c r="BI52" s="16">
        <f>6995-SUM(BI5:BI51)</f>
        <v>181</v>
      </c>
      <c r="BJ52" s="16">
        <f>7739-SUM(BJ5:BJ51)</f>
        <v>231</v>
      </c>
      <c r="BK52" s="16">
        <f>7934-7733</f>
        <v>201</v>
      </c>
      <c r="BL52" s="16">
        <v>131</v>
      </c>
      <c r="BM52" s="16">
        <v>25</v>
      </c>
      <c r="BN52" s="16">
        <f>8305-8239</f>
        <v>66</v>
      </c>
      <c r="BO52" s="16">
        <f>7828-7714</f>
        <v>114</v>
      </c>
      <c r="BP52" s="16">
        <v>254</v>
      </c>
      <c r="BQ52" s="16">
        <f>8479-8396</f>
        <v>83</v>
      </c>
      <c r="BR52" s="16">
        <f>8704-8631</f>
        <v>73</v>
      </c>
      <c r="BS52" s="16">
        <f>8619-8514</f>
        <v>105</v>
      </c>
      <c r="BT52" s="16">
        <f>10425-9835</f>
        <v>590</v>
      </c>
      <c r="BU52" s="16">
        <f>12882-11512</f>
        <v>1370</v>
      </c>
      <c r="BV52" s="16">
        <f>13858-12276</f>
        <v>1582</v>
      </c>
      <c r="BW52" s="16">
        <f>12935-11534</f>
        <v>1401</v>
      </c>
      <c r="BX52" s="16">
        <f>13959-12738</f>
        <v>1221</v>
      </c>
      <c r="BY52" s="16">
        <f>14342-13225</f>
        <v>1117</v>
      </c>
      <c r="BZ52" s="16">
        <f>14886-13501</f>
        <v>1385</v>
      </c>
      <c r="CA52" s="16">
        <f>13538-12327</f>
        <v>1211</v>
      </c>
      <c r="CB52" s="16">
        <f>14583-13574</f>
        <v>1009</v>
      </c>
      <c r="CC52" s="16">
        <v>925</v>
      </c>
      <c r="CD52" s="16">
        <v>992</v>
      </c>
      <c r="CE52" s="16">
        <v>691</v>
      </c>
      <c r="CF52" s="16">
        <v>741</v>
      </c>
      <c r="CG52" s="16">
        <v>782</v>
      </c>
      <c r="CH52" s="16">
        <f>3035-CG52-CF52-CE52</f>
        <v>821</v>
      </c>
      <c r="CI52" s="16">
        <v>744</v>
      </c>
      <c r="CJ52" s="16">
        <f>14462-SUM(CJ5:CJ29)</f>
        <v>810</v>
      </c>
      <c r="CK52" s="16">
        <v>726</v>
      </c>
      <c r="CL52" s="16">
        <f>+CH52</f>
        <v>821</v>
      </c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>
        <f t="shared" si="8"/>
        <v>423</v>
      </c>
      <c r="DA52" s="16">
        <f t="shared" ref="DA52" si="58">SUM(BO52:BR52)</f>
        <v>524</v>
      </c>
      <c r="DB52" s="16">
        <f t="shared" ref="DB52" si="59">SUM(BS52:BV52)</f>
        <v>3647</v>
      </c>
      <c r="DC52" s="16">
        <f t="shared" si="11"/>
        <v>5124</v>
      </c>
      <c r="DD52" s="16">
        <f t="shared" si="12"/>
        <v>4137</v>
      </c>
      <c r="DE52" s="16">
        <f>SUM(CE52:CH52)</f>
        <v>3035</v>
      </c>
      <c r="DF52" s="16">
        <f>SUM(CI52:CL52)</f>
        <v>3101</v>
      </c>
      <c r="DG52" s="16">
        <f t="shared" ref="DG52:DL52" si="60">+DF52*0.9</f>
        <v>2790.9</v>
      </c>
      <c r="DH52" s="16">
        <f t="shared" si="60"/>
        <v>2511.81</v>
      </c>
      <c r="DI52" s="16">
        <f t="shared" si="60"/>
        <v>2260.6289999999999</v>
      </c>
      <c r="DJ52" s="16">
        <f t="shared" si="60"/>
        <v>2034.5661</v>
      </c>
      <c r="DK52" s="16">
        <f t="shared" si="60"/>
        <v>1831.1094900000001</v>
      </c>
      <c r="DL52" s="16">
        <f t="shared" si="60"/>
        <v>1647.9985410000002</v>
      </c>
    </row>
    <row r="53" spans="2:243" s="17" customFormat="1" x14ac:dyDescent="0.2">
      <c r="B53" s="17" t="s">
        <v>242</v>
      </c>
      <c r="C53" s="18">
        <f t="shared" ref="C53:AP53" si="61">+C52+C51</f>
        <v>30</v>
      </c>
      <c r="D53" s="18">
        <f t="shared" si="61"/>
        <v>60</v>
      </c>
      <c r="E53" s="18">
        <f t="shared" si="61"/>
        <v>80</v>
      </c>
      <c r="F53" s="18">
        <f t="shared" si="61"/>
        <v>110</v>
      </c>
      <c r="G53" s="18">
        <f t="shared" si="61"/>
        <v>2207</v>
      </c>
      <c r="H53" s="18">
        <f t="shared" si="61"/>
        <v>2435</v>
      </c>
      <c r="I53" s="18">
        <f t="shared" si="61"/>
        <v>2684</v>
      </c>
      <c r="J53" s="18">
        <f t="shared" si="61"/>
        <v>2994</v>
      </c>
      <c r="K53" s="18">
        <f t="shared" si="61"/>
        <v>2871</v>
      </c>
      <c r="L53" s="18">
        <f t="shared" si="61"/>
        <v>2662</v>
      </c>
      <c r="M53" s="18">
        <f t="shared" si="61"/>
        <v>3248</v>
      </c>
      <c r="N53" s="18">
        <f t="shared" si="61"/>
        <v>3440</v>
      </c>
      <c r="O53" s="18">
        <f t="shared" si="61"/>
        <v>2725</v>
      </c>
      <c r="P53" s="18">
        <f t="shared" si="61"/>
        <v>2925</v>
      </c>
      <c r="Q53" s="18">
        <f t="shared" si="61"/>
        <v>2889</v>
      </c>
      <c r="R53" s="18">
        <f t="shared" si="61"/>
        <v>3311</v>
      </c>
      <c r="S53" s="18">
        <f t="shared" si="61"/>
        <v>2250</v>
      </c>
      <c r="T53" s="18">
        <f t="shared" si="61"/>
        <v>2414</v>
      </c>
      <c r="U53" s="18">
        <f t="shared" si="61"/>
        <v>2440</v>
      </c>
      <c r="V53" s="18">
        <f t="shared" si="61"/>
        <v>2910</v>
      </c>
      <c r="W53" s="18">
        <f t="shared" si="61"/>
        <v>2605</v>
      </c>
      <c r="X53" s="18">
        <f t="shared" si="61"/>
        <v>3012</v>
      </c>
      <c r="Y53" s="18">
        <f t="shared" si="61"/>
        <v>3171</v>
      </c>
      <c r="Z53" s="18">
        <f t="shared" si="61"/>
        <v>3380</v>
      </c>
      <c r="AA53" s="18">
        <f t="shared" si="61"/>
        <v>2173</v>
      </c>
      <c r="AB53" s="18">
        <f t="shared" si="61"/>
        <v>2613</v>
      </c>
      <c r="AC53" s="18">
        <f t="shared" si="61"/>
        <v>2810</v>
      </c>
      <c r="AD53" s="18">
        <f t="shared" si="61"/>
        <v>3178</v>
      </c>
      <c r="AE53" s="18">
        <f t="shared" si="61"/>
        <v>2480</v>
      </c>
      <c r="AF53" s="18">
        <f t="shared" si="61"/>
        <v>2802</v>
      </c>
      <c r="AG53" s="18">
        <f t="shared" si="61"/>
        <v>2968</v>
      </c>
      <c r="AH53" s="18">
        <f t="shared" si="61"/>
        <v>3365</v>
      </c>
      <c r="AI53" s="18">
        <f t="shared" si="61"/>
        <v>2821</v>
      </c>
      <c r="AJ53" s="18">
        <f t="shared" si="61"/>
        <v>3373</v>
      </c>
      <c r="AK53" s="18">
        <f t="shared" si="61"/>
        <v>3446</v>
      </c>
      <c r="AL53" s="18">
        <f t="shared" si="61"/>
        <v>3578</v>
      </c>
      <c r="AM53" s="18">
        <f t="shared" si="61"/>
        <v>3416</v>
      </c>
      <c r="AN53" s="18">
        <f t="shared" si="61"/>
        <v>3995</v>
      </c>
      <c r="AO53" s="18">
        <f t="shared" si="61"/>
        <v>4684</v>
      </c>
      <c r="AP53" s="18">
        <f t="shared" si="61"/>
        <v>4443</v>
      </c>
      <c r="AQ53" s="18">
        <v>4329</v>
      </c>
      <c r="AR53" s="18">
        <f>+AR51+AR52</f>
        <v>4692</v>
      </c>
      <c r="AS53" s="18">
        <f t="shared" ref="AS53:BF53" si="62">+AS52+AS51</f>
        <v>4658</v>
      </c>
      <c r="AT53" s="18">
        <f t="shared" si="62"/>
        <v>5111</v>
      </c>
      <c r="AU53" s="18">
        <f t="shared" si="62"/>
        <v>4563</v>
      </c>
      <c r="AV53" s="18">
        <f t="shared" si="62"/>
        <v>4926</v>
      </c>
      <c r="AW53" s="18">
        <f t="shared" si="62"/>
        <v>5019</v>
      </c>
      <c r="AX53" s="18">
        <f t="shared" si="62"/>
        <v>5452</v>
      </c>
      <c r="AY53" s="18">
        <f t="shared" si="62"/>
        <v>5040</v>
      </c>
      <c r="AZ53" s="18">
        <f t="shared" si="62"/>
        <v>5475</v>
      </c>
      <c r="BA53" s="18">
        <f t="shared" si="62"/>
        <v>5944</v>
      </c>
      <c r="BB53" s="18">
        <f t="shared" si="62"/>
        <v>6360</v>
      </c>
      <c r="BC53" s="18">
        <f t="shared" si="62"/>
        <v>5958</v>
      </c>
      <c r="BD53" s="18">
        <f t="shared" si="62"/>
        <v>6432</v>
      </c>
      <c r="BE53" s="18">
        <f t="shared" si="62"/>
        <v>6386</v>
      </c>
      <c r="BF53" s="18">
        <f t="shared" si="62"/>
        <v>6784</v>
      </c>
      <c r="BG53" s="18">
        <v>6538</v>
      </c>
      <c r="BH53" s="18">
        <v>6944</v>
      </c>
      <c r="BI53" s="18">
        <v>6995</v>
      </c>
      <c r="BJ53" s="18">
        <f>SUM(BJ5:BJ52)</f>
        <v>7739</v>
      </c>
      <c r="BK53" s="18">
        <v>7934</v>
      </c>
      <c r="BL53" s="18">
        <f t="shared" ref="BL53:CL53" si="63">SUM(BL5:BL52)</f>
        <v>8258</v>
      </c>
      <c r="BM53" s="18">
        <f t="shared" si="63"/>
        <v>8236</v>
      </c>
      <c r="BN53" s="18">
        <f t="shared" si="63"/>
        <v>8305</v>
      </c>
      <c r="BO53" s="18">
        <f t="shared" si="63"/>
        <v>7828</v>
      </c>
      <c r="BP53" s="18">
        <f t="shared" si="63"/>
        <v>8255</v>
      </c>
      <c r="BQ53" s="18">
        <f t="shared" si="63"/>
        <v>8479</v>
      </c>
      <c r="BR53" s="18">
        <f t="shared" si="63"/>
        <v>8704</v>
      </c>
      <c r="BS53" s="18">
        <f t="shared" si="63"/>
        <v>8619</v>
      </c>
      <c r="BT53" s="18">
        <f t="shared" si="63"/>
        <v>10425</v>
      </c>
      <c r="BU53" s="18">
        <f t="shared" si="63"/>
        <v>12882</v>
      </c>
      <c r="BV53" s="18">
        <f t="shared" si="63"/>
        <v>13858</v>
      </c>
      <c r="BW53" s="18">
        <f t="shared" si="63"/>
        <v>12935</v>
      </c>
      <c r="BX53" s="18">
        <f t="shared" si="63"/>
        <v>13959</v>
      </c>
      <c r="BY53" s="18">
        <f t="shared" si="63"/>
        <v>14342</v>
      </c>
      <c r="BZ53" s="18">
        <f t="shared" si="63"/>
        <v>14886</v>
      </c>
      <c r="CA53" s="18">
        <f t="shared" si="63"/>
        <v>13538</v>
      </c>
      <c r="CB53" s="18">
        <f t="shared" si="63"/>
        <v>14583</v>
      </c>
      <c r="CC53" s="18">
        <f t="shared" si="63"/>
        <v>14812</v>
      </c>
      <c r="CD53" s="18">
        <f t="shared" si="63"/>
        <v>15121</v>
      </c>
      <c r="CE53" s="18">
        <f t="shared" si="63"/>
        <v>12225</v>
      </c>
      <c r="CF53" s="18">
        <f t="shared" si="63"/>
        <v>13865</v>
      </c>
      <c r="CG53" s="18">
        <f t="shared" si="63"/>
        <v>13927</v>
      </c>
      <c r="CH53" s="18">
        <f t="shared" si="63"/>
        <v>14301</v>
      </c>
      <c r="CI53" s="18">
        <f t="shared" si="63"/>
        <v>12310</v>
      </c>
      <c r="CJ53" s="18">
        <f>SUM(CJ5:CJ52)</f>
        <v>14462</v>
      </c>
      <c r="CK53" s="18">
        <f t="shared" si="63"/>
        <v>14460</v>
      </c>
      <c r="CL53" s="18">
        <f t="shared" si="63"/>
        <v>13840.44</v>
      </c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>
        <f t="shared" ref="CZ53:DL53" si="64">SUM(CZ5:CZ52)</f>
        <v>32733</v>
      </c>
      <c r="DA53" s="18">
        <f t="shared" si="64"/>
        <v>33266</v>
      </c>
      <c r="DB53" s="18">
        <f t="shared" si="64"/>
        <v>45784</v>
      </c>
      <c r="DC53" s="18">
        <f t="shared" si="64"/>
        <v>56122</v>
      </c>
      <c r="DD53" s="18">
        <f t="shared" si="64"/>
        <v>57838</v>
      </c>
      <c r="DE53" s="18">
        <f t="shared" si="64"/>
        <v>54318</v>
      </c>
      <c r="DF53" s="18">
        <f t="shared" si="64"/>
        <v>55072.439999999995</v>
      </c>
      <c r="DG53" s="18">
        <f t="shared" si="64"/>
        <v>55938.652499999989</v>
      </c>
      <c r="DH53" s="18">
        <f t="shared" si="64"/>
        <v>54453.542265000004</v>
      </c>
      <c r="DI53" s="18">
        <f t="shared" si="64"/>
        <v>53499.095044950009</v>
      </c>
      <c r="DJ53" s="18">
        <f t="shared" si="64"/>
        <v>51481.176423148499</v>
      </c>
      <c r="DK53" s="18">
        <f t="shared" si="64"/>
        <v>50833.185421060465</v>
      </c>
      <c r="DL53" s="18">
        <f t="shared" si="64"/>
        <v>36128.713217258352</v>
      </c>
    </row>
    <row r="54" spans="2:243" s="15" customFormat="1" x14ac:dyDescent="0.2">
      <c r="B54" s="15" t="s">
        <v>25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>
        <v>1153</v>
      </c>
      <c r="AR54" s="16">
        <v>1054</v>
      </c>
      <c r="AS54" s="16">
        <v>1092</v>
      </c>
      <c r="AT54" s="16">
        <v>1282</v>
      </c>
      <c r="AU54" s="16">
        <v>1100</v>
      </c>
      <c r="AV54" s="16">
        <f>1113-69-3-6</f>
        <v>1035</v>
      </c>
      <c r="AW54" s="16">
        <v>1094</v>
      </c>
      <c r="AX54" s="16">
        <v>1119</v>
      </c>
      <c r="AY54" s="16">
        <v>942</v>
      </c>
      <c r="AZ54" s="16">
        <v>916</v>
      </c>
      <c r="BA54" s="16">
        <v>1167</v>
      </c>
      <c r="BB54" s="16">
        <v>1475</v>
      </c>
      <c r="BC54" s="16">
        <v>1369</v>
      </c>
      <c r="BD54" s="16">
        <v>1405</v>
      </c>
      <c r="BE54" s="16">
        <v>1235</v>
      </c>
      <c r="BF54" s="16">
        <v>1287</v>
      </c>
      <c r="BG54" s="16">
        <v>1313</v>
      </c>
      <c r="BH54" s="16">
        <v>1231</v>
      </c>
      <c r="BI54" s="16">
        <v>1342</v>
      </c>
      <c r="BJ54" s="16">
        <v>1625</v>
      </c>
      <c r="BK54" s="16">
        <v>1572</v>
      </c>
      <c r="BL54" s="16">
        <v>1607</v>
      </c>
      <c r="BM54" s="16">
        <v>1509</v>
      </c>
      <c r="BN54" s="16">
        <v>1674</v>
      </c>
      <c r="BO54" s="16">
        <v>1303</v>
      </c>
      <c r="BP54" s="16">
        <v>1427</v>
      </c>
      <c r="BQ54" s="16">
        <v>1525</v>
      </c>
      <c r="BR54" s="16">
        <v>1605</v>
      </c>
      <c r="BS54" s="16">
        <v>1494</v>
      </c>
      <c r="BT54" s="16">
        <v>1796</v>
      </c>
      <c r="BU54" s="16">
        <v>2362</v>
      </c>
      <c r="BV54" s="16">
        <v>2523</v>
      </c>
      <c r="BW54" s="16">
        <v>2085</v>
      </c>
      <c r="BX54" s="16">
        <v>2479</v>
      </c>
      <c r="BY54" s="16">
        <v>2413</v>
      </c>
      <c r="BZ54" s="16">
        <v>2448</v>
      </c>
      <c r="CA54" s="16">
        <v>2103</v>
      </c>
      <c r="CB54" s="16">
        <v>2167</v>
      </c>
      <c r="CC54" s="16">
        <v>2167</v>
      </c>
      <c r="CD54" s="16">
        <f>+CD53-CD55</f>
        <v>2268.1499999999996</v>
      </c>
      <c r="CE54" s="16">
        <v>1931</v>
      </c>
      <c r="CF54" s="16">
        <v>2117</v>
      </c>
      <c r="CG54" s="16">
        <v>2301</v>
      </c>
      <c r="CH54" s="16">
        <v>2297</v>
      </c>
      <c r="CI54" s="16">
        <v>2108</v>
      </c>
      <c r="CJ54" s="16">
        <v>2135</v>
      </c>
      <c r="CK54" s="16">
        <v>2251</v>
      </c>
      <c r="CL54" s="16">
        <f>+CL53-CL55</f>
        <v>2352.8748000000014</v>
      </c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>
        <f t="shared" si="8"/>
        <v>6362</v>
      </c>
      <c r="DA54" s="16">
        <f t="shared" ref="DA54" si="65">SUM(BO54:BR54)</f>
        <v>5860</v>
      </c>
      <c r="DB54" s="16">
        <f t="shared" ref="DB54" si="66">SUM(BS54:BV54)</f>
        <v>8175</v>
      </c>
      <c r="DC54" s="16">
        <f t="shared" ref="DC54" si="67">SUM(BW54:BZ54)</f>
        <v>9425</v>
      </c>
      <c r="DD54" s="16">
        <f t="shared" ref="DD54" si="68">SUM(CA54:CD54)</f>
        <v>8705.15</v>
      </c>
      <c r="DE54" s="16">
        <f>SUM(CE54:CH54)</f>
        <v>8646</v>
      </c>
      <c r="DF54" s="16">
        <f>SUM(CI54:CL54)</f>
        <v>8846.8748000000014</v>
      </c>
      <c r="DG54" s="16">
        <f t="shared" ref="DF54:DL54" si="69">+DG53-DG55</f>
        <v>8390.7978749999966</v>
      </c>
      <c r="DH54" s="16">
        <f t="shared" si="69"/>
        <v>8168.0313397499995</v>
      </c>
      <c r="DI54" s="16">
        <f t="shared" si="69"/>
        <v>8024.8642567425049</v>
      </c>
      <c r="DJ54" s="16">
        <f t="shared" si="69"/>
        <v>7722.1764634722786</v>
      </c>
      <c r="DK54" s="16">
        <f t="shared" si="69"/>
        <v>7624.977813159072</v>
      </c>
      <c r="DL54" s="16">
        <f t="shared" si="69"/>
        <v>5419.3069825887542</v>
      </c>
    </row>
    <row r="55" spans="2:243" s="15" customFormat="1" x14ac:dyDescent="0.2">
      <c r="B55" s="15" t="s">
        <v>24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>
        <f t="shared" ref="AQ55:BB55" si="70">+AQ53-AQ54</f>
        <v>3176</v>
      </c>
      <c r="AR55" s="16">
        <f t="shared" si="70"/>
        <v>3638</v>
      </c>
      <c r="AS55" s="16">
        <f t="shared" si="70"/>
        <v>3566</v>
      </c>
      <c r="AT55" s="16">
        <f t="shared" si="70"/>
        <v>3829</v>
      </c>
      <c r="AU55" s="16">
        <f t="shared" si="70"/>
        <v>3463</v>
      </c>
      <c r="AV55" s="16">
        <f t="shared" si="70"/>
        <v>3891</v>
      </c>
      <c r="AW55" s="16">
        <f t="shared" si="70"/>
        <v>3925</v>
      </c>
      <c r="AX55" s="16">
        <f t="shared" si="70"/>
        <v>4333</v>
      </c>
      <c r="AY55" s="16">
        <f t="shared" si="70"/>
        <v>4098</v>
      </c>
      <c r="AZ55" s="16">
        <f t="shared" si="70"/>
        <v>4559</v>
      </c>
      <c r="BA55" s="16">
        <f t="shared" si="70"/>
        <v>4777</v>
      </c>
      <c r="BB55" s="16">
        <f t="shared" si="70"/>
        <v>4885</v>
      </c>
      <c r="BC55" s="16">
        <f t="shared" ref="BC55" si="71">+BC53-BC54</f>
        <v>4589</v>
      </c>
      <c r="BD55" s="16">
        <f t="shared" ref="BD55:BE55" si="72">+BD53-BD54</f>
        <v>5027</v>
      </c>
      <c r="BE55" s="16">
        <f t="shared" si="72"/>
        <v>5151</v>
      </c>
      <c r="BF55" s="16">
        <f t="shared" ref="BF55:BG55" si="73">+BF53-BF54</f>
        <v>5497</v>
      </c>
      <c r="BG55" s="16">
        <f t="shared" si="73"/>
        <v>5225</v>
      </c>
      <c r="BH55" s="16">
        <f t="shared" ref="BH55:BI55" si="74">+BH53-BH54</f>
        <v>5713</v>
      </c>
      <c r="BI55" s="16">
        <f t="shared" si="74"/>
        <v>5653</v>
      </c>
      <c r="BJ55" s="16">
        <f t="shared" ref="BJ55" si="75">+BJ53-BJ54</f>
        <v>6114</v>
      </c>
      <c r="BK55" s="16">
        <f t="shared" ref="BK55:BP55" si="76">+BK53-BK54</f>
        <v>6362</v>
      </c>
      <c r="BL55" s="16">
        <f t="shared" si="76"/>
        <v>6651</v>
      </c>
      <c r="BM55" s="16">
        <f t="shared" si="76"/>
        <v>6727</v>
      </c>
      <c r="BN55" s="16">
        <f t="shared" si="76"/>
        <v>6631</v>
      </c>
      <c r="BO55" s="16">
        <f t="shared" si="76"/>
        <v>6525</v>
      </c>
      <c r="BP55" s="16">
        <f t="shared" si="76"/>
        <v>6828</v>
      </c>
      <c r="BQ55" s="16">
        <f t="shared" ref="BQ55:BR55" si="77">BQ53-BQ54</f>
        <v>6954</v>
      </c>
      <c r="BR55" s="16">
        <f t="shared" si="77"/>
        <v>7099</v>
      </c>
      <c r="BS55" s="16">
        <f t="shared" ref="BS55:BT55" si="78">BS53-BS54</f>
        <v>7125</v>
      </c>
      <c r="BT55" s="16">
        <f t="shared" si="78"/>
        <v>8629</v>
      </c>
      <c r="BU55" s="16">
        <f t="shared" ref="BU55:CA55" si="79">BU53-BU54</f>
        <v>10520</v>
      </c>
      <c r="BV55" s="16">
        <f t="shared" si="79"/>
        <v>11335</v>
      </c>
      <c r="BW55" s="16">
        <f t="shared" si="79"/>
        <v>10850</v>
      </c>
      <c r="BX55" s="16">
        <f t="shared" si="79"/>
        <v>11480</v>
      </c>
      <c r="BY55" s="16">
        <f t="shared" si="79"/>
        <v>11929</v>
      </c>
      <c r="BZ55" s="16">
        <f t="shared" si="79"/>
        <v>12438</v>
      </c>
      <c r="CA55" s="16">
        <f t="shared" si="79"/>
        <v>11435</v>
      </c>
      <c r="CB55" s="16">
        <f t="shared" ref="CB55" si="80">CB53-CB54</f>
        <v>12416</v>
      </c>
      <c r="CC55" s="16">
        <f>+CC53-CC54</f>
        <v>12645</v>
      </c>
      <c r="CD55" s="16">
        <f>+CD53*0.85</f>
        <v>12852.85</v>
      </c>
      <c r="CE55" s="16">
        <f>CE53-CE54</f>
        <v>10294</v>
      </c>
      <c r="CF55" s="16">
        <f>+CF53-CF54</f>
        <v>11748</v>
      </c>
      <c r="CG55" s="16">
        <f>+CG53-CG54</f>
        <v>11626</v>
      </c>
      <c r="CH55" s="16">
        <f>+CH53-CH54</f>
        <v>12004</v>
      </c>
      <c r="CI55" s="16">
        <f>+CI53-CI54</f>
        <v>10202</v>
      </c>
      <c r="CJ55" s="16">
        <f>+CJ53-CJ54</f>
        <v>12327</v>
      </c>
      <c r="CK55" s="16">
        <f>+CK53-CK54</f>
        <v>12209</v>
      </c>
      <c r="CL55" s="16">
        <f>+CL53*0.83</f>
        <v>11487.565199999999</v>
      </c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>
        <f t="shared" ref="CZ55:DB55" si="81">+CZ53-CZ54</f>
        <v>26371</v>
      </c>
      <c r="DA55" s="16">
        <f t="shared" si="81"/>
        <v>27406</v>
      </c>
      <c r="DB55" s="16">
        <f t="shared" si="81"/>
        <v>37609</v>
      </c>
      <c r="DC55" s="16">
        <f>+DC53-DC54</f>
        <v>46697</v>
      </c>
      <c r="DD55" s="16">
        <f>+DD53-DD54</f>
        <v>49132.85</v>
      </c>
      <c r="DE55" s="16">
        <f>+DE53-DE54</f>
        <v>45672</v>
      </c>
      <c r="DF55" s="16">
        <f>+DF53-DF54</f>
        <v>46225.565199999997</v>
      </c>
      <c r="DG55" s="16">
        <f t="shared" ref="DF55:DL55" si="82">+DG53*0.85</f>
        <v>47547.854624999993</v>
      </c>
      <c r="DH55" s="16">
        <f t="shared" si="82"/>
        <v>46285.510925250004</v>
      </c>
      <c r="DI55" s="16">
        <f t="shared" si="82"/>
        <v>45474.230788207504</v>
      </c>
      <c r="DJ55" s="16">
        <f t="shared" si="82"/>
        <v>43758.999959676221</v>
      </c>
      <c r="DK55" s="16">
        <f t="shared" si="82"/>
        <v>43208.207607901393</v>
      </c>
      <c r="DL55" s="16">
        <f t="shared" si="82"/>
        <v>30709.406234669597</v>
      </c>
    </row>
    <row r="56" spans="2:243" s="15" customFormat="1" x14ac:dyDescent="0.2">
      <c r="B56" s="15" t="s">
        <v>23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>
        <v>1237</v>
      </c>
      <c r="AR56" s="16">
        <v>1406</v>
      </c>
      <c r="AS56" s="16">
        <v>1261</v>
      </c>
      <c r="AT56" s="16">
        <v>1448</v>
      </c>
      <c r="AU56" s="16">
        <v>1340</v>
      </c>
      <c r="AV56" s="16">
        <f>1448-96-6</f>
        <v>1346</v>
      </c>
      <c r="AW56" s="16">
        <v>1595</v>
      </c>
      <c r="AX56" s="16">
        <v>3341</v>
      </c>
      <c r="AY56" s="16">
        <v>1473</v>
      </c>
      <c r="AZ56" s="16">
        <v>1703</v>
      </c>
      <c r="BA56" s="16">
        <v>1474</v>
      </c>
      <c r="BB56" s="16">
        <v>1737</v>
      </c>
      <c r="BC56" s="16">
        <v>1355</v>
      </c>
      <c r="BD56" s="16">
        <v>1466</v>
      </c>
      <c r="BE56" s="16">
        <v>1368</v>
      </c>
      <c r="BF56" s="16">
        <v>1625</v>
      </c>
      <c r="BG56" s="16">
        <v>1360</v>
      </c>
      <c r="BH56" s="16">
        <v>1405</v>
      </c>
      <c r="BI56" s="16">
        <v>1448</v>
      </c>
      <c r="BJ56" s="16">
        <v>1641</v>
      </c>
      <c r="BK56" s="16">
        <v>1670</v>
      </c>
      <c r="BL56" s="16">
        <v>1643</v>
      </c>
      <c r="BM56" s="16">
        <v>1575</v>
      </c>
      <c r="BN56" s="16">
        <v>1797</v>
      </c>
      <c r="BO56" s="16">
        <v>1563</v>
      </c>
      <c r="BP56" s="16">
        <v>1620</v>
      </c>
      <c r="BQ56" s="16">
        <v>1621</v>
      </c>
      <c r="BR56" s="16">
        <v>1883</v>
      </c>
      <c r="BS56" s="16">
        <v>1599</v>
      </c>
      <c r="BT56" s="16">
        <v>2392</v>
      </c>
      <c r="BU56" s="16">
        <v>2723</v>
      </c>
      <c r="BV56" s="16">
        <v>3089</v>
      </c>
      <c r="BW56" s="16">
        <v>2743</v>
      </c>
      <c r="BX56" s="16">
        <v>2953</v>
      </c>
      <c r="BY56" s="16">
        <v>2961</v>
      </c>
      <c r="BZ56" s="16">
        <v>3307</v>
      </c>
      <c r="CA56" s="16">
        <v>2852</v>
      </c>
      <c r="CB56" s="16">
        <v>3089</v>
      </c>
      <c r="CC56" s="16">
        <v>3089</v>
      </c>
      <c r="CD56" s="16">
        <f>+BZ56*1.01</f>
        <v>3340.07</v>
      </c>
      <c r="CE56" s="16">
        <v>2984</v>
      </c>
      <c r="CF56" s="16">
        <v>3218</v>
      </c>
      <c r="CG56" s="16">
        <v>3330</v>
      </c>
      <c r="CH56" s="16">
        <v>3540</v>
      </c>
      <c r="CI56" s="16">
        <v>3032</v>
      </c>
      <c r="CJ56" s="16">
        <v>3315</v>
      </c>
      <c r="CK56" s="16">
        <v>3326</v>
      </c>
      <c r="CL56" s="16">
        <f>+CH56*0.98</f>
        <v>3469.2</v>
      </c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>
        <f t="shared" si="8"/>
        <v>6685</v>
      </c>
      <c r="DA56" s="16">
        <f t="shared" ref="DA56:DA57" si="83">SUM(BO56:BR56)</f>
        <v>6687</v>
      </c>
      <c r="DB56" s="16">
        <f t="shared" ref="DB56:DB57" si="84">SUM(BS56:BV56)</f>
        <v>9803</v>
      </c>
      <c r="DC56" s="16">
        <f t="shared" ref="DC56:DC57" si="85">SUM(BW56:BZ56)</f>
        <v>11964</v>
      </c>
      <c r="DD56" s="16">
        <f t="shared" ref="DD56:DD57" si="86">SUM(CA56:CD56)</f>
        <v>12370.07</v>
      </c>
      <c r="DE56" s="16">
        <f>SUM(CE56:CH56)</f>
        <v>13072</v>
      </c>
      <c r="DF56" s="16">
        <f t="shared" ref="DF56:DF57" si="87">SUM(CI56:CL56)</f>
        <v>13142.2</v>
      </c>
      <c r="DG56" s="16">
        <f t="shared" ref="DG56:DL56" si="88">+DG53*0.2</f>
        <v>11187.730499999998</v>
      </c>
      <c r="DH56" s="16">
        <f t="shared" si="88"/>
        <v>10890.708453000001</v>
      </c>
      <c r="DI56" s="16">
        <f t="shared" si="88"/>
        <v>10699.819008990002</v>
      </c>
      <c r="DJ56" s="16">
        <f t="shared" si="88"/>
        <v>10296.2352846297</v>
      </c>
      <c r="DK56" s="16">
        <f t="shared" si="88"/>
        <v>10166.637084212094</v>
      </c>
      <c r="DL56" s="16">
        <f t="shared" si="88"/>
        <v>7225.742643451671</v>
      </c>
    </row>
    <row r="57" spans="2:243" s="15" customFormat="1" x14ac:dyDescent="0.2">
      <c r="B57" s="15" t="s">
        <v>22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>
        <v>634</v>
      </c>
      <c r="AR57" s="16">
        <v>709</v>
      </c>
      <c r="AS57" s="16">
        <v>714</v>
      </c>
      <c r="AT57" s="16">
        <v>798</v>
      </c>
      <c r="AU57" s="16">
        <v>772</v>
      </c>
      <c r="AV57" s="16">
        <f>834-41</f>
        <v>793</v>
      </c>
      <c r="AW57" s="16">
        <v>812</v>
      </c>
      <c r="AX57" s="16">
        <v>879</v>
      </c>
      <c r="AY57" s="16">
        <v>811</v>
      </c>
      <c r="AZ57" s="16">
        <v>981</v>
      </c>
      <c r="BA57" s="16">
        <v>1418</v>
      </c>
      <c r="BB57" s="16">
        <v>1075</v>
      </c>
      <c r="BC57" s="16">
        <v>946</v>
      </c>
      <c r="BD57" s="16">
        <v>1124</v>
      </c>
      <c r="BE57" s="16">
        <v>1051</v>
      </c>
      <c r="BF57" s="16">
        <v>1175</v>
      </c>
      <c r="BG57" s="16">
        <v>1112</v>
      </c>
      <c r="BH57" s="16">
        <v>1212</v>
      </c>
      <c r="BI57" s="16">
        <v>1190</v>
      </c>
      <c r="BJ57" s="16">
        <v>1322</v>
      </c>
      <c r="BK57" s="16">
        <v>1189</v>
      </c>
      <c r="BL57" s="16">
        <v>1267</v>
      </c>
      <c r="BM57" s="16">
        <v>1268</v>
      </c>
      <c r="BN57" s="16">
        <v>1369</v>
      </c>
      <c r="BO57" s="16">
        <v>1199</v>
      </c>
      <c r="BP57" s="16">
        <v>1232</v>
      </c>
      <c r="BQ57" s="16">
        <v>1227</v>
      </c>
      <c r="BR57" s="16">
        <v>1331</v>
      </c>
      <c r="BS57" s="16">
        <v>1234</v>
      </c>
      <c r="BT57" s="16">
        <v>1332</v>
      </c>
      <c r="BU57" s="16">
        <v>1513</v>
      </c>
      <c r="BV57" s="16">
        <v>1751</v>
      </c>
      <c r="BW57" s="16">
        <v>1505</v>
      </c>
      <c r="BX57" s="16">
        <v>1583</v>
      </c>
      <c r="BY57" s="16">
        <v>1632</v>
      </c>
      <c r="BZ57" s="16">
        <v>1798</v>
      </c>
      <c r="CA57" s="16">
        <v>1480</v>
      </c>
      <c r="CB57" s="16">
        <v>1607</v>
      </c>
      <c r="CC57" s="16">
        <v>1607</v>
      </c>
      <c r="CD57" s="16">
        <f>+BZ57*1.01</f>
        <v>1815.98</v>
      </c>
      <c r="CE57" s="16">
        <v>1657</v>
      </c>
      <c r="CF57" s="16">
        <v>1730</v>
      </c>
      <c r="CG57" s="16">
        <v>1720</v>
      </c>
      <c r="CH57" s="16">
        <v>1992</v>
      </c>
      <c r="CI57" s="16">
        <v>1811</v>
      </c>
      <c r="CJ57" s="16">
        <v>1917</v>
      </c>
      <c r="CK57" s="16">
        <v>2055</v>
      </c>
      <c r="CL57" s="16">
        <f>+CH57</f>
        <v>1992</v>
      </c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>
        <f t="shared" si="8"/>
        <v>5093</v>
      </c>
      <c r="DA57" s="16">
        <f t="shared" si="83"/>
        <v>4989</v>
      </c>
      <c r="DB57" s="16">
        <f t="shared" si="84"/>
        <v>5830</v>
      </c>
      <c r="DC57" s="16">
        <f t="shared" si="85"/>
        <v>6518</v>
      </c>
      <c r="DD57" s="16">
        <f t="shared" si="86"/>
        <v>6509.98</v>
      </c>
      <c r="DE57" s="16">
        <f>SUM(CE57:CH57)</f>
        <v>7099</v>
      </c>
      <c r="DF57" s="16">
        <f t="shared" si="87"/>
        <v>7775</v>
      </c>
      <c r="DG57" s="16"/>
      <c r="DH57" s="16"/>
      <c r="DI57" s="16"/>
      <c r="DJ57" s="16"/>
      <c r="DK57" s="16"/>
    </row>
    <row r="58" spans="2:243" s="15" customFormat="1" x14ac:dyDescent="0.2">
      <c r="B58" s="15" t="s">
        <v>20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>
        <f t="shared" ref="AQ58:BB58" si="89">+AQ57+AQ56</f>
        <v>1871</v>
      </c>
      <c r="AR58" s="16">
        <f t="shared" si="89"/>
        <v>2115</v>
      </c>
      <c r="AS58" s="16">
        <f t="shared" si="89"/>
        <v>1975</v>
      </c>
      <c r="AT58" s="16">
        <f t="shared" si="89"/>
        <v>2246</v>
      </c>
      <c r="AU58" s="16">
        <f t="shared" si="89"/>
        <v>2112</v>
      </c>
      <c r="AV58" s="16">
        <f t="shared" si="89"/>
        <v>2139</v>
      </c>
      <c r="AW58" s="16">
        <f t="shared" si="89"/>
        <v>2407</v>
      </c>
      <c r="AX58" s="16">
        <f t="shared" si="89"/>
        <v>4220</v>
      </c>
      <c r="AY58" s="16">
        <f t="shared" si="89"/>
        <v>2284</v>
      </c>
      <c r="AZ58" s="16">
        <f t="shared" si="89"/>
        <v>2684</v>
      </c>
      <c r="BA58" s="16">
        <f t="shared" si="89"/>
        <v>2892</v>
      </c>
      <c r="BB58" s="16">
        <f t="shared" si="89"/>
        <v>2812</v>
      </c>
      <c r="BC58" s="16">
        <f t="shared" ref="BC58" si="90">+BC56+BC57</f>
        <v>2301</v>
      </c>
      <c r="BD58" s="16">
        <f t="shared" ref="BD58:BE58" si="91">+BD56+BD57</f>
        <v>2590</v>
      </c>
      <c r="BE58" s="16">
        <f t="shared" si="91"/>
        <v>2419</v>
      </c>
      <c r="BF58" s="16">
        <f t="shared" ref="BF58:BG58" si="92">+BF56+BF57</f>
        <v>2800</v>
      </c>
      <c r="BG58" s="16">
        <f t="shared" si="92"/>
        <v>2472</v>
      </c>
      <c r="BH58" s="16">
        <f t="shared" ref="BH58:BI58" si="93">+BH56+BH57</f>
        <v>2617</v>
      </c>
      <c r="BI58" s="16">
        <f t="shared" si="93"/>
        <v>2638</v>
      </c>
      <c r="BJ58" s="16">
        <f t="shared" ref="BJ58" si="94">+BJ56+BJ57</f>
        <v>2963</v>
      </c>
      <c r="BK58" s="16">
        <f t="shared" ref="BK58:BP58" si="95">+BK56+BK57</f>
        <v>2859</v>
      </c>
      <c r="BL58" s="16">
        <f t="shared" si="95"/>
        <v>2910</v>
      </c>
      <c r="BM58" s="16">
        <f t="shared" si="95"/>
        <v>2843</v>
      </c>
      <c r="BN58" s="16">
        <f t="shared" si="95"/>
        <v>3166</v>
      </c>
      <c r="BO58" s="16">
        <f t="shared" si="95"/>
        <v>2762</v>
      </c>
      <c r="BP58" s="16">
        <f t="shared" si="95"/>
        <v>2852</v>
      </c>
      <c r="BQ58" s="16">
        <f t="shared" ref="BQ58:BR58" si="96">BQ57+BQ56</f>
        <v>2848</v>
      </c>
      <c r="BR58" s="16">
        <f t="shared" si="96"/>
        <v>3214</v>
      </c>
      <c r="BS58" s="16">
        <f t="shared" ref="BS58:BT58" si="97">BS57+BS56</f>
        <v>2833</v>
      </c>
      <c r="BT58" s="16">
        <f t="shared" si="97"/>
        <v>3724</v>
      </c>
      <c r="BU58" s="16">
        <f t="shared" ref="BU58:CA58" si="98">BU57+BU56</f>
        <v>4236</v>
      </c>
      <c r="BV58" s="16">
        <f t="shared" si="98"/>
        <v>4840</v>
      </c>
      <c r="BW58" s="16">
        <f t="shared" si="98"/>
        <v>4248</v>
      </c>
      <c r="BX58" s="16">
        <f t="shared" si="98"/>
        <v>4536</v>
      </c>
      <c r="BY58" s="16">
        <f t="shared" si="98"/>
        <v>4593</v>
      </c>
      <c r="BZ58" s="16">
        <f t="shared" si="98"/>
        <v>5105</v>
      </c>
      <c r="CA58" s="16">
        <f t="shared" si="98"/>
        <v>4332</v>
      </c>
      <c r="CB58" s="16">
        <f t="shared" ref="CB58:CD58" si="99">CB57+CB56</f>
        <v>4696</v>
      </c>
      <c r="CC58" s="16">
        <f t="shared" si="99"/>
        <v>4696</v>
      </c>
      <c r="CD58" s="16">
        <f t="shared" si="99"/>
        <v>5156.05</v>
      </c>
      <c r="CE58" s="16">
        <f t="shared" ref="CE58:CH58" si="100">CE57+CE56</f>
        <v>4641</v>
      </c>
      <c r="CF58" s="16">
        <f t="shared" si="100"/>
        <v>4948</v>
      </c>
      <c r="CG58" s="16">
        <f t="shared" si="100"/>
        <v>5050</v>
      </c>
      <c r="CH58" s="16">
        <f t="shared" si="100"/>
        <v>5532</v>
      </c>
      <c r="CI58" s="16">
        <f>+CI56+CI57</f>
        <v>4843</v>
      </c>
      <c r="CJ58" s="16">
        <f t="shared" ref="CJ58:CL58" si="101">+CJ56+CJ57</f>
        <v>5232</v>
      </c>
      <c r="CK58" s="16">
        <f t="shared" si="101"/>
        <v>5381</v>
      </c>
      <c r="CL58" s="16">
        <f t="shared" si="101"/>
        <v>5461.2</v>
      </c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>
        <f t="shared" ref="CZ58" si="102">+CZ56+CZ57</f>
        <v>11778</v>
      </c>
      <c r="DA58" s="16">
        <f t="shared" ref="DA58:DB58" si="103">+DA56+DA57</f>
        <v>11676</v>
      </c>
      <c r="DB58" s="16">
        <f t="shared" si="103"/>
        <v>15633</v>
      </c>
      <c r="DC58" s="16">
        <f>+DC56+DC57</f>
        <v>18482</v>
      </c>
      <c r="DD58" s="16">
        <f>+DD56+DD57</f>
        <v>18880.05</v>
      </c>
      <c r="DE58" s="16">
        <f t="shared" ref="DE58:DL58" si="104">+DE56+DE57</f>
        <v>20171</v>
      </c>
      <c r="DF58" s="16">
        <f t="shared" si="104"/>
        <v>20917.2</v>
      </c>
      <c r="DG58" s="16">
        <f t="shared" si="104"/>
        <v>11187.730499999998</v>
      </c>
      <c r="DH58" s="16">
        <f t="shared" si="104"/>
        <v>10890.708453000001</v>
      </c>
      <c r="DI58" s="16">
        <f t="shared" si="104"/>
        <v>10699.819008990002</v>
      </c>
      <c r="DJ58" s="16">
        <f t="shared" si="104"/>
        <v>10296.2352846297</v>
      </c>
      <c r="DK58" s="16">
        <f t="shared" si="104"/>
        <v>10166.637084212094</v>
      </c>
      <c r="DL58" s="16">
        <f t="shared" si="104"/>
        <v>7225.742643451671</v>
      </c>
    </row>
    <row r="59" spans="2:243" s="15" customFormat="1" x14ac:dyDescent="0.2">
      <c r="B59" s="15" t="s">
        <v>21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>
        <f>AQ55-AQ58</f>
        <v>1305</v>
      </c>
      <c r="AR59" s="16">
        <f>AR55-AR58</f>
        <v>1523</v>
      </c>
      <c r="AS59" s="16">
        <f>AS55-AS58</f>
        <v>1591</v>
      </c>
      <c r="AT59" s="16">
        <f>AT55-AT58</f>
        <v>1583</v>
      </c>
      <c r="AU59" s="16">
        <f>AU55-AU58</f>
        <v>1351</v>
      </c>
      <c r="AV59" s="16">
        <f t="shared" ref="AV59:BB59" si="105">+AV55-AV58</f>
        <v>1752</v>
      </c>
      <c r="AW59" s="16">
        <f t="shared" si="105"/>
        <v>1518</v>
      </c>
      <c r="AX59" s="16">
        <f t="shared" si="105"/>
        <v>113</v>
      </c>
      <c r="AY59" s="16">
        <f t="shared" si="105"/>
        <v>1814</v>
      </c>
      <c r="AZ59" s="16">
        <f t="shared" si="105"/>
        <v>1875</v>
      </c>
      <c r="BA59" s="16">
        <f t="shared" si="105"/>
        <v>1885</v>
      </c>
      <c r="BB59" s="16">
        <f t="shared" si="105"/>
        <v>2073</v>
      </c>
      <c r="BC59" s="16">
        <f t="shared" ref="BC59" si="106">+BC55-BC58</f>
        <v>2288</v>
      </c>
      <c r="BD59" s="16">
        <f t="shared" ref="BD59:BE59" si="107">+BD55-BD58</f>
        <v>2437</v>
      </c>
      <c r="BE59" s="16">
        <f t="shared" si="107"/>
        <v>2732</v>
      </c>
      <c r="BF59" s="16">
        <f t="shared" ref="BF59:BG59" si="108">+BF55-BF58</f>
        <v>2697</v>
      </c>
      <c r="BG59" s="16">
        <f t="shared" si="108"/>
        <v>2753</v>
      </c>
      <c r="BH59" s="16">
        <f t="shared" ref="BH59:BI59" si="109">+BH55-BH58</f>
        <v>3096</v>
      </c>
      <c r="BI59" s="16">
        <f t="shared" si="109"/>
        <v>3015</v>
      </c>
      <c r="BJ59" s="16">
        <f t="shared" ref="BJ59" si="110">+BJ55-BJ58</f>
        <v>3151</v>
      </c>
      <c r="BK59" s="16">
        <f t="shared" ref="BK59:BP59" si="111">+BK55-BK58</f>
        <v>3503</v>
      </c>
      <c r="BL59" s="16">
        <f t="shared" si="111"/>
        <v>3741</v>
      </c>
      <c r="BM59" s="16">
        <f t="shared" si="111"/>
        <v>3884</v>
      </c>
      <c r="BN59" s="16">
        <f t="shared" si="111"/>
        <v>3465</v>
      </c>
      <c r="BO59" s="16">
        <f t="shared" si="111"/>
        <v>3763</v>
      </c>
      <c r="BP59" s="16">
        <f t="shared" si="111"/>
        <v>3976</v>
      </c>
      <c r="BQ59" s="16">
        <f t="shared" ref="BQ59:BR59" si="112">BQ55-BQ58</f>
        <v>4106</v>
      </c>
      <c r="BR59" s="16">
        <f t="shared" si="112"/>
        <v>3885</v>
      </c>
      <c r="BS59" s="16">
        <f t="shared" ref="BS59:BT59" si="113">BS55-BS58</f>
        <v>4292</v>
      </c>
      <c r="BT59" s="16">
        <f t="shared" si="113"/>
        <v>4905</v>
      </c>
      <c r="BU59" s="16">
        <f t="shared" ref="BU59:CA59" si="114">BU55-BU58</f>
        <v>6284</v>
      </c>
      <c r="BV59" s="16">
        <f t="shared" si="114"/>
        <v>6495</v>
      </c>
      <c r="BW59" s="16">
        <f t="shared" si="114"/>
        <v>6602</v>
      </c>
      <c r="BX59" s="16">
        <f t="shared" si="114"/>
        <v>6944</v>
      </c>
      <c r="BY59" s="16">
        <f t="shared" si="114"/>
        <v>7336</v>
      </c>
      <c r="BZ59" s="16">
        <f t="shared" si="114"/>
        <v>7333</v>
      </c>
      <c r="CA59" s="16">
        <f t="shared" si="114"/>
        <v>7103</v>
      </c>
      <c r="CB59" s="16">
        <f t="shared" ref="CB59:CD59" si="115">CB55-CB58</f>
        <v>7720</v>
      </c>
      <c r="CC59" s="16">
        <f t="shared" si="115"/>
        <v>7949</v>
      </c>
      <c r="CD59" s="16">
        <f t="shared" si="115"/>
        <v>7696.8</v>
      </c>
      <c r="CE59" s="16">
        <f t="shared" ref="CE59:CH59" si="116">CE55-CE58</f>
        <v>5653</v>
      </c>
      <c r="CF59" s="16">
        <f t="shared" si="116"/>
        <v>6800</v>
      </c>
      <c r="CG59" s="16">
        <f t="shared" si="116"/>
        <v>6576</v>
      </c>
      <c r="CH59" s="16">
        <f t="shared" si="116"/>
        <v>6472</v>
      </c>
      <c r="CI59" s="16">
        <f>+CI55-CI58</f>
        <v>5359</v>
      </c>
      <c r="CJ59" s="16">
        <f t="shared" ref="CJ59:CL59" si="117">+CJ55-CJ58</f>
        <v>7095</v>
      </c>
      <c r="CK59" s="16">
        <f t="shared" si="117"/>
        <v>6828</v>
      </c>
      <c r="CL59" s="16">
        <f t="shared" si="117"/>
        <v>6026.3651999999993</v>
      </c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>
        <f t="shared" ref="CZ59" si="118">+CZ55-CZ58</f>
        <v>14593</v>
      </c>
      <c r="DA59" s="16">
        <f t="shared" ref="DA59:DB59" si="119">+DA55-DA58</f>
        <v>15730</v>
      </c>
      <c r="DB59" s="16">
        <f t="shared" si="119"/>
        <v>21976</v>
      </c>
      <c r="DC59" s="16">
        <f>+DC55-DC58</f>
        <v>28215</v>
      </c>
      <c r="DD59" s="16">
        <f>+DD55-DD58</f>
        <v>30252.799999999999</v>
      </c>
      <c r="DE59" s="16">
        <f t="shared" ref="DE59:DL59" si="120">+DE55-DE58</f>
        <v>25501</v>
      </c>
      <c r="DF59" s="16">
        <f t="shared" si="120"/>
        <v>25308.365199999997</v>
      </c>
      <c r="DG59" s="16">
        <f t="shared" si="120"/>
        <v>36360.124124999995</v>
      </c>
      <c r="DH59" s="16">
        <f t="shared" si="120"/>
        <v>35394.802472250005</v>
      </c>
      <c r="DI59" s="16">
        <f t="shared" si="120"/>
        <v>34774.411779217502</v>
      </c>
      <c r="DJ59" s="16">
        <f t="shared" si="120"/>
        <v>33462.764675046521</v>
      </c>
      <c r="DK59" s="16">
        <f t="shared" si="120"/>
        <v>33041.570523689297</v>
      </c>
      <c r="DL59" s="16">
        <f t="shared" si="120"/>
        <v>23483.663591217926</v>
      </c>
    </row>
    <row r="60" spans="2:243" s="15" customFormat="1" x14ac:dyDescent="0.2">
      <c r="B60" s="15" t="s">
        <v>19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>
        <f>-66-15+15</f>
        <v>-66</v>
      </c>
      <c r="AR60" s="16">
        <f>-75+4</f>
        <v>-71</v>
      </c>
      <c r="AS60" s="16">
        <f>-69-11-5</f>
        <v>-85</v>
      </c>
      <c r="AT60" s="16">
        <f>-68-13</f>
        <v>-81</v>
      </c>
      <c r="AU60" s="16">
        <f>-65+3</f>
        <v>-62</v>
      </c>
      <c r="AV60" s="16">
        <f>-69-5-8</f>
        <v>-82</v>
      </c>
      <c r="AW60" s="16">
        <f>-128-221</f>
        <v>-349</v>
      </c>
      <c r="AX60" s="16">
        <f>-129+3</f>
        <v>-126</v>
      </c>
      <c r="AY60" s="16">
        <f>-126-1</f>
        <v>-127</v>
      </c>
      <c r="AZ60" s="16">
        <f>-164+4</f>
        <v>-160</v>
      </c>
      <c r="BA60" s="16">
        <f>-197-28</f>
        <v>-225</v>
      </c>
      <c r="BB60" s="16">
        <f>-199+12</f>
        <v>-187</v>
      </c>
      <c r="BC60" s="16">
        <v>-200</v>
      </c>
      <c r="BD60" s="16">
        <f>-225-51</f>
        <v>-276</v>
      </c>
      <c r="BE60" s="16">
        <f>-250+3</f>
        <v>-247</v>
      </c>
      <c r="BF60" s="16">
        <f>-251+5</f>
        <v>-246</v>
      </c>
      <c r="BG60" s="16">
        <f>-247+25</f>
        <v>-222</v>
      </c>
      <c r="BH60" s="16">
        <v>-253</v>
      </c>
      <c r="BI60" s="16">
        <f>-252+52</f>
        <v>-200</v>
      </c>
      <c r="BJ60" s="16">
        <f>-252+50</f>
        <v>-202</v>
      </c>
      <c r="BK60" s="16">
        <f>5-251</f>
        <v>-246</v>
      </c>
      <c r="BL60" s="16">
        <f>-15-272</f>
        <v>-287</v>
      </c>
      <c r="BM60" s="16">
        <f>-302-2+1</f>
        <v>-303</v>
      </c>
      <c r="BN60" s="16">
        <f>-319-6+11</f>
        <v>-314</v>
      </c>
      <c r="BO60" s="16">
        <f>34-325</f>
        <v>-291</v>
      </c>
      <c r="BP60" s="16">
        <f>-302+26</f>
        <v>-276</v>
      </c>
      <c r="BQ60" s="16">
        <f>-288-19+3</f>
        <v>-304</v>
      </c>
      <c r="BR60" s="16">
        <f>-282-11+22</f>
        <v>-271</v>
      </c>
      <c r="BS60" s="16">
        <f>-284-5</f>
        <v>-289</v>
      </c>
      <c r="BT60" s="16">
        <f>-484+7-33</f>
        <v>-510</v>
      </c>
      <c r="BU60" s="49">
        <v>620</v>
      </c>
      <c r="BV60" s="49">
        <v>618</v>
      </c>
      <c r="BW60" s="16">
        <v>-622</v>
      </c>
      <c r="BX60" s="16">
        <v>-606</v>
      </c>
      <c r="BY60" s="16">
        <v>-585</v>
      </c>
      <c r="BZ60" s="16">
        <v>-571</v>
      </c>
      <c r="CA60" s="16">
        <f>-539+28</f>
        <v>-511</v>
      </c>
      <c r="CB60" s="16">
        <f>-497+210</f>
        <v>-287</v>
      </c>
      <c r="CC60" s="16">
        <f>120-497</f>
        <v>-377</v>
      </c>
      <c r="CD60" s="16">
        <f>+CC60</f>
        <v>-377</v>
      </c>
      <c r="CE60" s="16">
        <v>69</v>
      </c>
      <c r="CF60" s="16">
        <f>-119-454</f>
        <v>-573</v>
      </c>
      <c r="CG60" s="16">
        <f>146-398</f>
        <v>-252</v>
      </c>
      <c r="CH60" s="16">
        <f>-363+142</f>
        <v>-221</v>
      </c>
      <c r="CI60" s="16">
        <f>-429+76</f>
        <v>-353</v>
      </c>
      <c r="CJ60" s="16">
        <f>153-506-1</f>
        <v>-354</v>
      </c>
      <c r="CK60" s="16">
        <f>199-591</f>
        <v>-392</v>
      </c>
      <c r="CL60" s="16">
        <f>+CK60</f>
        <v>-392</v>
      </c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>
        <f t="shared" ref="CZ60:CZ62" si="121">SUM(BK60:BN60)</f>
        <v>-1150</v>
      </c>
      <c r="DA60" s="16">
        <f t="shared" ref="DA60" si="122">SUM(BO60:BR60)</f>
        <v>-1142</v>
      </c>
      <c r="DB60" s="16">
        <f t="shared" ref="DB60" si="123">SUM(BS60:BV60)</f>
        <v>439</v>
      </c>
      <c r="DC60" s="16">
        <f t="shared" ref="DC60" si="124">SUM(BW60:BZ60)</f>
        <v>-2384</v>
      </c>
      <c r="DD60" s="16">
        <f t="shared" ref="DD60" si="125">SUM(CA60:CD60)</f>
        <v>-1552</v>
      </c>
      <c r="DE60" s="16">
        <f>SUM(CE60:CH60)</f>
        <v>-977</v>
      </c>
      <c r="DF60" s="16">
        <f t="shared" ref="DF60" si="126">SUM(CI60:CL60)</f>
        <v>-1491</v>
      </c>
      <c r="DG60" s="16">
        <f t="shared" ref="DF60:DL60" si="127">+DF60+300</f>
        <v>-1191</v>
      </c>
      <c r="DH60" s="16">
        <f t="shared" si="127"/>
        <v>-891</v>
      </c>
      <c r="DI60" s="16">
        <f t="shared" si="127"/>
        <v>-591</v>
      </c>
      <c r="DJ60" s="16">
        <f t="shared" si="127"/>
        <v>-291</v>
      </c>
      <c r="DK60" s="16">
        <f t="shared" si="127"/>
        <v>9</v>
      </c>
      <c r="DL60" s="16">
        <f t="shared" si="127"/>
        <v>309</v>
      </c>
    </row>
    <row r="61" spans="2:243" s="15" customFormat="1" x14ac:dyDescent="0.2">
      <c r="B61" s="15" t="s">
        <v>18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>
        <f>+AQ59+AQ60</f>
        <v>1239</v>
      </c>
      <c r="AR61" s="16">
        <f>+AR59+AR60</f>
        <v>1452</v>
      </c>
      <c r="AS61" s="16">
        <f>+AS59+AS60</f>
        <v>1506</v>
      </c>
      <c r="AT61" s="16">
        <f>+AT59+AT60</f>
        <v>1502</v>
      </c>
      <c r="AU61" s="16">
        <f>+AU59+AU60</f>
        <v>1289</v>
      </c>
      <c r="AV61" s="16">
        <f t="shared" ref="AV61:BB61" si="128">+AV60+AV59</f>
        <v>1670</v>
      </c>
      <c r="AW61" s="16">
        <f t="shared" si="128"/>
        <v>1169</v>
      </c>
      <c r="AX61" s="16">
        <f t="shared" si="128"/>
        <v>-13</v>
      </c>
      <c r="AY61" s="16">
        <f t="shared" si="128"/>
        <v>1687</v>
      </c>
      <c r="AZ61" s="16">
        <f t="shared" si="128"/>
        <v>1715</v>
      </c>
      <c r="BA61" s="16">
        <f t="shared" si="128"/>
        <v>1660</v>
      </c>
      <c r="BB61" s="16">
        <f t="shared" si="128"/>
        <v>1886</v>
      </c>
      <c r="BC61" s="16">
        <f t="shared" ref="BC61" si="129">+BC59+BC60</f>
        <v>2088</v>
      </c>
      <c r="BD61" s="16">
        <f t="shared" ref="BD61:BE61" si="130">+BD59+BD60</f>
        <v>2161</v>
      </c>
      <c r="BE61" s="16">
        <f t="shared" si="130"/>
        <v>2485</v>
      </c>
      <c r="BF61" s="16">
        <f t="shared" ref="BF61:BG61" si="131">+BF59+BF60</f>
        <v>2451</v>
      </c>
      <c r="BG61" s="16">
        <f t="shared" si="131"/>
        <v>2531</v>
      </c>
      <c r="BH61" s="16">
        <f t="shared" ref="BH61:BI61" si="132">+BH59+BH60</f>
        <v>2843</v>
      </c>
      <c r="BI61" s="16">
        <f t="shared" si="132"/>
        <v>2815</v>
      </c>
      <c r="BJ61" s="16">
        <f t="shared" ref="BJ61:BP61" si="133">+BJ59+BJ60</f>
        <v>2949</v>
      </c>
      <c r="BK61" s="16">
        <f t="shared" si="133"/>
        <v>3257</v>
      </c>
      <c r="BL61" s="16">
        <f t="shared" si="133"/>
        <v>3454</v>
      </c>
      <c r="BM61" s="16">
        <f t="shared" si="133"/>
        <v>3581</v>
      </c>
      <c r="BN61" s="16">
        <f t="shared" si="133"/>
        <v>3151</v>
      </c>
      <c r="BO61" s="16">
        <f t="shared" si="133"/>
        <v>3472</v>
      </c>
      <c r="BP61" s="16">
        <f t="shared" si="133"/>
        <v>3700</v>
      </c>
      <c r="BQ61" s="16">
        <f t="shared" ref="BQ61:BR61" si="134">BQ59+BQ60</f>
        <v>3802</v>
      </c>
      <c r="BR61" s="16">
        <f t="shared" si="134"/>
        <v>3614</v>
      </c>
      <c r="BS61" s="16">
        <f t="shared" ref="BS61:BT61" si="135">BS59+BS60</f>
        <v>4003</v>
      </c>
      <c r="BT61" s="16">
        <f t="shared" si="135"/>
        <v>4395</v>
      </c>
      <c r="BU61" s="16">
        <f t="shared" ref="BU61:CA61" si="136">BU59+BU60</f>
        <v>6904</v>
      </c>
      <c r="BV61" s="16">
        <f t="shared" si="136"/>
        <v>7113</v>
      </c>
      <c r="BW61" s="16">
        <f t="shared" si="136"/>
        <v>5980</v>
      </c>
      <c r="BX61" s="16">
        <f t="shared" si="136"/>
        <v>6338</v>
      </c>
      <c r="BY61" s="16">
        <f t="shared" si="136"/>
        <v>6751</v>
      </c>
      <c r="BZ61" s="16">
        <f t="shared" si="136"/>
        <v>6762</v>
      </c>
      <c r="CA61" s="16">
        <f t="shared" si="136"/>
        <v>6592</v>
      </c>
      <c r="CB61" s="16">
        <f t="shared" ref="CB61:CD61" si="137">CB59+CB60</f>
        <v>7433</v>
      </c>
      <c r="CC61" s="16">
        <f t="shared" si="137"/>
        <v>7572</v>
      </c>
      <c r="CD61" s="16">
        <f t="shared" si="137"/>
        <v>7319.8</v>
      </c>
      <c r="CE61" s="16">
        <f t="shared" ref="CE61:CH61" si="138">CE59+CE60</f>
        <v>5722</v>
      </c>
      <c r="CF61" s="16">
        <f t="shared" si="138"/>
        <v>6227</v>
      </c>
      <c r="CG61" s="16">
        <f t="shared" si="138"/>
        <v>6324</v>
      </c>
      <c r="CH61" s="16">
        <f t="shared" si="138"/>
        <v>6251</v>
      </c>
      <c r="CI61" s="16">
        <f>+CI59+CI60</f>
        <v>5006</v>
      </c>
      <c r="CJ61" s="16">
        <f>+CJ59+CJ60</f>
        <v>6741</v>
      </c>
      <c r="CK61" s="16">
        <f>+CK59+CK60</f>
        <v>6436</v>
      </c>
      <c r="CL61" s="16">
        <f>+CL59+CL60</f>
        <v>5634.3651999999993</v>
      </c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>
        <f t="shared" ref="CZ61:DB61" si="139">+CZ59+CZ60</f>
        <v>13443</v>
      </c>
      <c r="DA61" s="16">
        <f t="shared" si="139"/>
        <v>14588</v>
      </c>
      <c r="DB61" s="16">
        <f t="shared" si="139"/>
        <v>22415</v>
      </c>
      <c r="DC61" s="16">
        <f>+DC59+DC60</f>
        <v>25831</v>
      </c>
      <c r="DD61" s="16">
        <f>+DD59+DD60</f>
        <v>28700.799999999999</v>
      </c>
      <c r="DE61" s="16">
        <f t="shared" ref="DE61:DL61" si="140">+DE59+DE60</f>
        <v>24524</v>
      </c>
      <c r="DF61" s="16">
        <f t="shared" si="140"/>
        <v>23817.365199999997</v>
      </c>
      <c r="DG61" s="16">
        <f t="shared" si="140"/>
        <v>35169.124124999995</v>
      </c>
      <c r="DH61" s="16">
        <f t="shared" si="140"/>
        <v>34503.802472250005</v>
      </c>
      <c r="DI61" s="16">
        <f t="shared" si="140"/>
        <v>34183.411779217502</v>
      </c>
      <c r="DJ61" s="16">
        <f t="shared" si="140"/>
        <v>33171.764675046521</v>
      </c>
      <c r="DK61" s="16">
        <f t="shared" si="140"/>
        <v>33050.570523689297</v>
      </c>
      <c r="DL61" s="16">
        <f t="shared" si="140"/>
        <v>23792.663591217926</v>
      </c>
    </row>
    <row r="62" spans="2:243" s="15" customFormat="1" x14ac:dyDescent="0.2">
      <c r="B62" s="15" t="s">
        <v>17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>
        <v>271</v>
      </c>
      <c r="AR62" s="16">
        <v>300</v>
      </c>
      <c r="AS62" s="16">
        <v>322</v>
      </c>
      <c r="AT62" s="16">
        <v>311</v>
      </c>
      <c r="AU62" s="16">
        <v>306</v>
      </c>
      <c r="AV62" s="16">
        <v>335</v>
      </c>
      <c r="AW62" s="16">
        <v>181</v>
      </c>
      <c r="AX62" s="16">
        <v>0</v>
      </c>
      <c r="AY62" s="16">
        <v>374</v>
      </c>
      <c r="AZ62" s="16">
        <v>312</v>
      </c>
      <c r="BA62" s="16">
        <v>408</v>
      </c>
      <c r="BB62" s="16">
        <v>407</v>
      </c>
      <c r="BC62" s="16">
        <v>422</v>
      </c>
      <c r="BD62" s="16">
        <v>486</v>
      </c>
      <c r="BE62" s="16">
        <v>495</v>
      </c>
      <c r="BF62" s="16">
        <v>497</v>
      </c>
      <c r="BG62" s="16">
        <v>458</v>
      </c>
      <c r="BH62" s="16">
        <v>548</v>
      </c>
      <c r="BI62" s="16">
        <v>533</v>
      </c>
      <c r="BJ62" s="16">
        <v>556</v>
      </c>
      <c r="BK62" s="16">
        <v>249</v>
      </c>
      <c r="BL62" s="16">
        <v>311</v>
      </c>
      <c r="BM62" s="16">
        <v>326</v>
      </c>
      <c r="BN62" s="16">
        <v>289</v>
      </c>
      <c r="BO62" s="16">
        <v>274</v>
      </c>
      <c r="BP62" s="16">
        <v>324</v>
      </c>
      <c r="BQ62" s="16">
        <v>334</v>
      </c>
      <c r="BR62" s="16">
        <v>320</v>
      </c>
      <c r="BS62" s="16">
        <v>390</v>
      </c>
      <c r="BT62" s="16">
        <v>501</v>
      </c>
      <c r="BU62" s="16">
        <v>668</v>
      </c>
      <c r="BV62" s="16">
        <v>686</v>
      </c>
      <c r="BW62" s="16">
        <v>738</v>
      </c>
      <c r="BX62" s="16">
        <f>799+3</f>
        <v>802</v>
      </c>
      <c r="BY62" s="16">
        <f>862+1</f>
        <v>863</v>
      </c>
      <c r="BZ62" s="16">
        <f>6764-5919</f>
        <v>845</v>
      </c>
      <c r="CA62" s="16">
        <v>778</v>
      </c>
      <c r="CB62" s="16">
        <v>965</v>
      </c>
      <c r="CC62" s="16">
        <v>965</v>
      </c>
      <c r="CD62" s="16">
        <f>+CD61*0.15</f>
        <v>1097.97</v>
      </c>
      <c r="CE62" s="16">
        <f>6422-5641</f>
        <v>781</v>
      </c>
      <c r="CF62" s="81">
        <f>583+3</f>
        <v>586</v>
      </c>
      <c r="CG62" s="16">
        <v>980</v>
      </c>
      <c r="CH62" s="16">
        <f>388+2</f>
        <v>390</v>
      </c>
      <c r="CI62" s="16">
        <v>715</v>
      </c>
      <c r="CJ62" s="16">
        <v>1091</v>
      </c>
      <c r="CK62" s="16">
        <v>1027</v>
      </c>
      <c r="CL62" s="16">
        <f>+CL61*0.1</f>
        <v>563.43651999999997</v>
      </c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>
        <f t="shared" si="121"/>
        <v>1175</v>
      </c>
      <c r="DA62" s="16">
        <f t="shared" ref="DA62" si="141">SUM(BO62:BR62)</f>
        <v>1252</v>
      </c>
      <c r="DB62" s="16">
        <f t="shared" ref="DB62" si="142">SUM(BS62:BV62)</f>
        <v>2245</v>
      </c>
      <c r="DC62" s="16">
        <f t="shared" ref="DC62" si="143">SUM(BW62:BZ62)</f>
        <v>3248</v>
      </c>
      <c r="DD62" s="16">
        <f t="shared" ref="DD62" si="144">SUM(CA62:CD62)</f>
        <v>3805.9700000000003</v>
      </c>
      <c r="DE62" s="16">
        <f>SUM(CE62:CH62)</f>
        <v>2737</v>
      </c>
      <c r="DF62" s="16">
        <f t="shared" ref="DF62" si="145">SUM(CI62:CL62)</f>
        <v>3396.4365200000002</v>
      </c>
      <c r="DG62" s="16">
        <f t="shared" ref="DF62:DL62" si="146">+DG61*0.15</f>
        <v>5275.3686187499989</v>
      </c>
      <c r="DH62" s="16">
        <f t="shared" si="146"/>
        <v>5175.5703708375004</v>
      </c>
      <c r="DI62" s="16">
        <f t="shared" si="146"/>
        <v>5127.5117668826251</v>
      </c>
      <c r="DJ62" s="16">
        <f t="shared" si="146"/>
        <v>4975.7647012569778</v>
      </c>
      <c r="DK62" s="16">
        <f t="shared" si="146"/>
        <v>4957.585578553394</v>
      </c>
      <c r="DL62" s="16">
        <f t="shared" si="146"/>
        <v>3568.8995386826887</v>
      </c>
    </row>
    <row r="63" spans="2:243" s="15" customFormat="1" x14ac:dyDescent="0.2">
      <c r="B63" s="15" t="s">
        <v>16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>
        <f t="shared" ref="AQ63:BB63" si="147">+AQ61-AQ62</f>
        <v>968</v>
      </c>
      <c r="AR63" s="16">
        <f t="shared" si="147"/>
        <v>1152</v>
      </c>
      <c r="AS63" s="16">
        <f t="shared" si="147"/>
        <v>1184</v>
      </c>
      <c r="AT63" s="16">
        <f t="shared" si="147"/>
        <v>1191</v>
      </c>
      <c r="AU63" s="16">
        <f t="shared" si="147"/>
        <v>983</v>
      </c>
      <c r="AV63" s="16">
        <f t="shared" si="147"/>
        <v>1335</v>
      </c>
      <c r="AW63" s="16">
        <f t="shared" si="147"/>
        <v>988</v>
      </c>
      <c r="AX63" s="16">
        <f t="shared" si="147"/>
        <v>-13</v>
      </c>
      <c r="AY63" s="16">
        <f t="shared" si="147"/>
        <v>1313</v>
      </c>
      <c r="AZ63" s="16">
        <f t="shared" si="147"/>
        <v>1403</v>
      </c>
      <c r="BA63" s="16">
        <f t="shared" si="147"/>
        <v>1252</v>
      </c>
      <c r="BB63" s="16">
        <f t="shared" si="147"/>
        <v>1479</v>
      </c>
      <c r="BC63" s="16">
        <f t="shared" ref="BC63" si="148">+BC61-BC62</f>
        <v>1666</v>
      </c>
      <c r="BD63" s="16">
        <f t="shared" ref="BD63:BE63" si="149">+BD61-BD62</f>
        <v>1675</v>
      </c>
      <c r="BE63" s="16">
        <f t="shared" si="149"/>
        <v>1990</v>
      </c>
      <c r="BF63" s="16">
        <f t="shared" ref="BF63:BG63" si="150">+BF61-BF62</f>
        <v>1954</v>
      </c>
      <c r="BG63" s="16">
        <f t="shared" si="150"/>
        <v>2073</v>
      </c>
      <c r="BH63" s="16">
        <f t="shared" ref="BH63:BI63" si="151">+BH61-BH62</f>
        <v>2295</v>
      </c>
      <c r="BI63" s="16">
        <f t="shared" si="151"/>
        <v>2282</v>
      </c>
      <c r="BJ63" s="16">
        <f t="shared" ref="BJ63" si="152">+BJ61-BJ62</f>
        <v>2393</v>
      </c>
      <c r="BK63" s="16">
        <f t="shared" ref="BK63:BP63" si="153">+BK61-BK62</f>
        <v>3008</v>
      </c>
      <c r="BL63" s="16">
        <f t="shared" si="153"/>
        <v>3143</v>
      </c>
      <c r="BM63" s="16">
        <f t="shared" si="153"/>
        <v>3255</v>
      </c>
      <c r="BN63" s="16">
        <f t="shared" si="153"/>
        <v>2862</v>
      </c>
      <c r="BO63" s="16">
        <f t="shared" si="153"/>
        <v>3198</v>
      </c>
      <c r="BP63" s="16">
        <f t="shared" si="153"/>
        <v>3376</v>
      </c>
      <c r="BQ63" s="16">
        <f t="shared" ref="BQ63:BR63" si="154">BQ61-BQ62</f>
        <v>3468</v>
      </c>
      <c r="BR63" s="16">
        <f t="shared" si="154"/>
        <v>3294</v>
      </c>
      <c r="BS63" s="16">
        <f t="shared" ref="BS63:BT63" si="155">BS61-BS62</f>
        <v>3613</v>
      </c>
      <c r="BT63" s="16">
        <f t="shared" si="155"/>
        <v>3894</v>
      </c>
      <c r="BU63" s="16">
        <f t="shared" ref="BU63:CA63" si="156">BU61-BU62</f>
        <v>6236</v>
      </c>
      <c r="BV63" s="16">
        <f t="shared" si="156"/>
        <v>6427</v>
      </c>
      <c r="BW63" s="16">
        <f t="shared" si="156"/>
        <v>5242</v>
      </c>
      <c r="BX63" s="16">
        <f t="shared" si="156"/>
        <v>5536</v>
      </c>
      <c r="BY63" s="16">
        <f t="shared" si="156"/>
        <v>5888</v>
      </c>
      <c r="BZ63" s="16">
        <f t="shared" si="156"/>
        <v>5917</v>
      </c>
      <c r="CA63" s="16">
        <f t="shared" si="156"/>
        <v>5814</v>
      </c>
      <c r="CB63" s="16">
        <f t="shared" ref="CB63:CD63" si="157">CB61-CB62</f>
        <v>6468</v>
      </c>
      <c r="CC63" s="16">
        <f t="shared" si="157"/>
        <v>6607</v>
      </c>
      <c r="CD63" s="16">
        <f t="shared" si="157"/>
        <v>6221.83</v>
      </c>
      <c r="CE63" s="16">
        <f t="shared" ref="CE63:CJ63" si="158">CE61-CE62</f>
        <v>4941</v>
      </c>
      <c r="CF63" s="16">
        <f t="shared" si="158"/>
        <v>5641</v>
      </c>
      <c r="CG63" s="16">
        <f t="shared" si="158"/>
        <v>5344</v>
      </c>
      <c r="CH63" s="16">
        <f t="shared" si="158"/>
        <v>5861</v>
      </c>
      <c r="CI63" s="16">
        <f t="shared" si="158"/>
        <v>4291</v>
      </c>
      <c r="CJ63" s="16">
        <f t="shared" si="158"/>
        <v>5650</v>
      </c>
      <c r="CK63" s="16">
        <f t="shared" ref="CK63:CL63" si="159">CK61-CK62</f>
        <v>5409</v>
      </c>
      <c r="CL63" s="16">
        <f t="shared" si="159"/>
        <v>5070.9286799999991</v>
      </c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>
        <f t="shared" ref="CZ63:DB63" si="160">+CZ61-CZ62</f>
        <v>12268</v>
      </c>
      <c r="DA63" s="16">
        <f t="shared" si="160"/>
        <v>13336</v>
      </c>
      <c r="DB63" s="16">
        <f t="shared" si="160"/>
        <v>20170</v>
      </c>
      <c r="DC63" s="16">
        <f>+DC61-DC62</f>
        <v>22583</v>
      </c>
      <c r="DD63" s="16">
        <f>+DD61-DD62</f>
        <v>24894.829999999998</v>
      </c>
      <c r="DE63" s="16">
        <f>+DE61-DE62</f>
        <v>21787</v>
      </c>
      <c r="DF63" s="16">
        <f t="shared" ref="DF63:DL63" si="161">+DF61-DF62</f>
        <v>20420.928679999997</v>
      </c>
      <c r="DG63" s="16">
        <f t="shared" si="161"/>
        <v>29893.755506249996</v>
      </c>
      <c r="DH63" s="16">
        <f t="shared" si="161"/>
        <v>29328.232101412505</v>
      </c>
      <c r="DI63" s="16">
        <f t="shared" si="161"/>
        <v>29055.900012334878</v>
      </c>
      <c r="DJ63" s="16">
        <f t="shared" si="161"/>
        <v>28195.999973789541</v>
      </c>
      <c r="DK63" s="16">
        <f t="shared" si="161"/>
        <v>28092.984945135904</v>
      </c>
      <c r="DL63" s="16">
        <f t="shared" si="161"/>
        <v>20223.764052535236</v>
      </c>
      <c r="DM63" s="15">
        <f>DL63*(1+$DS$66)</f>
        <v>20021.526412009884</v>
      </c>
      <c r="DN63" s="15">
        <f>DM63*(1+$DS$66)</f>
        <v>19821.311147889784</v>
      </c>
      <c r="DO63" s="15">
        <f>DN63*(1+$DS$66)</f>
        <v>19623.098036410887</v>
      </c>
      <c r="DP63" s="15">
        <f>DO63*(1+$DS$66)</f>
        <v>19426.86705604678</v>
      </c>
      <c r="DQ63" s="15">
        <f>DP63*(1+$DS$66)</f>
        <v>19232.598385486312</v>
      </c>
      <c r="DR63" s="15">
        <f>DQ63*(1+$DS$66)</f>
        <v>19040.27240163145</v>
      </c>
      <c r="DS63" s="15">
        <f>DR63*(1+$DS$66)</f>
        <v>18849.869677615134</v>
      </c>
      <c r="DT63" s="15">
        <f>DS63*(1+$DS$66)</f>
        <v>18661.370980838983</v>
      </c>
      <c r="DU63" s="15">
        <f>DT63*(1+$DS$66)</f>
        <v>18474.757271030594</v>
      </c>
      <c r="DV63" s="15">
        <f>DU63*(1+$DS$66)</f>
        <v>18290.009698320289</v>
      </c>
      <c r="DW63" s="15">
        <f>DV63*(1+$DS$66)</f>
        <v>18107.109601337088</v>
      </c>
      <c r="DX63" s="15">
        <f>DW63*(1+$DS$66)</f>
        <v>17926.038505323719</v>
      </c>
      <c r="DY63" s="15">
        <f>DX63*(1+$DS$66)</f>
        <v>17746.778120270483</v>
      </c>
      <c r="DZ63" s="15">
        <f>DY63*(1+$DS$66)</f>
        <v>17569.310339067779</v>
      </c>
      <c r="EA63" s="15">
        <f>DZ63*(1+$DS$66)</f>
        <v>17393.617235677102</v>
      </c>
      <c r="EB63" s="15">
        <f>EA63*(1+$DS$66)</f>
        <v>17219.681063320331</v>
      </c>
      <c r="EC63" s="15">
        <f>EB63*(1+$DS$66)</f>
        <v>17047.484252687129</v>
      </c>
      <c r="ED63" s="15">
        <f>EC63*(1+$DS$66)</f>
        <v>16877.009410160259</v>
      </c>
      <c r="EE63" s="15">
        <f>ED63*(1+$DS$66)</f>
        <v>16708.239316058658</v>
      </c>
      <c r="EF63" s="15">
        <f>EE63*(1+$DS$66)</f>
        <v>16541.15692289807</v>
      </c>
      <c r="EG63" s="15">
        <f>EF63*(1+$DS$66)</f>
        <v>16375.745353669088</v>
      </c>
      <c r="EH63" s="15">
        <f>EG63*(1+$DS$66)</f>
        <v>16211.987900132397</v>
      </c>
      <c r="EI63" s="15">
        <f>EH63*(1+$DS$66)</f>
        <v>16049.868021131073</v>
      </c>
      <c r="EJ63" s="15">
        <f>EI63*(1+$DS$66)</f>
        <v>15889.369340919762</v>
      </c>
      <c r="EK63" s="15">
        <f>EJ63*(1+$DS$66)</f>
        <v>15730.475647510564</v>
      </c>
      <c r="EL63" s="15">
        <f>EK63*(1+$DS$66)</f>
        <v>15573.170891035459</v>
      </c>
      <c r="EM63" s="15">
        <f>EL63*(1+$DS$66)</f>
        <v>15417.439182125105</v>
      </c>
      <c r="EN63" s="15">
        <f>EM63*(1+$DS$66)</f>
        <v>15263.264790303854</v>
      </c>
      <c r="EO63" s="15">
        <f>EN63*(1+$DS$66)</f>
        <v>15110.632142400815</v>
      </c>
      <c r="EP63" s="15">
        <f>EO63*(1+$DS$66)</f>
        <v>14959.525820976807</v>
      </c>
      <c r="EQ63" s="15">
        <f>EP63*(1+$DS$66)</f>
        <v>14809.930562767038</v>
      </c>
      <c r="ER63" s="15">
        <f>EQ63*(1+$DS$66)</f>
        <v>14661.831257139367</v>
      </c>
      <c r="ES63" s="15">
        <f>ER63*(1+$DS$66)</f>
        <v>14515.212944567973</v>
      </c>
      <c r="ET63" s="15">
        <f>ES63*(1+$DS$66)</f>
        <v>14370.060815122293</v>
      </c>
      <c r="EU63" s="15">
        <f>ET63*(1+$DS$66)</f>
        <v>14226.360206971071</v>
      </c>
      <c r="EV63" s="15">
        <f>EU63*(1+$DS$66)</f>
        <v>14084.09660490136</v>
      </c>
      <c r="EW63" s="15">
        <f>EV63*(1+$DS$66)</f>
        <v>13943.255638852346</v>
      </c>
      <c r="EX63" s="15">
        <f>EW63*(1+$DS$66)</f>
        <v>13803.823082463823</v>
      </c>
      <c r="EY63" s="15">
        <f>EX63*(1+$DS$66)</f>
        <v>13665.784851639184</v>
      </c>
      <c r="EZ63" s="15">
        <f>EY63*(1+$DS$66)</f>
        <v>13529.127003122792</v>
      </c>
      <c r="FA63" s="15">
        <f>EZ63*(1+$DS$66)</f>
        <v>13393.835733091564</v>
      </c>
      <c r="FB63" s="15">
        <f>FA63*(1+$DS$66)</f>
        <v>13259.897375760649</v>
      </c>
      <c r="FC63" s="15">
        <f>FB63*(1+$DS$66)</f>
        <v>13127.298402003042</v>
      </c>
      <c r="FD63" s="15">
        <f>FC63*(1+$DS$66)</f>
        <v>12996.025417983012</v>
      </c>
      <c r="FE63" s="15">
        <f>FD63*(1+$DS$66)</f>
        <v>12866.065163803181</v>
      </c>
      <c r="FF63" s="15">
        <f>FE63*(1+$DS$66)</f>
        <v>12737.404512165149</v>
      </c>
      <c r="FG63" s="15">
        <f>FF63*(1+$DS$66)</f>
        <v>12610.030467043498</v>
      </c>
      <c r="FH63" s="15">
        <f>FG63*(1+$DS$66)</f>
        <v>12483.930162373063</v>
      </c>
      <c r="FI63" s="15">
        <f>FH63*(1+$DS$66)</f>
        <v>12359.090860749331</v>
      </c>
      <c r="FJ63" s="15">
        <f>FI63*(1+$DS$66)</f>
        <v>12235.499952141838</v>
      </c>
      <c r="FK63" s="15">
        <f>FJ63*(1+$DS$66)</f>
        <v>12113.14495262042</v>
      </c>
      <c r="FL63" s="15">
        <f>FK63*(1+$DS$66)</f>
        <v>11992.013503094215</v>
      </c>
      <c r="FM63" s="15">
        <f>FL63*(1+$DS$66)</f>
        <v>11872.093368063272</v>
      </c>
      <c r="FN63" s="15">
        <f>FM63*(1+$DS$66)</f>
        <v>11753.372434382638</v>
      </c>
      <c r="FO63" s="15">
        <f>FN63*(1+$DS$66)</f>
        <v>11635.838710038812</v>
      </c>
      <c r="FP63" s="15">
        <f>FO63*(1+$DS$66)</f>
        <v>11519.480322938423</v>
      </c>
      <c r="FQ63" s="15">
        <f>FP63*(1+$DS$66)</f>
        <v>11404.285519709039</v>
      </c>
      <c r="FR63" s="15">
        <f>FQ63*(1+$DS$66)</f>
        <v>11290.242664511949</v>
      </c>
      <c r="FS63" s="15">
        <f>FR63*(1+$DS$66)</f>
        <v>11177.340237866829</v>
      </c>
      <c r="FT63" s="15">
        <f>FS63*(1+$DS$66)</f>
        <v>11065.56683548816</v>
      </c>
      <c r="FU63" s="15">
        <f>FT63*(1+$DS$66)</f>
        <v>10954.911167133278</v>
      </c>
      <c r="FV63" s="15">
        <f>FU63*(1+$DS$66)</f>
        <v>10845.362055461945</v>
      </c>
      <c r="FW63" s="15">
        <f>FV63*(1+$DS$66)</f>
        <v>10736.908434907325</v>
      </c>
      <c r="FX63" s="15">
        <f>FW63*(1+$DS$66)</f>
        <v>10629.539350558252</v>
      </c>
      <c r="FY63" s="15">
        <f>FX63*(1+$DS$66)</f>
        <v>10523.243957052669</v>
      </c>
      <c r="FZ63" s="15">
        <f>FY63*(1+$DS$66)</f>
        <v>10418.011517482142</v>
      </c>
      <c r="GA63" s="15">
        <f>FZ63*(1+$DS$66)</f>
        <v>10313.83140230732</v>
      </c>
      <c r="GB63" s="15">
        <f>GA63*(1+$DS$66)</f>
        <v>10210.693088284246</v>
      </c>
      <c r="GC63" s="15">
        <f>GB63*(1+$DS$66)</f>
        <v>10108.586157401403</v>
      </c>
      <c r="GD63" s="15">
        <f>GC63*(1+$DS$66)</f>
        <v>10007.500295827389</v>
      </c>
      <c r="GE63" s="15">
        <f>GD63*(1+$DS$66)</f>
        <v>9907.4252928691149</v>
      </c>
      <c r="GF63" s="15">
        <f>GE63*(1+$DS$66)</f>
        <v>9808.351039940424</v>
      </c>
      <c r="GG63" s="15">
        <f>GF63*(1+$DS$66)</f>
        <v>9710.267529541019</v>
      </c>
      <c r="GH63" s="15">
        <f>GG63*(1+$DS$66)</f>
        <v>9613.1648542456096</v>
      </c>
      <c r="GI63" s="15">
        <f>GH63*(1+$DS$66)</f>
        <v>9517.0332057031537</v>
      </c>
      <c r="GJ63" s="15">
        <f>GI63*(1+$DS$66)</f>
        <v>9421.8628736461214</v>
      </c>
      <c r="GK63" s="15">
        <f>GJ63*(1+$DS$66)</f>
        <v>9327.6442449096594</v>
      </c>
      <c r="GL63" s="15">
        <f>GK63*(1+$DS$66)</f>
        <v>9234.3678024605633</v>
      </c>
      <c r="GM63" s="15">
        <f>GL63*(1+$DS$66)</f>
        <v>9142.0241244359568</v>
      </c>
      <c r="GN63" s="15">
        <f>GM63*(1+$DS$66)</f>
        <v>9050.6038831915976</v>
      </c>
      <c r="GO63" s="15">
        <f>GN63*(1+$DS$66)</f>
        <v>8960.0978443596814</v>
      </c>
      <c r="GP63" s="15">
        <f>GO63*(1+$DS$66)</f>
        <v>8870.4968659160841</v>
      </c>
      <c r="GQ63" s="15">
        <f>GP63*(1+$DS$66)</f>
        <v>8781.7918972569223</v>
      </c>
      <c r="GR63" s="15">
        <f>GQ63*(1+$DS$66)</f>
        <v>8693.9739782843535</v>
      </c>
      <c r="GS63" s="15">
        <f>GR63*(1+$DS$66)</f>
        <v>8607.0342385015101</v>
      </c>
      <c r="GT63" s="15">
        <f>GS63*(1+$DS$66)</f>
        <v>8520.9638961164947</v>
      </c>
      <c r="GU63" s="15">
        <f>GT63*(1+$DS$66)</f>
        <v>8435.7542571553295</v>
      </c>
      <c r="GV63" s="15">
        <f>GU63*(1+$DS$66)</f>
        <v>8351.396714583776</v>
      </c>
      <c r="GW63" s="15">
        <f>GV63*(1+$DS$66)</f>
        <v>8267.8827474379377</v>
      </c>
      <c r="GX63" s="15">
        <f>GW63*(1+$DS$66)</f>
        <v>8185.2039199635583</v>
      </c>
      <c r="GY63" s="15">
        <f>GX63*(1+$DS$66)</f>
        <v>8103.351880763923</v>
      </c>
      <c r="GZ63" s="15">
        <f>GY63*(1+$DS$66)</f>
        <v>8022.3183619562833</v>
      </c>
      <c r="HA63" s="15">
        <f>GZ63*(1+$DS$66)</f>
        <v>7942.09517833672</v>
      </c>
      <c r="HB63" s="15">
        <f>HA63*(1+$DS$66)</f>
        <v>7862.674226553353</v>
      </c>
      <c r="HC63" s="15">
        <f>HB63*(1+$DS$66)</f>
        <v>7784.0474842878193</v>
      </c>
      <c r="HD63" s="15">
        <f>HC63*(1+$DS$66)</f>
        <v>7706.2070094449409</v>
      </c>
      <c r="HE63" s="15">
        <f>HD63*(1+$DS$66)</f>
        <v>7629.1449393504918</v>
      </c>
      <c r="HF63" s="15">
        <f>HE63*(1+$DS$66)</f>
        <v>7552.8534899569868</v>
      </c>
      <c r="HG63" s="15">
        <f>HF63*(1+$DS$66)</f>
        <v>7477.3249550574164</v>
      </c>
      <c r="HH63" s="15">
        <f>HG63*(1+$DS$66)</f>
        <v>7402.5517055068422</v>
      </c>
      <c r="HI63" s="15">
        <f>HH63*(1+$DS$66)</f>
        <v>7328.526188451774</v>
      </c>
      <c r="HJ63" s="15">
        <f>HI63*(1+$DS$66)</f>
        <v>7255.2409265672559</v>
      </c>
      <c r="HK63" s="15">
        <f>HJ63*(1+$DS$66)</f>
        <v>7182.6885173015835</v>
      </c>
      <c r="HL63" s="15">
        <f>HK63*(1+$DS$66)</f>
        <v>7110.8616321285672</v>
      </c>
      <c r="HM63" s="15">
        <f>HL63*(1+$DS$66)</f>
        <v>7039.7530158072814</v>
      </c>
      <c r="HN63" s="15">
        <f>HM63*(1+$DS$66)</f>
        <v>6969.3554856492083</v>
      </c>
      <c r="HO63" s="15">
        <f>HN63*(1+$DS$66)</f>
        <v>6899.6619307927158</v>
      </c>
      <c r="HP63" s="15">
        <f>HO63*(1+$DS$66)</f>
        <v>6830.6653114847886</v>
      </c>
      <c r="HQ63" s="15">
        <f>HP63*(1+$DS$66)</f>
        <v>6762.3586583699407</v>
      </c>
      <c r="HR63" s="15">
        <f>HQ63*(1+$DS$66)</f>
        <v>6694.735071786241</v>
      </c>
      <c r="HS63" s="15">
        <f>HR63*(1+$DS$66)</f>
        <v>6627.7877210683782</v>
      </c>
      <c r="HT63" s="15">
        <f>HS63*(1+$DS$66)</f>
        <v>6561.5098438576942</v>
      </c>
      <c r="HU63" s="15">
        <f>HT63*(1+$DS$66)</f>
        <v>6495.8947454191175</v>
      </c>
      <c r="HV63" s="15">
        <f>HU63*(1+$DS$66)</f>
        <v>6430.9357979649267</v>
      </c>
      <c r="HW63" s="15">
        <f>HV63*(1+$DS$66)</f>
        <v>6366.6264399852771</v>
      </c>
      <c r="HX63" s="15">
        <f>HW63*(1+$DS$66)</f>
        <v>6302.9601755854246</v>
      </c>
      <c r="HY63" s="15">
        <f>HX63*(1+$DS$66)</f>
        <v>6239.9305738295707</v>
      </c>
      <c r="HZ63" s="15">
        <f>HY63*(1+$DS$66)</f>
        <v>6177.5312680912748</v>
      </c>
      <c r="IA63" s="15">
        <f>HZ63*(1+$DS$66)</f>
        <v>6115.7559554103618</v>
      </c>
      <c r="IB63" s="15">
        <f>IA63*(1+$DS$66)</f>
        <v>6054.5983958562583</v>
      </c>
      <c r="IC63" s="15">
        <f>IB63*(1+$DS$66)</f>
        <v>5994.0524118976955</v>
      </c>
      <c r="ID63" s="15">
        <f>IC63*(1+$DS$66)</f>
        <v>5934.1118877787185</v>
      </c>
      <c r="IE63" s="15">
        <f>ID63*(1+$DS$66)</f>
        <v>5874.7707689009312</v>
      </c>
      <c r="IF63" s="15">
        <f>IE63*(1+$DS$66)</f>
        <v>5816.0230612119221</v>
      </c>
      <c r="IG63" s="15">
        <f>IF63*(1+$DS$66)</f>
        <v>5757.8628305998027</v>
      </c>
      <c r="IH63" s="15">
        <f>IG63*(1+$DS$66)</f>
        <v>5700.2842022938048</v>
      </c>
      <c r="II63" s="15">
        <f>IH63*(1+$DS$66)</f>
        <v>5643.2813602708666</v>
      </c>
    </row>
    <row r="64" spans="2:243" s="14" customFormat="1" x14ac:dyDescent="0.2">
      <c r="B64" s="14" t="s">
        <v>15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>
        <f t="shared" ref="AQ64:BB64" si="162">AQ63/AQ65</f>
        <v>0.60311526479750777</v>
      </c>
      <c r="AR64" s="3">
        <f t="shared" si="162"/>
        <v>0.71597265382224984</v>
      </c>
      <c r="AS64" s="3">
        <f t="shared" si="162"/>
        <v>0.74465408805031441</v>
      </c>
      <c r="AT64" s="3">
        <f t="shared" si="162"/>
        <v>0.74067164179104472</v>
      </c>
      <c r="AU64" s="3">
        <f t="shared" si="162"/>
        <v>0.61093847110006216</v>
      </c>
      <c r="AV64" s="3">
        <f t="shared" si="162"/>
        <v>0.83022388059701491</v>
      </c>
      <c r="AW64" s="3">
        <f t="shared" si="162"/>
        <v>0.61366459627329195</v>
      </c>
      <c r="AX64" s="3">
        <f t="shared" si="162"/>
        <v>-8.1402629931120844E-3</v>
      </c>
      <c r="AY64" s="3">
        <f t="shared" si="162"/>
        <v>0.81654228855721389</v>
      </c>
      <c r="AZ64" s="3">
        <f t="shared" si="162"/>
        <v>0.85915492957746475</v>
      </c>
      <c r="BA64" s="3">
        <f t="shared" si="162"/>
        <v>0.75240384615384615</v>
      </c>
      <c r="BB64" s="3">
        <f t="shared" si="162"/>
        <v>0.90182926829268295</v>
      </c>
      <c r="BC64" s="3">
        <f t="shared" ref="BC64:BD64" si="163">BC63/BC65</f>
        <v>1.0252307692307692</v>
      </c>
      <c r="BD64" s="3">
        <f t="shared" si="163"/>
        <v>1.0263480392156863</v>
      </c>
      <c r="BE64" s="3">
        <f t="shared" ref="BE64:BF64" si="164">BE63/BE65</f>
        <v>1.2134146341463414</v>
      </c>
      <c r="BF64" s="3">
        <f t="shared" si="164"/>
        <v>1.219725343320849</v>
      </c>
      <c r="BG64" s="3">
        <f t="shared" ref="BG64:BH64" si="165">BG63/BG65</f>
        <v>1.2932002495321273</v>
      </c>
      <c r="BH64" s="3">
        <f t="shared" si="165"/>
        <v>1.434375</v>
      </c>
      <c r="BI64" s="3">
        <f t="shared" ref="BI64" si="166">BI63/BI65</f>
        <v>1.4235807860262009</v>
      </c>
      <c r="BJ64" s="3">
        <f t="shared" ref="BJ64:BK64" si="167">BJ63/BJ65</f>
        <v>1.4937578027465668</v>
      </c>
      <c r="BK64" s="3">
        <f t="shared" si="167"/>
        <v>1.8847117794486214</v>
      </c>
      <c r="BL64" s="3">
        <f t="shared" ref="BL64:BM64" si="168">BL63/BL65</f>
        <v>1.9993638676844783</v>
      </c>
      <c r="BM64" s="3">
        <f t="shared" si="168"/>
        <v>2.1485148514851486</v>
      </c>
      <c r="BN64" s="3">
        <f t="shared" ref="BN64:BR64" si="169">BN63/BN65</f>
        <v>1.9067288474350432</v>
      </c>
      <c r="BO64" s="3">
        <f t="shared" si="169"/>
        <v>2.1564396493594065</v>
      </c>
      <c r="BP64" s="3">
        <f t="shared" si="169"/>
        <v>2.2749326145552562</v>
      </c>
      <c r="BQ64" s="3">
        <f t="shared" ref="BQ64" si="170">BQ63/BQ65</f>
        <v>2.3385030343897504</v>
      </c>
      <c r="BR64" s="3">
        <f t="shared" si="169"/>
        <v>2.2181818181818183</v>
      </c>
      <c r="BS64" s="3">
        <f t="shared" ref="BS64:BT64" si="171">BS63/BS65</f>
        <v>2.4346361185983829</v>
      </c>
      <c r="BT64" s="3">
        <f t="shared" si="171"/>
        <v>2.3642987249544625</v>
      </c>
      <c r="BU64" s="3">
        <f t="shared" ref="BU64:CA64" si="172">BU63/BU65</f>
        <v>3.5152198421645999</v>
      </c>
      <c r="BV64" s="3">
        <f t="shared" si="172"/>
        <v>3.6188063063063063</v>
      </c>
      <c r="BW64" s="3">
        <f t="shared" si="172"/>
        <v>2.9532394366197181</v>
      </c>
      <c r="BX64" s="3">
        <f t="shared" si="172"/>
        <v>3.1171171171171173</v>
      </c>
      <c r="BY64" s="3">
        <f t="shared" si="172"/>
        <v>3.3134496342149689</v>
      </c>
      <c r="BZ64" s="3">
        <f t="shared" si="172"/>
        <v>3.3278965129358831</v>
      </c>
      <c r="CA64" s="3">
        <f t="shared" si="172"/>
        <v>3.2699662542182226</v>
      </c>
      <c r="CB64" s="3">
        <f t="shared" ref="CB64:CD64" si="173">CB63/CB65</f>
        <v>3.6418918918918921</v>
      </c>
      <c r="CC64" s="3">
        <f t="shared" si="173"/>
        <v>3.7201576576576576</v>
      </c>
      <c r="CD64" s="3">
        <f t="shared" si="173"/>
        <v>3.5032826576576577</v>
      </c>
      <c r="CE64" s="3">
        <f t="shared" ref="CE64:CJ64" si="174">CE63/CE65</f>
        <v>2.7820945945945947</v>
      </c>
      <c r="CF64" s="3">
        <f t="shared" si="174"/>
        <v>3.1852060982495765</v>
      </c>
      <c r="CG64" s="3">
        <f t="shared" si="174"/>
        <v>3.0175042348955392</v>
      </c>
      <c r="CH64" s="3">
        <f t="shared" si="174"/>
        <v>3.3075620767494356</v>
      </c>
      <c r="CI64" s="3">
        <f t="shared" si="174"/>
        <v>2.4215575620767495</v>
      </c>
      <c r="CJ64" s="3">
        <f t="shared" si="174"/>
        <v>3.1884875846501131</v>
      </c>
      <c r="CK64" s="3">
        <f t="shared" ref="CK64:CL64" si="175">CK63/CK65</f>
        <v>3.0524830699774266</v>
      </c>
      <c r="CL64" s="3">
        <f t="shared" si="175"/>
        <v>2.8616979006772003</v>
      </c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>
        <f t="shared" ref="CZ64:DB64" si="176">+CZ63/CZ65</f>
        <v>7.9353169469598965</v>
      </c>
      <c r="DA64" s="3">
        <f t="shared" si="176"/>
        <v>8.9880370682392581</v>
      </c>
      <c r="DB64" s="3">
        <f t="shared" si="176"/>
        <v>12.076036521478821</v>
      </c>
      <c r="DC64" s="3">
        <f>+DC63/DC65</f>
        <v>12.712074303405572</v>
      </c>
      <c r="DD64" s="3">
        <f>+DD63/DD65</f>
        <v>14.013414016324232</v>
      </c>
      <c r="DE64" s="3">
        <f>+DE63/DE65</f>
        <v>12.291678420310296</v>
      </c>
      <c r="DF64" s="3">
        <f t="shared" ref="DF64:DL64" si="177">+DF63/DF65</f>
        <v>11.524226117381488</v>
      </c>
      <c r="DG64" s="3">
        <f t="shared" si="177"/>
        <v>16.870065184113994</v>
      </c>
      <c r="DH64" s="3">
        <f t="shared" si="177"/>
        <v>16.550921050458523</v>
      </c>
      <c r="DI64" s="3">
        <f t="shared" si="177"/>
        <v>16.397234769940678</v>
      </c>
      <c r="DJ64" s="3">
        <f t="shared" si="177"/>
        <v>15.911963867827055</v>
      </c>
      <c r="DK64" s="3">
        <f t="shared" si="177"/>
        <v>15.85382897581033</v>
      </c>
      <c r="DL64" s="3">
        <f t="shared" si="177"/>
        <v>11.412959397593248</v>
      </c>
    </row>
    <row r="65" spans="2:123" s="15" customFormat="1" x14ac:dyDescent="0.2">
      <c r="B65" s="15" t="s">
        <v>14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>
        <v>1605</v>
      </c>
      <c r="AR65" s="16">
        <v>1609</v>
      </c>
      <c r="AS65" s="16">
        <v>1590</v>
      </c>
      <c r="AT65" s="16">
        <v>1608</v>
      </c>
      <c r="AU65" s="16">
        <v>1609</v>
      </c>
      <c r="AV65" s="16">
        <v>1608</v>
      </c>
      <c r="AW65" s="16">
        <v>1610</v>
      </c>
      <c r="AX65" s="16">
        <v>1597</v>
      </c>
      <c r="AY65" s="16">
        <v>1608</v>
      </c>
      <c r="AZ65" s="16">
        <v>1633</v>
      </c>
      <c r="BA65" s="16">
        <v>1664</v>
      </c>
      <c r="BB65" s="16">
        <v>1640</v>
      </c>
      <c r="BC65" s="16">
        <v>1625</v>
      </c>
      <c r="BD65" s="16">
        <v>1632</v>
      </c>
      <c r="BE65" s="16">
        <v>1640</v>
      </c>
      <c r="BF65" s="16">
        <v>1602</v>
      </c>
      <c r="BG65" s="16">
        <v>1603</v>
      </c>
      <c r="BH65" s="16">
        <v>1600</v>
      </c>
      <c r="BI65" s="16">
        <v>1603</v>
      </c>
      <c r="BJ65" s="16">
        <v>1602</v>
      </c>
      <c r="BK65" s="16">
        <v>1596</v>
      </c>
      <c r="BL65" s="16">
        <v>1572</v>
      </c>
      <c r="BM65" s="16">
        <v>1515</v>
      </c>
      <c r="BN65" s="16">
        <v>1501</v>
      </c>
      <c r="BO65" s="16">
        <v>1483</v>
      </c>
      <c r="BP65" s="16">
        <v>1484</v>
      </c>
      <c r="BQ65" s="16">
        <v>1483</v>
      </c>
      <c r="BR65" s="16">
        <v>1485</v>
      </c>
      <c r="BS65" s="16">
        <v>1484</v>
      </c>
      <c r="BT65" s="16">
        <v>1647</v>
      </c>
      <c r="BU65" s="16">
        <v>1774</v>
      </c>
      <c r="BV65" s="16">
        <v>1776</v>
      </c>
      <c r="BW65" s="16">
        <v>1775</v>
      </c>
      <c r="BX65" s="16">
        <v>1776</v>
      </c>
      <c r="BY65" s="16">
        <v>1777</v>
      </c>
      <c r="BZ65" s="16">
        <v>1778</v>
      </c>
      <c r="CA65" s="16">
        <v>1778</v>
      </c>
      <c r="CB65" s="16">
        <v>1776</v>
      </c>
      <c r="CC65" s="16">
        <v>1776</v>
      </c>
      <c r="CD65" s="16">
        <f>+CC65</f>
        <v>1776</v>
      </c>
      <c r="CE65" s="16">
        <v>1776</v>
      </c>
      <c r="CF65" s="16">
        <v>1771</v>
      </c>
      <c r="CG65" s="16">
        <v>1771</v>
      </c>
      <c r="CH65" s="16">
        <v>1772</v>
      </c>
      <c r="CI65" s="16">
        <v>1772</v>
      </c>
      <c r="CJ65" s="16">
        <f>+CI65</f>
        <v>1772</v>
      </c>
      <c r="CK65" s="16">
        <v>1772</v>
      </c>
      <c r="CL65" s="16">
        <f t="shared" ref="CK65:CL65" si="178">+CK65</f>
        <v>1772</v>
      </c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>
        <f>AVERAGE(BK65:BN65)</f>
        <v>1546</v>
      </c>
      <c r="DA65" s="16">
        <f>AVERAGE(BO65:BR65)</f>
        <v>1483.75</v>
      </c>
      <c r="DB65" s="16">
        <f>AVERAGE(BS65:BV65)</f>
        <v>1670.25</v>
      </c>
      <c r="DC65" s="16">
        <f>AVERAGE(BW65:BZ65)</f>
        <v>1776.5</v>
      </c>
      <c r="DD65" s="16">
        <f>AVERAGE(CA65:CD65)</f>
        <v>1776.5</v>
      </c>
      <c r="DE65" s="16">
        <f>AVERAGE(CE65:CH65)</f>
        <v>1772.5</v>
      </c>
      <c r="DF65" s="16">
        <f>AVERAGE(CI65:CL65)</f>
        <v>1772</v>
      </c>
      <c r="DG65" s="16">
        <f t="shared" ref="DG65:DL65" si="179">DF65</f>
        <v>1772</v>
      </c>
      <c r="DH65" s="16">
        <f t="shared" si="179"/>
        <v>1772</v>
      </c>
      <c r="DI65" s="16">
        <f t="shared" si="179"/>
        <v>1772</v>
      </c>
      <c r="DJ65" s="16">
        <f t="shared" si="179"/>
        <v>1772</v>
      </c>
      <c r="DK65" s="16">
        <f t="shared" si="179"/>
        <v>1772</v>
      </c>
      <c r="DL65" s="16">
        <f t="shared" si="179"/>
        <v>1772</v>
      </c>
      <c r="DR65" s="48" t="s">
        <v>243</v>
      </c>
      <c r="DS65" s="29">
        <v>0.06</v>
      </c>
    </row>
    <row r="66" spans="2:123" x14ac:dyDescent="0.2">
      <c r="DR66" s="45" t="s">
        <v>244</v>
      </c>
      <c r="DS66" s="29">
        <v>-0.01</v>
      </c>
    </row>
    <row r="67" spans="2:123" s="32" customFormat="1" x14ac:dyDescent="0.2">
      <c r="B67" s="32" t="s">
        <v>157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>
        <f t="shared" ref="BG67:BU67" si="180">+BG53/BC53-1</f>
        <v>9.7348103390399565E-2</v>
      </c>
      <c r="BH67" s="33">
        <f t="shared" si="180"/>
        <v>7.9601990049751326E-2</v>
      </c>
      <c r="BI67" s="33">
        <f t="shared" si="180"/>
        <v>9.536486063263383E-2</v>
      </c>
      <c r="BJ67" s="33">
        <f t="shared" si="180"/>
        <v>0.14077240566037741</v>
      </c>
      <c r="BK67" s="33">
        <f t="shared" si="180"/>
        <v>0.21352095442031205</v>
      </c>
      <c r="BL67" s="33">
        <f t="shared" si="180"/>
        <v>0.18922811059907829</v>
      </c>
      <c r="BM67" s="33">
        <f t="shared" si="180"/>
        <v>0.1774124374553252</v>
      </c>
      <c r="BN67" s="33">
        <f t="shared" si="180"/>
        <v>7.3136064090967734E-2</v>
      </c>
      <c r="BO67" s="33">
        <f t="shared" si="180"/>
        <v>-1.3360221830098329E-2</v>
      </c>
      <c r="BP67" s="33">
        <f t="shared" si="180"/>
        <v>-3.6328408815688995E-4</v>
      </c>
      <c r="BQ67" s="33">
        <f t="shared" si="180"/>
        <v>2.9504613890237952E-2</v>
      </c>
      <c r="BR67" s="33">
        <f t="shared" si="180"/>
        <v>4.8043347381095725E-2</v>
      </c>
      <c r="BS67" s="33">
        <f t="shared" si="180"/>
        <v>0.10104752171691356</v>
      </c>
      <c r="BT67" s="33">
        <f t="shared" si="180"/>
        <v>0.26287098728043601</v>
      </c>
      <c r="BU67" s="33">
        <f t="shared" si="180"/>
        <v>0.51928293430829098</v>
      </c>
      <c r="BV67" s="33">
        <f t="shared" ref="BV67:BZ67" si="181">+BV53/BR53-1</f>
        <v>0.59214154411764697</v>
      </c>
      <c r="BW67" s="33">
        <f t="shared" si="181"/>
        <v>0.50075414781297134</v>
      </c>
      <c r="BX67" s="33">
        <f t="shared" si="181"/>
        <v>0.3389928057553957</v>
      </c>
      <c r="BY67" s="33">
        <f t="shared" si="181"/>
        <v>0.11333643844123586</v>
      </c>
      <c r="BZ67" s="33">
        <f t="shared" si="181"/>
        <v>7.4180978496175554E-2</v>
      </c>
      <c r="CA67" s="33">
        <f>+CA53/BW53-1</f>
        <v>4.6617703904135999E-2</v>
      </c>
      <c r="CB67" s="33">
        <f t="shared" ref="CB67" si="182">+CB53/BX53-1</f>
        <v>4.4702342574683085E-2</v>
      </c>
      <c r="CC67" s="33">
        <f>+CC53/BY53-1</f>
        <v>3.2770882722074957E-2</v>
      </c>
      <c r="CD67" s="33">
        <f t="shared" ref="CD67" si="183">+CD53/BZ53-1</f>
        <v>1.5786645169958424E-2</v>
      </c>
      <c r="CE67" s="33">
        <f t="shared" ref="CE67" si="184">+CE53/CA53-1</f>
        <v>-9.6986260895257748E-2</v>
      </c>
      <c r="CF67" s="33">
        <f t="shared" ref="CF67" si="185">+CF53/CB53-1</f>
        <v>-4.9235411095110759E-2</v>
      </c>
      <c r="CG67" s="33">
        <f t="shared" ref="CG67" si="186">+CG53/CC53-1</f>
        <v>-5.9748852281933607E-2</v>
      </c>
      <c r="CH67" s="33">
        <f t="shared" ref="CH67:CL67" si="187">+CH53/CD53-1</f>
        <v>-5.4229217644335637E-2</v>
      </c>
      <c r="CI67" s="33">
        <f t="shared" si="187"/>
        <v>6.952965235173858E-3</v>
      </c>
      <c r="CJ67" s="33">
        <f t="shared" si="187"/>
        <v>4.3058059862964404E-2</v>
      </c>
      <c r="CK67" s="33">
        <f t="shared" si="187"/>
        <v>3.8270984418754983E-2</v>
      </c>
      <c r="CL67" s="33">
        <f t="shared" si="187"/>
        <v>-3.220474092720782E-2</v>
      </c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>
        <f>+DA53/CZ53-1</f>
        <v>1.6283261540341654E-2</v>
      </c>
      <c r="DB67" s="33">
        <f>+DB53/DA53-1</f>
        <v>0.37630012625503517</v>
      </c>
      <c r="DC67" s="33">
        <f>+DC53/DB53-1</f>
        <v>0.22579940590599334</v>
      </c>
      <c r="DD67" s="33">
        <f>+DD53/DC53-1</f>
        <v>3.0576244609956893E-2</v>
      </c>
      <c r="DE67" s="33">
        <f t="shared" ref="DE67:DL67" si="188">+DE53/DD53-1</f>
        <v>-6.0859642449600626E-2</v>
      </c>
      <c r="DF67" s="33">
        <f t="shared" si="188"/>
        <v>1.3889318457969591E-2</v>
      </c>
      <c r="DG67" s="33">
        <f t="shared" si="188"/>
        <v>1.5728602182870421E-2</v>
      </c>
      <c r="DH67" s="33">
        <f t="shared" si="188"/>
        <v>-2.6548909718552616E-2</v>
      </c>
      <c r="DI67" s="33">
        <f t="shared" si="188"/>
        <v>-1.7527734291465258E-2</v>
      </c>
      <c r="DJ67" s="33">
        <f t="shared" si="188"/>
        <v>-3.7718743094739327E-2</v>
      </c>
      <c r="DK67" s="33">
        <f t="shared" si="188"/>
        <v>-1.2586950165277555E-2</v>
      </c>
      <c r="DL67" s="33">
        <f t="shared" si="188"/>
        <v>-0.28926914734936071</v>
      </c>
      <c r="DR67" s="51" t="s">
        <v>246</v>
      </c>
      <c r="DS67" s="33" t="s">
        <v>203</v>
      </c>
    </row>
    <row r="68" spans="2:123" s="32" customFormat="1" x14ac:dyDescent="0.2">
      <c r="B68" s="32" t="s">
        <v>251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>
        <v>0.17599999999999999</v>
      </c>
      <c r="BL68" s="33">
        <v>0.17100000000000001</v>
      </c>
      <c r="BM68" s="33">
        <v>0.185</v>
      </c>
      <c r="BN68" s="33">
        <v>8.3000000000000004E-2</v>
      </c>
      <c r="BO68" s="33">
        <v>4.0000000000000001E-3</v>
      </c>
      <c r="BP68" s="33">
        <v>1.4999999999999999E-2</v>
      </c>
      <c r="BQ68" s="33"/>
      <c r="BR68" s="33"/>
      <c r="BS68" s="33"/>
      <c r="BT68" s="33"/>
      <c r="BU68" s="33"/>
      <c r="BV68" s="33"/>
      <c r="BW68" s="33"/>
      <c r="BX68" s="33"/>
      <c r="BY68" s="33"/>
      <c r="BZ68" s="33">
        <v>7.3999999999999996E-2</v>
      </c>
      <c r="CA68" s="33">
        <v>5.3999999999999999E-2</v>
      </c>
      <c r="CB68" s="33">
        <v>6.0999999999999999E-2</v>
      </c>
      <c r="CC68" s="33">
        <v>5.3999999999999999E-2</v>
      </c>
      <c r="CD68" s="33">
        <v>3.7999999999999999E-2</v>
      </c>
      <c r="CE68" s="33">
        <v>-8.3000000000000004E-2</v>
      </c>
      <c r="CF68" s="33"/>
      <c r="CG68" s="33">
        <v>-5.8000000000000003E-2</v>
      </c>
      <c r="CH68" s="33">
        <v>-5.3999999999999999E-2</v>
      </c>
      <c r="CI68" s="33">
        <v>1.6E-2</v>
      </c>
      <c r="CJ68" s="33">
        <v>5.6000000000000001E-2</v>
      </c>
      <c r="CK68" s="33">
        <v>4.9000000000000002E-2</v>
      </c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R68" s="32" t="s">
        <v>245</v>
      </c>
      <c r="DS68" s="17">
        <f>NPV(DS65,DE63:II63)+Main!K5-Main!K6</f>
        <v>275915.82872201299</v>
      </c>
    </row>
    <row r="69" spans="2:123" s="29" customFormat="1" x14ac:dyDescent="0.2">
      <c r="B69" s="31" t="s">
        <v>156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>
        <f t="shared" ref="BK69" si="189">+BK5/BG5-1</f>
        <v>0.14351627003399714</v>
      </c>
      <c r="BL69" s="30">
        <f t="shared" ref="BL69" si="190">+BL5/BH5-1</f>
        <v>9.9448685326547936E-2</v>
      </c>
      <c r="BM69" s="30">
        <f t="shared" ref="BM69" si="191">+BM5/BI5-1</f>
        <v>8.9980855137204774E-2</v>
      </c>
      <c r="BN69" s="30">
        <f t="shared" ref="BN69" si="192">+BN5/BJ5-1</f>
        <v>5.3147996729354663E-3</v>
      </c>
      <c r="BO69" s="30">
        <f t="shared" ref="BO69:CI69" si="193">+BO5/BK5-1</f>
        <v>-5.5850499044383106E-2</v>
      </c>
      <c r="BP69" s="30">
        <f t="shared" si="193"/>
        <v>-6.0752169720347138E-2</v>
      </c>
      <c r="BQ69" s="30">
        <f t="shared" si="193"/>
        <v>-3.669008587041378E-2</v>
      </c>
      <c r="BR69" s="30">
        <f t="shared" si="193"/>
        <v>-2.0333468889788264E-4</v>
      </c>
      <c r="BS69" s="30">
        <f t="shared" si="193"/>
        <v>5.7804768331084055E-2</v>
      </c>
      <c r="BT69" s="30">
        <f t="shared" si="193"/>
        <v>-6.7761806981520012E-3</v>
      </c>
      <c r="BU69" s="30">
        <f t="shared" si="193"/>
        <v>4.1329011345218714E-2</v>
      </c>
      <c r="BV69" s="30">
        <f t="shared" si="193"/>
        <v>4.7793369941020902E-2</v>
      </c>
      <c r="BW69" s="30">
        <f t="shared" si="193"/>
        <v>3.4871358707208255E-2</v>
      </c>
      <c r="BX69" s="30">
        <f t="shared" si="193"/>
        <v>4.7756874095513657E-2</v>
      </c>
      <c r="BY69" s="30">
        <f t="shared" si="193"/>
        <v>5.5447470817120648E-2</v>
      </c>
      <c r="BZ69" s="30">
        <f t="shared" si="193"/>
        <v>3.5326086956521729E-2</v>
      </c>
      <c r="CA69" s="30">
        <f t="shared" si="193"/>
        <v>-2.6915964659954827E-2</v>
      </c>
      <c r="CB69" s="30">
        <f t="shared" si="193"/>
        <v>5.8208366219415941E-2</v>
      </c>
      <c r="CC69" s="30">
        <f t="shared" si="193"/>
        <v>2.4700460829493176E-2</v>
      </c>
      <c r="CD69" s="30">
        <f t="shared" si="193"/>
        <v>4.5931758530183719E-2</v>
      </c>
      <c r="CE69" s="30">
        <f t="shared" si="193"/>
        <v>-0.25232263513513509</v>
      </c>
      <c r="CF69" s="30">
        <f t="shared" si="193"/>
        <v>-0.25191124370688045</v>
      </c>
      <c r="CG69" s="30">
        <f t="shared" si="193"/>
        <v>-0.36193559992804458</v>
      </c>
      <c r="CH69" s="30">
        <f t="shared" si="193"/>
        <v>-0.40777917189460477</v>
      </c>
      <c r="CI69" s="30">
        <f t="shared" si="193"/>
        <v>-0.35893815306410615</v>
      </c>
      <c r="CJ69" s="30">
        <f t="shared" ref="CJ69" si="194">+CJ5/CF5-1</f>
        <v>-0.29860418743768691</v>
      </c>
      <c r="CK69" s="30">
        <f t="shared" ref="CK69" si="195">+CK5/CG5-1</f>
        <v>-0.37214547504933748</v>
      </c>
      <c r="CL69" s="30">
        <f t="shared" ref="CL69" si="196">+CL5/CH5-1</f>
        <v>-0.4</v>
      </c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>
        <f t="shared" ref="DA69:DL69" si="197">+DA5/CZ5-1</f>
        <v>-3.8473113964687E-2</v>
      </c>
      <c r="DB69" s="30">
        <f t="shared" si="197"/>
        <v>3.4587093745109376E-2</v>
      </c>
      <c r="DC69" s="30">
        <f t="shared" si="197"/>
        <v>4.3465106897942807E-2</v>
      </c>
      <c r="DD69" s="30">
        <f t="shared" si="197"/>
        <v>2.623948970716139E-2</v>
      </c>
      <c r="DE69" s="30">
        <f t="shared" si="197"/>
        <v>-0.32174977633375712</v>
      </c>
      <c r="DF69" s="30">
        <f t="shared" si="197"/>
        <v>-0.35480422104970843</v>
      </c>
      <c r="DG69" s="30">
        <f t="shared" si="197"/>
        <v>-9.9999999999999978E-2</v>
      </c>
      <c r="DH69" s="30">
        <f t="shared" si="197"/>
        <v>-0.19999999999999996</v>
      </c>
      <c r="DI69" s="30">
        <f t="shared" si="197"/>
        <v>-0.19999999999999984</v>
      </c>
      <c r="DJ69" s="30">
        <f t="shared" si="197"/>
        <v>-0.5</v>
      </c>
      <c r="DK69" s="30">
        <f t="shared" si="197"/>
        <v>-0.5</v>
      </c>
      <c r="DL69" s="30">
        <f t="shared" si="197"/>
        <v>-0.5</v>
      </c>
      <c r="DR69" s="51" t="s">
        <v>247</v>
      </c>
      <c r="DS69" s="14">
        <f>DS68/Main!K3</f>
        <v>155.70870695373193</v>
      </c>
    </row>
    <row r="70" spans="2:123" s="29" customFormat="1" x14ac:dyDescent="0.2">
      <c r="B70" s="31" t="s">
        <v>158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>
        <f t="shared" ref="BK70" si="198">+BK7/BG7-1</f>
        <v>0.38294010889292207</v>
      </c>
      <c r="BL70" s="30">
        <f t="shared" ref="BL70" si="199">+BL7/BH7-1</f>
        <v>0.35782747603833864</v>
      </c>
      <c r="BM70" s="30">
        <f t="shared" ref="BM70" si="200">+BM7/BI7-1</f>
        <v>0.41279069767441867</v>
      </c>
      <c r="BN70" s="30">
        <f t="shared" ref="BN70" si="201">+BN7/BJ7-1</f>
        <v>0.42090395480225995</v>
      </c>
      <c r="BO70" s="30">
        <f t="shared" ref="BO70:CI70" si="202">+BO7/BK7-1</f>
        <v>0.34120734908136474</v>
      </c>
      <c r="BP70" s="30">
        <f t="shared" si="202"/>
        <v>0.29294117647058826</v>
      </c>
      <c r="BQ70" s="30">
        <f t="shared" si="202"/>
        <v>0.29320987654320985</v>
      </c>
      <c r="BR70" s="30">
        <f t="shared" si="202"/>
        <v>0.28827037773359843</v>
      </c>
      <c r="BS70" s="30">
        <f t="shared" si="202"/>
        <v>0.20547945205479445</v>
      </c>
      <c r="BT70" s="30">
        <f t="shared" si="202"/>
        <v>0.17197452229299359</v>
      </c>
      <c r="BU70" s="30">
        <f t="shared" si="202"/>
        <v>8.9896579156722334E-2</v>
      </c>
      <c r="BV70" s="30">
        <f t="shared" si="202"/>
        <v>9.8765432098765427E-2</v>
      </c>
      <c r="BW70" s="30">
        <f t="shared" si="202"/>
        <v>2.9220779220779258E-2</v>
      </c>
      <c r="BX70" s="30">
        <f t="shared" si="202"/>
        <v>7.2204968944099335E-2</v>
      </c>
      <c r="BY70" s="30">
        <f t="shared" si="202"/>
        <v>2.9197080291971655E-3</v>
      </c>
      <c r="BZ70" s="30">
        <f t="shared" si="202"/>
        <v>-2.73876404494382E-2</v>
      </c>
      <c r="CA70" s="30">
        <f t="shared" si="202"/>
        <v>-7.4921135646687675E-2</v>
      </c>
      <c r="CB70" s="30">
        <f t="shared" si="202"/>
        <v>-0.17089065894279509</v>
      </c>
      <c r="CC70" s="30">
        <f t="shared" si="202"/>
        <v>-0.17394468704512378</v>
      </c>
      <c r="CD70" s="30">
        <f t="shared" si="202"/>
        <v>-0.19494584837545126</v>
      </c>
      <c r="CE70" s="30">
        <f t="shared" si="202"/>
        <v>-0.25149190110826936</v>
      </c>
      <c r="CF70" s="30">
        <f t="shared" si="202"/>
        <v>-0.20786026200873364</v>
      </c>
      <c r="CG70" s="30">
        <f t="shared" si="202"/>
        <v>-0.19999999999999996</v>
      </c>
      <c r="CH70" s="30">
        <f t="shared" si="202"/>
        <v>-0.19013452914798201</v>
      </c>
      <c r="CI70" s="30">
        <f t="shared" si="202"/>
        <v>-4.5558086560364419E-2</v>
      </c>
      <c r="CJ70" s="30">
        <f t="shared" ref="CJ70:CL71" si="203">+CJ7/CF7-1</f>
        <v>-8.158765159867698E-2</v>
      </c>
      <c r="CK70" s="30">
        <f t="shared" si="203"/>
        <v>-8.8105726872246715E-2</v>
      </c>
      <c r="CL70" s="30">
        <f t="shared" si="203"/>
        <v>-5.0000000000000155E-2</v>
      </c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>
        <f t="shared" ref="DA70:DL70" si="204">+DA7/CZ7-1</f>
        <v>0.30194986072423391</v>
      </c>
      <c r="DB70" s="30">
        <f t="shared" si="204"/>
        <v>0.13692768506632436</v>
      </c>
      <c r="DC70" s="30">
        <f t="shared" si="204"/>
        <v>1.7689123071132906E-2</v>
      </c>
      <c r="DD70" s="30">
        <f t="shared" si="204"/>
        <v>-0.15532544378698221</v>
      </c>
      <c r="DE70" s="30">
        <f t="shared" si="204"/>
        <v>-0.21278458844133097</v>
      </c>
      <c r="DF70" s="30">
        <f t="shared" si="204"/>
        <v>-6.6504449388209097E-2</v>
      </c>
      <c r="DG70" s="30">
        <f t="shared" si="204"/>
        <v>-9.9999999999999978E-2</v>
      </c>
      <c r="DH70" s="30">
        <f t="shared" si="204"/>
        <v>-9.9999999999999978E-2</v>
      </c>
      <c r="DI70" s="30">
        <f t="shared" si="204"/>
        <v>-9.9999999999999978E-2</v>
      </c>
      <c r="DJ70" s="30">
        <f t="shared" si="204"/>
        <v>-9.9999999999999978E-2</v>
      </c>
      <c r="DK70" s="30">
        <f t="shared" si="204"/>
        <v>-9.9999999999999978E-2</v>
      </c>
      <c r="DL70" s="30">
        <f t="shared" si="204"/>
        <v>-9.9999999999999978E-2</v>
      </c>
    </row>
    <row r="71" spans="2:123" s="29" customFormat="1" x14ac:dyDescent="0.2">
      <c r="B71" s="31" t="s">
        <v>155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69" t="s">
        <v>203</v>
      </c>
      <c r="BG71" s="69" t="s">
        <v>203</v>
      </c>
      <c r="BH71" s="69" t="s">
        <v>203</v>
      </c>
      <c r="BI71" s="69" t="s">
        <v>203</v>
      </c>
      <c r="BJ71" s="69" t="s">
        <v>203</v>
      </c>
      <c r="BK71" s="69" t="s">
        <v>203</v>
      </c>
      <c r="BL71" s="69" t="s">
        <v>203</v>
      </c>
      <c r="BM71" s="69" t="s">
        <v>203</v>
      </c>
      <c r="BN71" s="69" t="s">
        <v>203</v>
      </c>
      <c r="BO71" s="69" t="s">
        <v>203</v>
      </c>
      <c r="BP71" s="69" t="s">
        <v>203</v>
      </c>
      <c r="BQ71" s="69" t="s">
        <v>203</v>
      </c>
      <c r="BR71" s="69" t="s">
        <v>203</v>
      </c>
      <c r="BS71" s="69" t="s">
        <v>203</v>
      </c>
      <c r="BT71" s="30">
        <f t="shared" ref="BT71:CI71" si="205">+BT8/BP8-1</f>
        <v>5.875</v>
      </c>
      <c r="BU71" s="30">
        <f t="shared" si="205"/>
        <v>3.7802197802197801</v>
      </c>
      <c r="BV71" s="30">
        <f t="shared" si="205"/>
        <v>1.4305555555555554</v>
      </c>
      <c r="BW71" s="30">
        <f t="shared" si="205"/>
        <v>0.91333333333333333</v>
      </c>
      <c r="BX71" s="30">
        <f t="shared" si="205"/>
        <v>1.0424242424242425</v>
      </c>
      <c r="BY71" s="30">
        <f t="shared" si="205"/>
        <v>0.8298850574712644</v>
      </c>
      <c r="BZ71" s="30">
        <f t="shared" si="205"/>
        <v>0.7047619047619047</v>
      </c>
      <c r="CA71" s="30">
        <f t="shared" si="205"/>
        <v>0.63763066202090601</v>
      </c>
      <c r="CB71" s="30">
        <f t="shared" si="205"/>
        <v>0.85756676557863498</v>
      </c>
      <c r="CC71" s="30">
        <f t="shared" si="205"/>
        <v>0.75502512562814061</v>
      </c>
      <c r="CD71" s="30">
        <f t="shared" si="205"/>
        <v>0.76089385474860327</v>
      </c>
      <c r="CE71" s="30">
        <f t="shared" si="205"/>
        <v>0.44680851063829796</v>
      </c>
      <c r="CF71" s="30">
        <f t="shared" si="205"/>
        <v>0.5039936102236422</v>
      </c>
      <c r="CG71" s="30">
        <f t="shared" si="205"/>
        <v>0.52183249821045097</v>
      </c>
      <c r="CH71" s="30">
        <f t="shared" si="205"/>
        <v>0.51903553299492389</v>
      </c>
      <c r="CI71" s="30">
        <f t="shared" si="205"/>
        <v>0.4764705882352942</v>
      </c>
      <c r="CJ71" s="30">
        <f t="shared" si="203"/>
        <v>0.44822092405735536</v>
      </c>
      <c r="CK71" s="30">
        <f t="shared" si="203"/>
        <v>0.50752587017873951</v>
      </c>
      <c r="CL71" s="30">
        <f t="shared" si="203"/>
        <v>0.19999999999999996</v>
      </c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69" t="s">
        <v>203</v>
      </c>
      <c r="DB71" s="30">
        <f t="shared" ref="DB71:DL71" si="206">+DB8/DA8-1</f>
        <v>3.47887323943662</v>
      </c>
      <c r="DC71" s="30">
        <f t="shared" si="206"/>
        <v>0.84842767295597477</v>
      </c>
      <c r="DD71" s="30">
        <f t="shared" si="206"/>
        <v>0.75740047635250085</v>
      </c>
      <c r="DE71" s="30">
        <f t="shared" si="206"/>
        <v>0.50300096805421113</v>
      </c>
      <c r="DF71" s="30">
        <f t="shared" si="206"/>
        <v>0.3928635836661083</v>
      </c>
      <c r="DG71" s="30">
        <f t="shared" si="206"/>
        <v>0.30000000000000004</v>
      </c>
      <c r="DH71" s="30">
        <f t="shared" si="206"/>
        <v>3.0000000000000027E-2</v>
      </c>
      <c r="DI71" s="30">
        <f t="shared" si="206"/>
        <v>3.0000000000000027E-2</v>
      </c>
      <c r="DJ71" s="30">
        <f t="shared" si="206"/>
        <v>3.0000000000000027E-2</v>
      </c>
      <c r="DK71" s="30">
        <f t="shared" si="206"/>
        <v>3.0000000000000027E-2</v>
      </c>
      <c r="DL71" s="30">
        <f t="shared" si="206"/>
        <v>3.0000000000000027E-2</v>
      </c>
    </row>
    <row r="72" spans="2:123" s="29" customFormat="1" x14ac:dyDescent="0.2">
      <c r="B72" s="70" t="s">
        <v>322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>
        <f t="shared" ref="BO72:CI72" si="207">+BO3/BK3-1</f>
        <v>-5.5850499044383106E-2</v>
      </c>
      <c r="BP72" s="30">
        <f t="shared" si="207"/>
        <v>-5.1494696239151372E-2</v>
      </c>
      <c r="BQ72" s="30">
        <f t="shared" si="207"/>
        <v>-1.6198282591725177E-2</v>
      </c>
      <c r="BR72" s="30">
        <f t="shared" si="207"/>
        <v>5.0427002846685554E-2</v>
      </c>
      <c r="BS72" s="30">
        <f t="shared" si="207"/>
        <v>0.14462438146648671</v>
      </c>
      <c r="BT72" s="30">
        <f t="shared" si="207"/>
        <v>8.0927206181374611E-2</v>
      </c>
      <c r="BU72" s="30">
        <f t="shared" si="207"/>
        <v>0.14858163062884344</v>
      </c>
      <c r="BV72" s="30">
        <f t="shared" si="207"/>
        <v>0.1533101045296168</v>
      </c>
      <c r="BW72" s="30">
        <f t="shared" si="207"/>
        <v>0.1287089801532717</v>
      </c>
      <c r="BX72" s="30">
        <f t="shared" si="207"/>
        <v>0.15124153498871329</v>
      </c>
      <c r="BY72" s="30">
        <f t="shared" si="207"/>
        <v>0.15267702936096716</v>
      </c>
      <c r="BZ72" s="30">
        <f t="shared" si="207"/>
        <v>0.13225914736488753</v>
      </c>
      <c r="CA72" s="30">
        <f t="shared" si="207"/>
        <v>6.9115598885793883E-2</v>
      </c>
      <c r="CB72" s="30">
        <f t="shared" si="207"/>
        <v>0.17761437908496736</v>
      </c>
      <c r="CC72" s="30">
        <f t="shared" si="207"/>
        <v>0.14638897213065638</v>
      </c>
      <c r="CD72" s="30">
        <f t="shared" si="207"/>
        <v>0.17477023421286697</v>
      </c>
      <c r="CE72" s="30">
        <f t="shared" si="207"/>
        <v>-9.0213320306139044E-2</v>
      </c>
      <c r="CF72" s="30">
        <f t="shared" si="207"/>
        <v>-5.4669071735812369E-2</v>
      </c>
      <c r="CG72" s="30">
        <f t="shared" si="207"/>
        <v>-0.11344922232387922</v>
      </c>
      <c r="CH72" s="30">
        <f t="shared" si="207"/>
        <v>-0.12264984227129339</v>
      </c>
      <c r="CI72" s="30">
        <f t="shared" si="207"/>
        <v>-3.8661177734025443E-2</v>
      </c>
      <c r="CJ72" s="30">
        <f t="shared" ref="CJ72" si="208">+CJ3/CF3-1</f>
        <v>2.3190958461764222E-2</v>
      </c>
      <c r="CK72" s="30">
        <f t="shared" ref="CK72" si="209">+CK3/CG3-1</f>
        <v>3.8773404098481512E-2</v>
      </c>
      <c r="CL72" s="30">
        <f t="shared" ref="CL72" si="210">+CL3/CH3-1</f>
        <v>-8.5114339134186756E-2</v>
      </c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>
        <f>+Model!DA3/Model!CZ3-1</f>
        <v>-1.8308587479935801E-2</v>
      </c>
      <c r="DB72" s="30">
        <f>+Model!DB3/Model!DA3-1</f>
        <v>0.13192989627510099</v>
      </c>
      <c r="DC72" s="30">
        <f>+Model!DC3/Model!DB3-1</f>
        <v>0.14133525933282165</v>
      </c>
      <c r="DD72" s="30">
        <f>+Model!DD3/Model!DC3-1</f>
        <v>0.14396456256921364</v>
      </c>
      <c r="DE72" s="30">
        <f>+Model!DE3/Model!DD3-1</f>
        <v>-9.639054072742359E-2</v>
      </c>
      <c r="DF72" s="30">
        <f>+Model!DF3/Model!DE3-1</f>
        <v>-1.4799510254055792E-2</v>
      </c>
      <c r="DG72" s="30">
        <f>+Model!DG3/Model!DF3-1</f>
        <v>9.6460860919950875E-2</v>
      </c>
      <c r="DH72" s="30">
        <f>+Model!DH3/Model!DG3-1</f>
        <v>-3.8137799078312162E-2</v>
      </c>
      <c r="DI72" s="30">
        <f>+Model!DI3/Model!DH3-1</f>
        <v>-2.6671568141898527E-2</v>
      </c>
      <c r="DJ72" s="30">
        <f>+Model!DJ3/Model!DI3-1</f>
        <v>-7.7335612995027114E-2</v>
      </c>
      <c r="DK72" s="30">
        <f>+Model!DK3/Model!DJ3-1</f>
        <v>-2.816611896306398E-2</v>
      </c>
      <c r="DL72" s="30">
        <f>+Model!DL3/Model!DK3-1</f>
        <v>-0.25661905247603256</v>
      </c>
    </row>
    <row r="73" spans="2:123" s="29" customFormat="1" x14ac:dyDescent="0.2">
      <c r="B73" s="43" t="s">
        <v>118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50" t="s">
        <v>203</v>
      </c>
      <c r="BG73" s="50" t="s">
        <v>203</v>
      </c>
      <c r="BH73" s="50" t="s">
        <v>203</v>
      </c>
      <c r="BI73" s="50" t="s">
        <v>203</v>
      </c>
      <c r="BJ73" s="50" t="s">
        <v>203</v>
      </c>
      <c r="BK73" s="50" t="s">
        <v>203</v>
      </c>
      <c r="BL73" s="50" t="s">
        <v>203</v>
      </c>
      <c r="BM73" s="50" t="s">
        <v>203</v>
      </c>
      <c r="BN73" s="50" t="s">
        <v>203</v>
      </c>
      <c r="BO73" s="50" t="s">
        <v>203</v>
      </c>
      <c r="BP73" s="50" t="s">
        <v>203</v>
      </c>
      <c r="BQ73" s="50" t="s">
        <v>203</v>
      </c>
      <c r="BR73" s="50" t="s">
        <v>203</v>
      </c>
      <c r="BS73" s="50" t="s">
        <v>203</v>
      </c>
      <c r="BT73" s="50" t="s">
        <v>203</v>
      </c>
      <c r="BU73" s="50" t="s">
        <v>203</v>
      </c>
      <c r="BV73" s="50" t="s">
        <v>203</v>
      </c>
      <c r="BW73" s="50" t="s">
        <v>203</v>
      </c>
      <c r="BX73" s="30">
        <f t="shared" ref="BX73:CL74" si="211">BX9/BT9-1</f>
        <v>1.584070796460177</v>
      </c>
      <c r="BY73" s="30">
        <f t="shared" si="211"/>
        <v>0.38676844783715003</v>
      </c>
      <c r="BZ73" s="30">
        <f t="shared" si="211"/>
        <v>0.26977687626774838</v>
      </c>
      <c r="CA73" s="30">
        <f t="shared" si="211"/>
        <v>0.34381551362683438</v>
      </c>
      <c r="CB73" s="30">
        <f t="shared" si="211"/>
        <v>0.19006849315068486</v>
      </c>
      <c r="CC73" s="30">
        <f t="shared" si="211"/>
        <v>0.16880733944954129</v>
      </c>
      <c r="CD73" s="30">
        <f t="shared" si="211"/>
        <v>2.5559105431310014E-2</v>
      </c>
      <c r="CE73" s="30">
        <f t="shared" si="211"/>
        <v>2.808112324492984E-2</v>
      </c>
      <c r="CF73" s="30">
        <f t="shared" si="211"/>
        <v>-1.4388489208633115E-2</v>
      </c>
      <c r="CG73" s="30">
        <f t="shared" si="211"/>
        <v>-2.6687598116169498E-2</v>
      </c>
      <c r="CH73" s="30">
        <f t="shared" si="211"/>
        <v>0.11838006230529596</v>
      </c>
      <c r="CI73" s="30">
        <f t="shared" si="211"/>
        <v>-3.9453717754172946E-2</v>
      </c>
      <c r="CJ73" s="30">
        <f t="shared" si="211"/>
        <v>6.4233576642335866E-2</v>
      </c>
      <c r="CK73" s="30">
        <f t="shared" si="211"/>
        <v>8.2258064516129048E-2</v>
      </c>
      <c r="CL73" s="30">
        <f t="shared" si="211"/>
        <v>-2.9999999999999916E-2</v>
      </c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>
        <f t="shared" ref="DA73:DF73" si="212">+DC9/DB9-1</f>
        <v>1.0071942446043165</v>
      </c>
      <c r="DD73" s="30">
        <f t="shared" si="212"/>
        <v>0.17159498207885315</v>
      </c>
      <c r="DE73" s="30">
        <f t="shared" si="212"/>
        <v>2.5621414913957974E-2</v>
      </c>
      <c r="DF73" s="30">
        <f>+DF9/DE9-1</f>
        <v>1.7695749440715947E-2</v>
      </c>
      <c r="DG73" s="30">
        <f t="shared" ref="DG73:DL73" si="213">+DG9/DF9-1</f>
        <v>5.0000000000000044E-2</v>
      </c>
      <c r="DH73" s="30">
        <f t="shared" si="213"/>
        <v>5.0000000000000044E-2</v>
      </c>
      <c r="DI73" s="30">
        <f t="shared" si="213"/>
        <v>5.0000000000000044E-2</v>
      </c>
      <c r="DJ73" s="30">
        <f t="shared" si="213"/>
        <v>5.0000000000000044E-2</v>
      </c>
      <c r="DK73" s="30">
        <f t="shared" si="213"/>
        <v>5.0000000000000044E-2</v>
      </c>
      <c r="DL73" s="30">
        <f t="shared" si="213"/>
        <v>5.0000000000000044E-2</v>
      </c>
    </row>
    <row r="74" spans="2:123" s="29" customFormat="1" x14ac:dyDescent="0.2">
      <c r="B74" s="43" t="s">
        <v>121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50" t="s">
        <v>203</v>
      </c>
      <c r="BG74" s="50" t="s">
        <v>203</v>
      </c>
      <c r="BH74" s="50" t="s">
        <v>203</v>
      </c>
      <c r="BI74" s="50" t="s">
        <v>203</v>
      </c>
      <c r="BJ74" s="50" t="s">
        <v>203</v>
      </c>
      <c r="BK74" s="50" t="s">
        <v>203</v>
      </c>
      <c r="BL74" s="50" t="s">
        <v>203</v>
      </c>
      <c r="BM74" s="50" t="s">
        <v>203</v>
      </c>
      <c r="BN74" s="50" t="s">
        <v>203</v>
      </c>
      <c r="BO74" s="50" t="s">
        <v>203</v>
      </c>
      <c r="BP74" s="50" t="s">
        <v>203</v>
      </c>
      <c r="BQ74" s="50" t="s">
        <v>203</v>
      </c>
      <c r="BR74" s="50" t="s">
        <v>203</v>
      </c>
      <c r="BS74" s="50" t="s">
        <v>203</v>
      </c>
      <c r="BT74" s="50" t="s">
        <v>203</v>
      </c>
      <c r="BU74" s="50" t="s">
        <v>203</v>
      </c>
      <c r="BV74" s="50" t="s">
        <v>203</v>
      </c>
      <c r="BW74" s="50" t="s">
        <v>203</v>
      </c>
      <c r="BX74" s="30">
        <f t="shared" si="211"/>
        <v>1.0303030303030303</v>
      </c>
      <c r="BY74" s="30">
        <f t="shared" si="211"/>
        <v>0.23326959847036322</v>
      </c>
      <c r="BZ74" s="30">
        <f t="shared" si="211"/>
        <v>0.18342151675485008</v>
      </c>
      <c r="CA74" s="30">
        <f t="shared" si="211"/>
        <v>0.15413533834586457</v>
      </c>
      <c r="CB74" s="30">
        <f t="shared" si="211"/>
        <v>0.12437810945273631</v>
      </c>
      <c r="CC74" s="30">
        <f t="shared" si="211"/>
        <v>8.3720930232558111E-2</v>
      </c>
      <c r="CD74" s="30">
        <f t="shared" si="211"/>
        <v>8.4947839046199736E-2</v>
      </c>
      <c r="CE74" s="30">
        <f t="shared" si="211"/>
        <v>0.17100977198697076</v>
      </c>
      <c r="CF74" s="30">
        <f t="shared" si="211"/>
        <v>0.10324483775811211</v>
      </c>
      <c r="CG74" s="30">
        <f t="shared" si="211"/>
        <v>7.0100143061516462E-2</v>
      </c>
      <c r="CH74" s="30">
        <f t="shared" si="211"/>
        <v>6.5934065934065922E-2</v>
      </c>
      <c r="CI74" s="30">
        <f t="shared" si="211"/>
        <v>4.0333796940194677E-2</v>
      </c>
      <c r="CJ74" s="30">
        <f t="shared" si="211"/>
        <v>8.8235294117646967E-2</v>
      </c>
      <c r="CK74" s="30">
        <f t="shared" si="211"/>
        <v>0.1336898395721926</v>
      </c>
      <c r="CL74" s="30">
        <f t="shared" si="211"/>
        <v>3.0000000000000027E-2</v>
      </c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>
        <f t="shared" ref="DA74:DF74" si="214">+DC10/DB10-1</f>
        <v>0.76712328767123283</v>
      </c>
      <c r="DD74" s="30">
        <f t="shared" si="214"/>
        <v>0.1093431252549979</v>
      </c>
      <c r="DE74" s="30">
        <f t="shared" si="214"/>
        <v>0.10003677822728951</v>
      </c>
      <c r="DF74" s="30">
        <f>+DF10/DE10-1</f>
        <v>7.2978936810431216E-2</v>
      </c>
      <c r="DG74" s="30">
        <f t="shared" ref="DG74:DL74" si="215">+DG10/DF10-1</f>
        <v>5.0000000000000044E-2</v>
      </c>
      <c r="DH74" s="30">
        <f t="shared" si="215"/>
        <v>5.0000000000000044E-2</v>
      </c>
      <c r="DI74" s="30">
        <f t="shared" si="215"/>
        <v>5.0000000000000044E-2</v>
      </c>
      <c r="DJ74" s="30">
        <f t="shared" si="215"/>
        <v>5.0000000000000044E-2</v>
      </c>
      <c r="DK74" s="30">
        <f t="shared" si="215"/>
        <v>5.0000000000000044E-2</v>
      </c>
      <c r="DL74" s="30">
        <f t="shared" si="215"/>
        <v>5.0000000000000044E-2</v>
      </c>
    </row>
    <row r="75" spans="2:123" s="29" customFormat="1" x14ac:dyDescent="0.2">
      <c r="B75" s="53" t="s">
        <v>249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54" t="s">
        <v>203</v>
      </c>
      <c r="BG75" s="54" t="s">
        <v>203</v>
      </c>
      <c r="BH75" s="54" t="s">
        <v>203</v>
      </c>
      <c r="BI75" s="54" t="s">
        <v>203</v>
      </c>
      <c r="BJ75" s="54" t="s">
        <v>203</v>
      </c>
      <c r="BK75" s="54" t="s">
        <v>203</v>
      </c>
      <c r="BL75" s="54" t="s">
        <v>203</v>
      </c>
      <c r="BM75" s="54" t="s">
        <v>203</v>
      </c>
      <c r="BN75" s="54" t="s">
        <v>203</v>
      </c>
      <c r="BO75" s="54" t="s">
        <v>203</v>
      </c>
      <c r="BP75" s="54" t="s">
        <v>203</v>
      </c>
      <c r="BQ75" s="54" t="s">
        <v>203</v>
      </c>
      <c r="BR75" s="54" t="s">
        <v>203</v>
      </c>
      <c r="BS75" s="54" t="s">
        <v>203</v>
      </c>
      <c r="BT75" s="54" t="s">
        <v>203</v>
      </c>
      <c r="BU75" s="30">
        <f t="shared" ref="BU75:CI75" si="216">BU12/BQ12-1</f>
        <v>14.357142857142858</v>
      </c>
      <c r="BV75" s="30">
        <f t="shared" si="216"/>
        <v>7.5151515151515156</v>
      </c>
      <c r="BW75" s="30">
        <f t="shared" si="216"/>
        <v>2.5232558139534884</v>
      </c>
      <c r="BX75" s="30">
        <f t="shared" si="216"/>
        <v>1.5369127516778525</v>
      </c>
      <c r="BY75" s="30">
        <f t="shared" si="216"/>
        <v>1.1069767441860465</v>
      </c>
      <c r="BZ75" s="30">
        <f t="shared" si="216"/>
        <v>0.83985765124555156</v>
      </c>
      <c r="CA75" s="30">
        <f t="shared" si="216"/>
        <v>0.53465346534653468</v>
      </c>
      <c r="CB75" s="30">
        <f t="shared" si="216"/>
        <v>0.56613756613756605</v>
      </c>
      <c r="CC75" s="30">
        <f t="shared" si="216"/>
        <v>0.53421633554083892</v>
      </c>
      <c r="CD75" s="30">
        <f t="shared" si="216"/>
        <v>0.4893617021276595</v>
      </c>
      <c r="CE75" s="30">
        <f t="shared" si="216"/>
        <v>0.47526881720430114</v>
      </c>
      <c r="CF75" s="30">
        <f t="shared" si="216"/>
        <v>0.55067567567567566</v>
      </c>
      <c r="CG75" s="30">
        <f t="shared" si="216"/>
        <v>0.59712230215827344</v>
      </c>
      <c r="CH75" s="30">
        <f t="shared" si="216"/>
        <v>0.62987012987012991</v>
      </c>
      <c r="CI75" s="30">
        <f t="shared" si="216"/>
        <v>0.59329446064139946</v>
      </c>
      <c r="CJ75" s="30">
        <f t="shared" ref="CJ75" si="217">CJ12/CF12-1</f>
        <v>0.55773420479302827</v>
      </c>
      <c r="CK75" s="30">
        <f t="shared" ref="CK75" si="218">CK12/CG12-1</f>
        <v>0.45405405405405408</v>
      </c>
      <c r="CL75" s="30">
        <f t="shared" ref="CL75" si="219">CL12/CH12-1</f>
        <v>0.19999999999999996</v>
      </c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>
        <f t="shared" ref="DA75:DF75" si="220">+DC12/DB12-1</f>
        <v>1.2585499316005473</v>
      </c>
      <c r="DD75" s="30">
        <f t="shared" si="220"/>
        <v>0.52755905511811019</v>
      </c>
      <c r="DE75" s="30">
        <f t="shared" si="220"/>
        <v>0.57375099127676443</v>
      </c>
      <c r="DF75" s="30">
        <f>+DF12/DE12-1</f>
        <v>0.42176870748299322</v>
      </c>
      <c r="DG75" s="30">
        <f t="shared" ref="DG75:DL75" si="221">+DG12/DF12-1</f>
        <v>3.0000000000000027E-2</v>
      </c>
      <c r="DH75" s="30">
        <f t="shared" si="221"/>
        <v>3.0000000000000027E-2</v>
      </c>
      <c r="DI75" s="30">
        <f t="shared" si="221"/>
        <v>3.0000000000000027E-2</v>
      </c>
      <c r="DJ75" s="30">
        <f t="shared" si="221"/>
        <v>3.0000000000000027E-2</v>
      </c>
      <c r="DK75" s="30">
        <f t="shared" si="221"/>
        <v>3.0000000000000027E-2</v>
      </c>
      <c r="DL75" s="30">
        <f t="shared" si="221"/>
        <v>-0.9</v>
      </c>
    </row>
    <row r="76" spans="2:123" s="29" customFormat="1" x14ac:dyDescent="0.2">
      <c r="B76" s="43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</row>
    <row r="77" spans="2:123" s="29" customFormat="1" x14ac:dyDescent="0.2">
      <c r="B77" s="43" t="s">
        <v>204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>
        <f t="shared" ref="BI77" si="222">+BI55/BI53</f>
        <v>0.80814867762687637</v>
      </c>
      <c r="BJ77" s="30">
        <f t="shared" ref="BJ77" si="223">+BJ55/BJ53</f>
        <v>0.79002455097557822</v>
      </c>
      <c r="BK77" s="30">
        <f t="shared" ref="BK77" si="224">+BK55/BK53</f>
        <v>0.80186538946307029</v>
      </c>
      <c r="BL77" s="30">
        <f t="shared" ref="BL77:BQ77" si="225">+BL55/BL53</f>
        <v>0.80540082344393316</v>
      </c>
      <c r="BM77" s="30">
        <f t="shared" si="225"/>
        <v>0.81677999028654691</v>
      </c>
      <c r="BN77" s="30">
        <f t="shared" si="225"/>
        <v>0.79843467790487654</v>
      </c>
      <c r="BO77" s="30">
        <f t="shared" si="225"/>
        <v>0.83354624425140522</v>
      </c>
      <c r="BP77" s="30">
        <f t="shared" si="225"/>
        <v>0.8271350696547547</v>
      </c>
      <c r="BQ77" s="30">
        <f t="shared" si="225"/>
        <v>0.82014388489208634</v>
      </c>
      <c r="BR77" s="30">
        <f>+BR55/BR53</f>
        <v>0.81560202205882348</v>
      </c>
      <c r="BS77" s="30">
        <f>+BS55/BS53</f>
        <v>0.82666202575704839</v>
      </c>
      <c r="BT77" s="30">
        <f>+BT55/BT53</f>
        <v>0.82772182254196647</v>
      </c>
      <c r="BU77" s="30">
        <f>+BU55/BU53</f>
        <v>0.81664337835739786</v>
      </c>
      <c r="BV77" s="30">
        <f t="shared" ref="BV77:CD77" si="226">+BV55/BV53</f>
        <v>0.81793909655072883</v>
      </c>
      <c r="BW77" s="30">
        <f t="shared" si="226"/>
        <v>0.83880943177425593</v>
      </c>
      <c r="BX77" s="30">
        <f t="shared" si="226"/>
        <v>0.82240848198295002</v>
      </c>
      <c r="BY77" s="30">
        <f t="shared" si="226"/>
        <v>0.83175289359921911</v>
      </c>
      <c r="BZ77" s="30">
        <f t="shared" si="226"/>
        <v>0.83555018137847648</v>
      </c>
      <c r="CA77" s="30">
        <f t="shared" si="226"/>
        <v>0.84465947702762589</v>
      </c>
      <c r="CB77" s="30">
        <f t="shared" si="226"/>
        <v>0.85140231776726327</v>
      </c>
      <c r="CC77" s="30">
        <f>+CC55/CC53</f>
        <v>0.85369970294355924</v>
      </c>
      <c r="CD77" s="30">
        <f t="shared" si="226"/>
        <v>0.85</v>
      </c>
      <c r="CE77" s="30">
        <f t="shared" ref="CE77:CH77" si="227">+CE55/CE53</f>
        <v>0.84204498977505116</v>
      </c>
      <c r="CF77" s="30">
        <f t="shared" si="227"/>
        <v>0.84731337901190051</v>
      </c>
      <c r="CG77" s="30">
        <f t="shared" si="227"/>
        <v>0.83478135994830183</v>
      </c>
      <c r="CH77" s="30">
        <f t="shared" si="227"/>
        <v>0.83938186140829307</v>
      </c>
      <c r="CI77" s="30">
        <f t="shared" ref="CI77:CL77" si="228">+CI55/CI53</f>
        <v>0.82875710804224212</v>
      </c>
      <c r="CJ77" s="30">
        <f t="shared" si="228"/>
        <v>0.85237173281703771</v>
      </c>
      <c r="CK77" s="30">
        <f t="shared" si="228"/>
        <v>0.84432918395573997</v>
      </c>
      <c r="CL77" s="30">
        <f t="shared" si="228"/>
        <v>0.82999999999999985</v>
      </c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>
        <f>+CZ55/CZ53</f>
        <v>0.80563956863104513</v>
      </c>
      <c r="DA77" s="30">
        <f>+DA55/DA53</f>
        <v>0.82384416521373172</v>
      </c>
      <c r="DB77" s="30">
        <f>+DB55/DB53</f>
        <v>0.82144417263672898</v>
      </c>
      <c r="DC77" s="30">
        <f>+DC55/DC53</f>
        <v>0.8320622928619793</v>
      </c>
      <c r="DD77" s="30">
        <f>+DD55/DD53</f>
        <v>0.84949081918461911</v>
      </c>
      <c r="DE77" s="30">
        <f t="shared" ref="DE77:DI77" si="229">+DE55/DE53</f>
        <v>0.84082624544349938</v>
      </c>
      <c r="DF77" s="30">
        <f t="shared" si="229"/>
        <v>0.83935930930243874</v>
      </c>
      <c r="DG77" s="30">
        <f t="shared" si="229"/>
        <v>0.85</v>
      </c>
      <c r="DH77" s="30">
        <f t="shared" si="229"/>
        <v>0.85</v>
      </c>
      <c r="DI77" s="30">
        <f t="shared" si="229"/>
        <v>0.85</v>
      </c>
      <c r="DJ77" s="30">
        <f t="shared" ref="DJ77:DL77" si="230">+DJ55/DJ53</f>
        <v>0.85</v>
      </c>
      <c r="DK77" s="30">
        <f t="shared" si="230"/>
        <v>0.85</v>
      </c>
      <c r="DL77" s="30">
        <f t="shared" si="230"/>
        <v>0.85</v>
      </c>
    </row>
    <row r="78" spans="2:123" s="29" customFormat="1" x14ac:dyDescent="0.2">
      <c r="B78" s="43" t="s">
        <v>205</v>
      </c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>
        <f t="shared" ref="BI78" si="231">+BI62/BI61</f>
        <v>0.18934280639431617</v>
      </c>
      <c r="BJ78" s="30">
        <f t="shared" ref="BJ78" si="232">+BJ62/BJ61</f>
        <v>0.18853848762292302</v>
      </c>
      <c r="BK78" s="30">
        <f t="shared" ref="BK78" si="233">+BK62/BK61</f>
        <v>7.6450721522873813E-2</v>
      </c>
      <c r="BL78" s="30">
        <f t="shared" ref="BL78:BQ78" si="234">+BL62/BL61</f>
        <v>9.0040532715691957E-2</v>
      </c>
      <c r="BM78" s="30">
        <f t="shared" si="234"/>
        <v>9.1036023457134879E-2</v>
      </c>
      <c r="BN78" s="30">
        <f t="shared" si="234"/>
        <v>9.1716915264995244E-2</v>
      </c>
      <c r="BO78" s="30">
        <f t="shared" si="234"/>
        <v>7.8917050691244245E-2</v>
      </c>
      <c r="BP78" s="30">
        <f t="shared" si="234"/>
        <v>8.7567567567567561E-2</v>
      </c>
      <c r="BQ78" s="30">
        <f t="shared" si="234"/>
        <v>8.7848500789058384E-2</v>
      </c>
      <c r="BR78" s="30">
        <f>+BR62/BR61</f>
        <v>8.8544548976203646E-2</v>
      </c>
      <c r="BS78" s="30">
        <f>+BS62/BS61</f>
        <v>9.7426929802648013E-2</v>
      </c>
      <c r="BT78" s="30">
        <f>+BT62/BT61</f>
        <v>0.11399317406143344</v>
      </c>
      <c r="BU78" s="30">
        <f>+BU62/BU61</f>
        <v>9.6755504055619931E-2</v>
      </c>
      <c r="BV78" s="30">
        <f t="shared" ref="BV78:CD78" si="235">+BV62/BV61</f>
        <v>9.6443132292984679E-2</v>
      </c>
      <c r="BW78" s="30">
        <f t="shared" si="235"/>
        <v>0.1234113712374582</v>
      </c>
      <c r="BX78" s="30">
        <f t="shared" si="235"/>
        <v>0.12653834017040075</v>
      </c>
      <c r="BY78" s="30">
        <f t="shared" si="235"/>
        <v>0.12783291364242336</v>
      </c>
      <c r="BZ78" s="30">
        <f t="shared" si="235"/>
        <v>0.12496302868973676</v>
      </c>
      <c r="CA78" s="30">
        <f t="shared" si="235"/>
        <v>0.11802184466019418</v>
      </c>
      <c r="CB78" s="30">
        <f t="shared" si="235"/>
        <v>0.12982644961657475</v>
      </c>
      <c r="CC78" s="30">
        <f>+CC62/CC61</f>
        <v>0.1274432118330692</v>
      </c>
      <c r="CD78" s="30">
        <f t="shared" si="235"/>
        <v>0.15</v>
      </c>
      <c r="CE78" s="30">
        <f t="shared" ref="CE78:CH78" si="236">+CE62/CE61</f>
        <v>0.1364907375043691</v>
      </c>
      <c r="CF78" s="30">
        <f t="shared" si="236"/>
        <v>9.4106311225309144E-2</v>
      </c>
      <c r="CG78" s="30">
        <f t="shared" si="236"/>
        <v>0.1549652118912081</v>
      </c>
      <c r="CH78" s="30">
        <f t="shared" si="236"/>
        <v>6.2390017597184454E-2</v>
      </c>
      <c r="CI78" s="30">
        <f t="shared" ref="CI78:CL78" si="237">+CI62/CI61</f>
        <v>0.14282860567319217</v>
      </c>
      <c r="CJ78" s="30">
        <f t="shared" si="237"/>
        <v>0.16184542352766651</v>
      </c>
      <c r="CK78" s="30">
        <f t="shared" si="237"/>
        <v>0.15957116221255438</v>
      </c>
      <c r="CL78" s="30">
        <f t="shared" si="237"/>
        <v>0.1</v>
      </c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>
        <f t="shared" ref="CZ78" si="238">+CZ62/CZ61</f>
        <v>8.7406084951275761E-2</v>
      </c>
      <c r="DA78" s="30">
        <f t="shared" ref="DA78:DI78" si="239">+DA62/DA61</f>
        <v>8.5823964902659713E-2</v>
      </c>
      <c r="DB78" s="30">
        <f t="shared" si="239"/>
        <v>0.10015614543832255</v>
      </c>
      <c r="DC78" s="30">
        <f t="shared" si="239"/>
        <v>0.12574038945453136</v>
      </c>
      <c r="DD78" s="30">
        <f t="shared" si="239"/>
        <v>0.13260849871780578</v>
      </c>
      <c r="DE78" s="30">
        <f t="shared" si="239"/>
        <v>0.11160495840809004</v>
      </c>
      <c r="DF78" s="30">
        <f t="shared" si="239"/>
        <v>0.14260336907459439</v>
      </c>
      <c r="DG78" s="30">
        <f t="shared" si="239"/>
        <v>0.15</v>
      </c>
      <c r="DH78" s="30">
        <f t="shared" si="239"/>
        <v>0.15</v>
      </c>
      <c r="DI78" s="30">
        <f t="shared" si="239"/>
        <v>0.15</v>
      </c>
      <c r="DJ78" s="30">
        <f t="shared" ref="DJ78:DL78" si="240">+DJ62/DJ61</f>
        <v>0.15</v>
      </c>
      <c r="DK78" s="30">
        <f t="shared" si="240"/>
        <v>0.15</v>
      </c>
      <c r="DL78" s="30">
        <f t="shared" si="240"/>
        <v>0.15</v>
      </c>
    </row>
    <row r="80" spans="2:123" x14ac:dyDescent="0.2">
      <c r="B80" s="25" t="s">
        <v>145</v>
      </c>
      <c r="CA80" s="16">
        <f t="shared" ref="CA80:CI80" si="241">CA81-CA90</f>
        <v>-65642</v>
      </c>
      <c r="CB80" s="16">
        <f t="shared" si="241"/>
        <v>-62727</v>
      </c>
      <c r="CC80" s="16">
        <f t="shared" si="241"/>
        <v>-57492</v>
      </c>
      <c r="CD80" s="16">
        <f t="shared" si="241"/>
        <v>0</v>
      </c>
      <c r="CE80" s="16">
        <f t="shared" si="241"/>
        <v>-55114</v>
      </c>
      <c r="CF80" s="16">
        <f t="shared" si="241"/>
        <v>-51961</v>
      </c>
      <c r="CG80" s="16">
        <f t="shared" si="241"/>
        <v>-47181</v>
      </c>
      <c r="CH80" s="16">
        <f>CH81-CH90</f>
        <v>-46265</v>
      </c>
      <c r="CI80" s="16">
        <f>CI81-CI90</f>
        <v>-55627</v>
      </c>
      <c r="CJ80" s="16">
        <f>CJ81-CJ90</f>
        <v>-57205</v>
      </c>
      <c r="CK80" s="16">
        <f>CK81-CK90</f>
        <v>-63527</v>
      </c>
      <c r="CL80" s="16">
        <f>+CK80+CL63</f>
        <v>-58456.071320000003</v>
      </c>
      <c r="CM80" s="16"/>
      <c r="CN80" s="16"/>
      <c r="CO80" s="16"/>
    </row>
    <row r="81" spans="2:115" s="15" customFormat="1" x14ac:dyDescent="0.2">
      <c r="B81" s="23" t="s">
        <v>50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>
        <f>6098+1474+260</f>
        <v>7832</v>
      </c>
      <c r="CB81" s="16">
        <f>8521+1440+244</f>
        <v>10205</v>
      </c>
      <c r="CC81" s="16">
        <f>11832+47+235</f>
        <v>12114</v>
      </c>
      <c r="CD81" s="16"/>
      <c r="CE81" s="16">
        <f>6711+11+257</f>
        <v>6979</v>
      </c>
      <c r="CF81" s="16">
        <f>8759+7+288</f>
        <v>9054</v>
      </c>
      <c r="CG81" s="16">
        <f>13287+3+275</f>
        <v>13565</v>
      </c>
      <c r="CH81" s="16">
        <f>12814+2+304</f>
        <v>13120</v>
      </c>
      <c r="CI81" s="16">
        <f>18069+305</f>
        <v>18374</v>
      </c>
      <c r="CJ81" s="16">
        <f>13130+27+272</f>
        <v>13429</v>
      </c>
      <c r="CK81" s="16">
        <f>7257+28+267</f>
        <v>7552</v>
      </c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</row>
    <row r="82" spans="2:115" s="15" customFormat="1" x14ac:dyDescent="0.2">
      <c r="B82" s="23" t="s">
        <v>135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>
        <v>10733</v>
      </c>
      <c r="CB82" s="16">
        <v>11237</v>
      </c>
      <c r="CC82" s="16">
        <v>10743</v>
      </c>
      <c r="CD82" s="16"/>
      <c r="CE82" s="16">
        <v>11473</v>
      </c>
      <c r="CF82" s="16">
        <v>11491</v>
      </c>
      <c r="CG82" s="16">
        <v>11412</v>
      </c>
      <c r="CH82" s="16">
        <v>11155</v>
      </c>
      <c r="CI82" s="16">
        <v>11949</v>
      </c>
      <c r="CJ82" s="16">
        <v>11724</v>
      </c>
      <c r="CK82" s="16">
        <v>11472</v>
      </c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</row>
    <row r="83" spans="2:115" s="15" customFormat="1" x14ac:dyDescent="0.2">
      <c r="B83" s="23" t="s">
        <v>136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>
        <v>3483</v>
      </c>
      <c r="CB83" s="16">
        <v>3396</v>
      </c>
      <c r="CC83" s="16">
        <v>3172</v>
      </c>
      <c r="CD83" s="16"/>
      <c r="CE83" s="16">
        <v>3833</v>
      </c>
      <c r="CF83" s="16">
        <v>4055</v>
      </c>
      <c r="CG83" s="16">
        <v>3981</v>
      </c>
      <c r="CH83" s="16">
        <v>4099</v>
      </c>
      <c r="CI83" s="16">
        <v>4245</v>
      </c>
      <c r="CJ83" s="16">
        <v>4218</v>
      </c>
      <c r="CK83" s="16">
        <v>4450</v>
      </c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</row>
    <row r="84" spans="2:115" s="15" customFormat="1" x14ac:dyDescent="0.2">
      <c r="B84" s="23" t="s">
        <v>137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>
        <v>4721</v>
      </c>
      <c r="CB84" s="16">
        <v>4506</v>
      </c>
      <c r="CC84" s="16">
        <v>4570</v>
      </c>
      <c r="CD84" s="16"/>
      <c r="CE84" s="16">
        <v>4460</v>
      </c>
      <c r="CF84" s="16">
        <v>4540</v>
      </c>
      <c r="CG84" s="16">
        <v>4541</v>
      </c>
      <c r="CH84" s="16">
        <v>4932</v>
      </c>
      <c r="CI84" s="16">
        <v>4608</v>
      </c>
      <c r="CJ84" s="16">
        <v>4717</v>
      </c>
      <c r="CK84" s="16">
        <v>4578</v>
      </c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</row>
    <row r="85" spans="2:115" s="15" customFormat="1" x14ac:dyDescent="0.2">
      <c r="B85" s="23" t="s">
        <v>138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>
        <v>5075</v>
      </c>
      <c r="CB85" s="16">
        <v>4958</v>
      </c>
      <c r="CC85" s="16">
        <v>4893</v>
      </c>
      <c r="CD85" s="16"/>
      <c r="CE85" s="16">
        <v>4931</v>
      </c>
      <c r="CF85" s="16">
        <v>4943</v>
      </c>
      <c r="CG85" s="16">
        <v>4934</v>
      </c>
      <c r="CH85" s="16">
        <v>4989</v>
      </c>
      <c r="CI85" s="16">
        <v>4980</v>
      </c>
      <c r="CJ85" s="16">
        <v>5023</v>
      </c>
      <c r="CK85" s="16">
        <v>5141</v>
      </c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</row>
    <row r="86" spans="2:115" s="15" customFormat="1" x14ac:dyDescent="0.2">
      <c r="B86" s="23" t="s">
        <v>139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>
        <f>73986+32298</f>
        <v>106284</v>
      </c>
      <c r="CB86" s="16">
        <f>71823+32028</f>
        <v>103851</v>
      </c>
      <c r="CC86" s="16">
        <f>68725+31726</f>
        <v>100451</v>
      </c>
      <c r="CD86" s="16"/>
      <c r="CE86" s="16">
        <f>64848+32220</f>
        <v>97068</v>
      </c>
      <c r="CF86" s="16">
        <f>62862+32224</f>
        <v>95086</v>
      </c>
      <c r="CG86" s="16">
        <f>58603+32091</f>
        <v>90694</v>
      </c>
      <c r="CH86" s="16">
        <f>55610+32293</f>
        <v>87903</v>
      </c>
      <c r="CI86" s="16">
        <f>62225+33426</f>
        <v>95651</v>
      </c>
      <c r="CJ86" s="16">
        <f>60243+33386</f>
        <v>93629</v>
      </c>
      <c r="CK86" s="16">
        <f>66646+35295</f>
        <v>101941</v>
      </c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</row>
    <row r="87" spans="2:115" s="15" customFormat="1" x14ac:dyDescent="0.2">
      <c r="B87" s="23" t="s">
        <v>12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>
        <v>5083</v>
      </c>
      <c r="CB87" s="16">
        <v>5033</v>
      </c>
      <c r="CC87" s="16">
        <v>5382</v>
      </c>
      <c r="CD87" s="16"/>
      <c r="CE87" s="16">
        <v>5800</v>
      </c>
      <c r="CF87" s="16">
        <v>6198</v>
      </c>
      <c r="CG87" s="16">
        <v>7094</v>
      </c>
      <c r="CH87" s="16">
        <v>8513</v>
      </c>
      <c r="CI87" s="16">
        <v>9067</v>
      </c>
      <c r="CJ87" s="16">
        <v>9197</v>
      </c>
      <c r="CK87" s="16">
        <v>8288</v>
      </c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</row>
    <row r="88" spans="2:115" s="15" customFormat="1" x14ac:dyDescent="0.2">
      <c r="B88" s="23" t="s">
        <v>134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>
        <f>SUM(CA81:CA87)</f>
        <v>143211</v>
      </c>
      <c r="CB88" s="16">
        <f>SUM(CB81:CB87)</f>
        <v>143186</v>
      </c>
      <c r="CC88" s="16">
        <f>SUM(CC81:CC87)</f>
        <v>141325</v>
      </c>
      <c r="CD88" s="16"/>
      <c r="CE88" s="16">
        <f t="shared" ref="CE88:CK88" si="242">SUM(CE81:CE87)</f>
        <v>134544</v>
      </c>
      <c r="CF88" s="16">
        <f t="shared" si="242"/>
        <v>135367</v>
      </c>
      <c r="CG88" s="16">
        <f t="shared" si="242"/>
        <v>136221</v>
      </c>
      <c r="CH88" s="16">
        <f t="shared" si="242"/>
        <v>134711</v>
      </c>
      <c r="CI88" s="16">
        <f t="shared" si="242"/>
        <v>148874</v>
      </c>
      <c r="CJ88" s="16">
        <f t="shared" si="242"/>
        <v>141937</v>
      </c>
      <c r="CK88" s="16">
        <f t="shared" si="242"/>
        <v>143422</v>
      </c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</row>
    <row r="90" spans="2:115" s="15" customFormat="1" x14ac:dyDescent="0.2">
      <c r="B90" s="23" t="s">
        <v>51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>
        <f>12+9940+63522</f>
        <v>73474</v>
      </c>
      <c r="CB90" s="16">
        <f>17+61002+11913</f>
        <v>72932</v>
      </c>
      <c r="CC90" s="16">
        <f>10+9197+60399</f>
        <v>69606</v>
      </c>
      <c r="CD90" s="16"/>
      <c r="CE90" s="16">
        <f>1+59292+2800</f>
        <v>62093</v>
      </c>
      <c r="CF90" s="16">
        <f>5203+55812</f>
        <v>61015</v>
      </c>
      <c r="CG90" s="16">
        <f>2+55631+5113</f>
        <v>60746</v>
      </c>
      <c r="CH90" s="16">
        <f>7191+52194</f>
        <v>59385</v>
      </c>
      <c r="CI90" s="16">
        <f>3+63805+10193</f>
        <v>74001</v>
      </c>
      <c r="CJ90" s="16">
        <f>12586+58048</f>
        <v>70634</v>
      </c>
      <c r="CK90" s="16">
        <f>12570+58509</f>
        <v>71079</v>
      </c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</row>
    <row r="91" spans="2:115" s="15" customFormat="1" x14ac:dyDescent="0.2">
      <c r="B91" s="23" t="s">
        <v>140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>
        <v>22569</v>
      </c>
      <c r="CB91" s="16">
        <v>22543</v>
      </c>
      <c r="CC91" s="16">
        <v>23505</v>
      </c>
      <c r="CD91" s="16"/>
      <c r="CE91" s="16">
        <v>24789</v>
      </c>
      <c r="CF91" s="16">
        <v>27036</v>
      </c>
      <c r="CG91" s="16">
        <v>29658</v>
      </c>
      <c r="CH91" s="16">
        <v>30650</v>
      </c>
      <c r="CI91" s="16">
        <v>31326</v>
      </c>
      <c r="CJ91" s="16">
        <v>29329</v>
      </c>
      <c r="CK91" s="16">
        <v>30492</v>
      </c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</row>
    <row r="92" spans="2:115" s="15" customFormat="1" x14ac:dyDescent="0.2">
      <c r="B92" s="23" t="s">
        <v>141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>
        <v>2831</v>
      </c>
      <c r="CB92" s="16">
        <v>2255</v>
      </c>
      <c r="CC92" s="16">
        <v>1972</v>
      </c>
      <c r="CD92" s="16"/>
      <c r="CE92" s="16">
        <v>2110</v>
      </c>
      <c r="CF92" s="16">
        <v>2124</v>
      </c>
      <c r="CG92" s="16">
        <v>2044</v>
      </c>
      <c r="CH92" s="16">
        <v>1952</v>
      </c>
      <c r="CI92" s="16">
        <v>2722</v>
      </c>
      <c r="CJ92" s="16">
        <v>2726</v>
      </c>
      <c r="CK92" s="16">
        <v>2749</v>
      </c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</row>
    <row r="93" spans="2:115" s="15" customFormat="1" x14ac:dyDescent="0.2">
      <c r="B93" s="23" t="s">
        <v>142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>
        <v>28023</v>
      </c>
      <c r="CB93" s="16">
        <v>30768</v>
      </c>
      <c r="CC93" s="16">
        <v>30215</v>
      </c>
      <c r="CD93" s="16"/>
      <c r="CE93" s="16">
        <v>32249</v>
      </c>
      <c r="CF93" s="16">
        <v>32294</v>
      </c>
      <c r="CG93" s="16">
        <v>31644</v>
      </c>
      <c r="CH93" s="16">
        <v>32327</v>
      </c>
      <c r="CI93" s="16">
        <v>32778</v>
      </c>
      <c r="CJ93" s="16">
        <v>32427</v>
      </c>
      <c r="CK93" s="16">
        <v>33031</v>
      </c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</row>
    <row r="94" spans="2:115" s="15" customFormat="1" x14ac:dyDescent="0.2">
      <c r="B94" s="23" t="s">
        <v>143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>
        <v>16314</v>
      </c>
      <c r="CB94" s="16">
        <v>14688</v>
      </c>
      <c r="CC94" s="16">
        <v>16027</v>
      </c>
      <c r="CD94" s="16"/>
      <c r="CE94" s="16">
        <v>13303</v>
      </c>
      <c r="CF94" s="16">
        <v>12898</v>
      </c>
      <c r="CG94" s="16">
        <v>12129</v>
      </c>
      <c r="CH94" s="16">
        <v>10397</v>
      </c>
      <c r="CI94" s="16">
        <v>8047</v>
      </c>
      <c r="CJ94" s="16">
        <v>6821</v>
      </c>
      <c r="CK94" s="16">
        <v>6071</v>
      </c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</row>
    <row r="95" spans="2:115" s="15" customFormat="1" x14ac:dyDescent="0.2">
      <c r="B95" s="23" t="s">
        <v>144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>
        <f>SUM(CA90:CA94)</f>
        <v>143211</v>
      </c>
      <c r="CB95" s="16">
        <f>SUM(CB90:CB94)</f>
        <v>143186</v>
      </c>
      <c r="CC95" s="16">
        <f>SUM(CC90:CC94)</f>
        <v>141325</v>
      </c>
      <c r="CD95" s="16"/>
      <c r="CE95" s="16">
        <f t="shared" ref="CE95:CK95" si="243">SUM(CE90:CE94)</f>
        <v>134544</v>
      </c>
      <c r="CF95" s="16">
        <f t="shared" si="243"/>
        <v>135367</v>
      </c>
      <c r="CG95" s="16">
        <f t="shared" si="243"/>
        <v>136221</v>
      </c>
      <c r="CH95" s="16">
        <f t="shared" si="243"/>
        <v>134711</v>
      </c>
      <c r="CI95" s="16">
        <f t="shared" si="243"/>
        <v>148874</v>
      </c>
      <c r="CJ95" s="16">
        <f t="shared" si="243"/>
        <v>141937</v>
      </c>
      <c r="CK95" s="16">
        <f t="shared" si="243"/>
        <v>143422</v>
      </c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</row>
    <row r="97" spans="2:115" s="15" customFormat="1" x14ac:dyDescent="0.2">
      <c r="B97" s="65" t="s">
        <v>297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>
        <f>+CA63</f>
        <v>5814</v>
      </c>
      <c r="CB97" s="16"/>
      <c r="CC97" s="16"/>
      <c r="CD97" s="16"/>
      <c r="CE97" s="16">
        <f>+CE63</f>
        <v>4941</v>
      </c>
      <c r="CF97" s="16">
        <f>+CF63</f>
        <v>5641</v>
      </c>
      <c r="CG97" s="16">
        <f>+CG63</f>
        <v>5344</v>
      </c>
      <c r="CH97" s="16">
        <f>+CH63</f>
        <v>5861</v>
      </c>
      <c r="CI97" s="16">
        <f>+CI63</f>
        <v>4291</v>
      </c>
      <c r="CJ97" s="16">
        <f>+CJ63</f>
        <v>5650</v>
      </c>
      <c r="CK97" s="16">
        <f>+CK63</f>
        <v>5409</v>
      </c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</row>
    <row r="98" spans="2:115" s="15" customFormat="1" x14ac:dyDescent="0.2">
      <c r="B98" s="65" t="s">
        <v>298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>
        <v>4493</v>
      </c>
      <c r="CB98" s="16"/>
      <c r="CC98" s="16"/>
      <c r="CD98" s="16"/>
      <c r="CE98" s="16">
        <v>241</v>
      </c>
      <c r="CF98" s="16">
        <f>2268-CE98</f>
        <v>2027</v>
      </c>
      <c r="CG98" s="16">
        <f>4049-CF98-CE98</f>
        <v>1781</v>
      </c>
      <c r="CH98" s="16">
        <f>4873-CG98-CF98-CE98</f>
        <v>824</v>
      </c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</row>
    <row r="99" spans="2:115" s="15" customFormat="1" x14ac:dyDescent="0.2">
      <c r="B99" s="65" t="s">
        <v>299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>
        <v>198</v>
      </c>
      <c r="CB99" s="16"/>
      <c r="CC99" s="16"/>
      <c r="CD99" s="16"/>
      <c r="CE99" s="16">
        <v>179</v>
      </c>
      <c r="CF99" s="16">
        <f>369-CE99</f>
        <v>190</v>
      </c>
      <c r="CG99" s="16">
        <f>565-CF99-CE99</f>
        <v>196</v>
      </c>
      <c r="CH99" s="16">
        <f>752-CG99-CF99-CE99</f>
        <v>187</v>
      </c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</row>
    <row r="100" spans="2:115" s="15" customFormat="1" x14ac:dyDescent="0.2">
      <c r="B100" s="65" t="s">
        <v>300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>
        <v>1855</v>
      </c>
      <c r="CB100" s="16"/>
      <c r="CC100" s="16"/>
      <c r="CD100" s="16"/>
      <c r="CE100" s="16">
        <v>1948</v>
      </c>
      <c r="CF100" s="16">
        <f>4018-CE100</f>
        <v>2070</v>
      </c>
      <c r="CG100" s="16">
        <f>6057-CF100-CE100</f>
        <v>2039</v>
      </c>
      <c r="CH100" s="16">
        <f>7946-CG100-CF100-CE100</f>
        <v>1889</v>
      </c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</row>
    <row r="101" spans="2:115" s="15" customFormat="1" x14ac:dyDescent="0.2">
      <c r="B101" s="65" t="s">
        <v>141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>
        <v>-194</v>
      </c>
      <c r="CB101" s="16"/>
      <c r="CC101" s="16"/>
      <c r="CD101" s="16"/>
      <c r="CE101" s="16">
        <v>-267</v>
      </c>
      <c r="CF101" s="16">
        <f>-635-CE101</f>
        <v>-368</v>
      </c>
      <c r="CG101" s="16">
        <f>-1498-CF101-CE101</f>
        <v>-863</v>
      </c>
      <c r="CH101" s="16">
        <f>-2889-CG101-CF101-CE101</f>
        <v>-1391</v>
      </c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</row>
    <row r="102" spans="2:115" s="15" customFormat="1" x14ac:dyDescent="0.2">
      <c r="B102" s="65" t="s">
        <v>301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>
        <v>-748</v>
      </c>
      <c r="CB102" s="16"/>
      <c r="CC102" s="16"/>
      <c r="CD102" s="16"/>
      <c r="CE102" s="16">
        <v>1872</v>
      </c>
      <c r="CF102" s="16">
        <f>3424-CE102</f>
        <v>1552</v>
      </c>
      <c r="CG102" s="16">
        <f>3432-CF102-CE102-407</f>
        <v>-399</v>
      </c>
      <c r="CH102" s="16">
        <f>5128-870-CG102-CF102-CE102</f>
        <v>1233</v>
      </c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</row>
    <row r="103" spans="2:115" s="15" customFormat="1" x14ac:dyDescent="0.2">
      <c r="B103" s="65" t="s">
        <v>302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>
        <v>306</v>
      </c>
      <c r="CB103" s="16"/>
      <c r="CC103" s="16"/>
      <c r="CD103" s="16"/>
      <c r="CE103" s="16">
        <v>313</v>
      </c>
      <c r="CF103" s="16">
        <f>492-CE103</f>
        <v>179</v>
      </c>
      <c r="CG103" s="16">
        <f>622-CF103-CE103</f>
        <v>130</v>
      </c>
      <c r="CH103" s="16">
        <f>747-CG103-CF103-CE103</f>
        <v>125</v>
      </c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</row>
    <row r="104" spans="2:115" x14ac:dyDescent="0.2">
      <c r="B104" s="62" t="s">
        <v>305</v>
      </c>
      <c r="CA104" s="16">
        <v>145</v>
      </c>
      <c r="CE104" s="2">
        <f>150+710</f>
        <v>860</v>
      </c>
      <c r="CF104" s="2">
        <f>430-CE104</f>
        <v>-430</v>
      </c>
      <c r="CG104" s="16">
        <f>496-CF104-CE104</f>
        <v>66</v>
      </c>
      <c r="CH104" s="16">
        <f>778-CG104-CF104-CE104</f>
        <v>282</v>
      </c>
    </row>
    <row r="105" spans="2:115" x14ac:dyDescent="0.2">
      <c r="B105" s="62" t="s">
        <v>12</v>
      </c>
      <c r="CA105" s="16">
        <v>128</v>
      </c>
      <c r="CE105" s="2">
        <v>-128</v>
      </c>
      <c r="CF105" s="2">
        <f>-118+710-173-CE105</f>
        <v>547</v>
      </c>
      <c r="CG105" s="16">
        <f>-205-CF105-CE105</f>
        <v>-624</v>
      </c>
      <c r="CH105" s="16">
        <f>-443+4229-225-CG105-CF105-CE105</f>
        <v>3766</v>
      </c>
    </row>
    <row r="106" spans="2:115" x14ac:dyDescent="0.2">
      <c r="B106" s="62" t="s">
        <v>304</v>
      </c>
      <c r="CA106" s="16">
        <f>-785-385-285-258+438</f>
        <v>-1275</v>
      </c>
      <c r="CE106" s="2">
        <f>-195-185-167-465+187</f>
        <v>-825</v>
      </c>
      <c r="CF106" s="2">
        <f>-275-458+285+1107-932-CE106</f>
        <v>552</v>
      </c>
      <c r="CG106" s="16">
        <f>2824-219-273-513+394+3661-899-CF106-CE106</f>
        <v>5248</v>
      </c>
      <c r="CH106" s="16">
        <f>66-417-188+3840-488-CG106-CF106-CE106</f>
        <v>-2162</v>
      </c>
    </row>
    <row r="107" spans="2:115" x14ac:dyDescent="0.2">
      <c r="B107" s="62" t="s">
        <v>303</v>
      </c>
      <c r="CA107" s="16">
        <f>SUM(CA98:CA106)</f>
        <v>4908</v>
      </c>
      <c r="CE107" s="16">
        <f>SUM(CE98:CE106)</f>
        <v>4193</v>
      </c>
      <c r="CF107" s="16">
        <f>SUM(CF98:CF106)</f>
        <v>6319</v>
      </c>
      <c r="CG107" s="16">
        <f>SUM(CG98:CG106)</f>
        <v>7574</v>
      </c>
      <c r="CH107" s="16">
        <f>SUM(CH98:CH106)</f>
        <v>4753</v>
      </c>
    </row>
    <row r="109" spans="2:115" s="15" customFormat="1" x14ac:dyDescent="0.2">
      <c r="B109" s="65" t="s">
        <v>307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>
        <f>-185-1406+8+154</f>
        <v>-1429</v>
      </c>
      <c r="CB109" s="16"/>
      <c r="CC109" s="16"/>
      <c r="CD109" s="16"/>
      <c r="CE109" s="16">
        <f>-353-19+22+26</f>
        <v>-324</v>
      </c>
      <c r="CF109" s="16">
        <f>-513-35+36-CE109+25</f>
        <v>-163</v>
      </c>
      <c r="CG109" s="16">
        <f>-670-43+41-CF109-CE109+35</f>
        <v>-150</v>
      </c>
      <c r="CH109" s="16">
        <f>-1223-77+55+13-CG109-CF109-CE109</f>
        <v>-595</v>
      </c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</row>
    <row r="110" spans="2:115" s="15" customFormat="1" x14ac:dyDescent="0.2">
      <c r="B110" s="65" t="s">
        <v>308</v>
      </c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>
        <v>-162</v>
      </c>
      <c r="CB110" s="16"/>
      <c r="CC110" s="16"/>
      <c r="CD110" s="16"/>
      <c r="CE110" s="16">
        <v>-175</v>
      </c>
      <c r="CF110" s="16">
        <f>-353-CE110</f>
        <v>-178</v>
      </c>
      <c r="CG110" s="16">
        <f>-572-CF110-CE110</f>
        <v>-219</v>
      </c>
      <c r="CH110" s="16">
        <f>-777-CG110-CF110-CE110</f>
        <v>-205</v>
      </c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</row>
    <row r="111" spans="2:115" s="15" customFormat="1" x14ac:dyDescent="0.2">
      <c r="B111" s="65" t="s">
        <v>306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>
        <f>CA109+CA110</f>
        <v>-1591</v>
      </c>
      <c r="CB111" s="16"/>
      <c r="CC111" s="16"/>
      <c r="CD111" s="16"/>
      <c r="CE111" s="16">
        <f>SUM(CE109:CE110)</f>
        <v>-499</v>
      </c>
      <c r="CF111" s="16">
        <f>SUM(CF109:CF110)</f>
        <v>-341</v>
      </c>
      <c r="CG111" s="16">
        <f>SUM(CG109:CG110)</f>
        <v>-369</v>
      </c>
      <c r="CH111" s="16">
        <f>SUM(CH109:CH110)</f>
        <v>-800</v>
      </c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</row>
    <row r="113" spans="2:86" x14ac:dyDescent="0.2">
      <c r="B113" s="62" t="s">
        <v>51</v>
      </c>
      <c r="CA113" s="16">
        <f>2000-4879</f>
        <v>-2879</v>
      </c>
      <c r="CE113" s="16">
        <v>-1351</v>
      </c>
      <c r="CF113" s="16">
        <f>-2353-CE113</f>
        <v>-1002</v>
      </c>
      <c r="CG113" s="16">
        <f>-2355-CF113-CE113</f>
        <v>-2</v>
      </c>
      <c r="CH113" s="16">
        <f>-4149-38-CG113-CF113-CE113</f>
        <v>-1832</v>
      </c>
    </row>
    <row r="114" spans="2:86" x14ac:dyDescent="0.2">
      <c r="B114" s="62" t="s">
        <v>309</v>
      </c>
      <c r="CA114" s="16">
        <v>-2526</v>
      </c>
      <c r="CE114" s="16">
        <v>-2661</v>
      </c>
      <c r="CF114" s="16">
        <f>-5286-CE114</f>
        <v>-2625</v>
      </c>
      <c r="CG114" s="16">
        <f>-7913-CF114-CE114</f>
        <v>-2627</v>
      </c>
      <c r="CH114" s="16">
        <f>-10539-CG114-CF114-CE114</f>
        <v>-2626</v>
      </c>
    </row>
    <row r="115" spans="2:86" x14ac:dyDescent="0.2">
      <c r="B115" s="62" t="s">
        <v>313</v>
      </c>
      <c r="CA115" s="16">
        <v>-1470</v>
      </c>
      <c r="CE115" s="16">
        <v>-1955</v>
      </c>
      <c r="CF115" s="16">
        <f>-1965-CE115</f>
        <v>-10</v>
      </c>
      <c r="CG115" s="16">
        <f>-1969-CF115-CE115</f>
        <v>-4</v>
      </c>
      <c r="CH115" s="16">
        <f>-1972-CG115-CF115-CE115</f>
        <v>-3</v>
      </c>
    </row>
    <row r="116" spans="2:86" x14ac:dyDescent="0.2">
      <c r="B116" s="62" t="s">
        <v>314</v>
      </c>
      <c r="CA116" s="16">
        <v>128</v>
      </c>
      <c r="CE116" s="16">
        <v>65</v>
      </c>
      <c r="CF116" s="16">
        <f>113-CE116</f>
        <v>48</v>
      </c>
      <c r="CG116" s="16">
        <f>149-CF116-CE116</f>
        <v>36</v>
      </c>
      <c r="CH116" s="16">
        <f>180-CG116-CF116-CE116</f>
        <v>31</v>
      </c>
    </row>
    <row r="117" spans="2:86" x14ac:dyDescent="0.2">
      <c r="B117" s="62" t="s">
        <v>301</v>
      </c>
      <c r="CA117" s="16">
        <v>-246</v>
      </c>
      <c r="CE117" s="16">
        <v>-311</v>
      </c>
      <c r="CF117" s="16">
        <f>-641-CE117</f>
        <v>-330</v>
      </c>
      <c r="CG117" s="16">
        <f>-735-CF117-CE117</f>
        <v>-94</v>
      </c>
      <c r="CH117" s="16">
        <f>-752-CG117-CF117-CE117</f>
        <v>-17</v>
      </c>
    </row>
    <row r="118" spans="2:86" x14ac:dyDescent="0.2">
      <c r="B118" s="62" t="s">
        <v>12</v>
      </c>
      <c r="CA118" s="16">
        <v>21</v>
      </c>
      <c r="CE118" s="16">
        <v>21</v>
      </c>
      <c r="CF118" s="16">
        <f>20-CE118</f>
        <v>-1</v>
      </c>
      <c r="CG118" s="16">
        <f>50-CF118-CE118</f>
        <v>30</v>
      </c>
      <c r="CH118" s="16">
        <f>48-CG118-CF118-CE118</f>
        <v>-2</v>
      </c>
    </row>
    <row r="119" spans="2:86" x14ac:dyDescent="0.2">
      <c r="B119" s="62" t="s">
        <v>312</v>
      </c>
      <c r="CA119" s="16">
        <f>SUM(CA113:CA118)</f>
        <v>-6972</v>
      </c>
      <c r="CE119" s="16">
        <f>SUM(CE113:CE118)</f>
        <v>-6192</v>
      </c>
      <c r="CF119" s="16">
        <f>SUM(CF113:CF118)</f>
        <v>-3920</v>
      </c>
      <c r="CG119" s="16">
        <f>SUM(CG113:CG118)</f>
        <v>-2661</v>
      </c>
      <c r="CH119" s="16">
        <f>SUM(CH113:CH118)</f>
        <v>-4449</v>
      </c>
    </row>
    <row r="120" spans="2:86" x14ac:dyDescent="0.2">
      <c r="B120" s="62" t="s">
        <v>311</v>
      </c>
      <c r="CA120" s="16">
        <v>7</v>
      </c>
      <c r="CE120" s="16">
        <v>8</v>
      </c>
      <c r="CF120" s="16">
        <f>-2-CE120</f>
        <v>-10</v>
      </c>
      <c r="CG120" s="16">
        <f>-18-CF120-CE120</f>
        <v>-16</v>
      </c>
      <c r="CH120" s="16">
        <f>5-CG120-CF120-CE120</f>
        <v>23</v>
      </c>
    </row>
    <row r="121" spans="2:86" x14ac:dyDescent="0.2">
      <c r="B121" s="62" t="s">
        <v>310</v>
      </c>
      <c r="CA121" s="16">
        <f>+CA120+CA119+CA111+CA107</f>
        <v>-3648</v>
      </c>
      <c r="CE121" s="16">
        <f>+CE120+CE119+CE111+CE107</f>
        <v>-2490</v>
      </c>
      <c r="CF121" s="16">
        <f>+CF120+CF119+CF111+CF107</f>
        <v>2048</v>
      </c>
      <c r="CG121" s="16">
        <f>+CG120+CG119+CG111+CG107</f>
        <v>4528</v>
      </c>
      <c r="CH121" s="16">
        <f>+CH120+CH119+CH111+CH107</f>
        <v>-473</v>
      </c>
    </row>
  </sheetData>
  <hyperlinks>
    <hyperlink ref="A1" location="Main!A1" display="Main" xr:uid="{303CDBE3-0741-4F5A-8365-448AB8249E43}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74CD-2923-4BC6-8F15-666A644AB7A4}">
  <dimension ref="A1:C7"/>
  <sheetViews>
    <sheetView zoomScale="160" zoomScaleNormal="160" workbookViewId="0"/>
  </sheetViews>
  <sheetFormatPr defaultColWidth="9.140625" defaultRowHeight="12.75" x14ac:dyDescent="0.2"/>
  <cols>
    <col min="1" max="1" width="5" style="102" bestFit="1" customWidth="1"/>
    <col min="2" max="2" width="10.28515625" style="102" bestFit="1" customWidth="1"/>
    <col min="3" max="16384" width="9.140625" style="102"/>
  </cols>
  <sheetData>
    <row r="1" spans="1:3" x14ac:dyDescent="0.2">
      <c r="A1" s="20" t="s">
        <v>74</v>
      </c>
    </row>
    <row r="2" spans="1:3" x14ac:dyDescent="0.2">
      <c r="B2" s="102" t="s">
        <v>147</v>
      </c>
      <c r="C2" s="102" t="s">
        <v>116</v>
      </c>
    </row>
    <row r="3" spans="1:3" x14ac:dyDescent="0.2">
      <c r="B3" s="102" t="s">
        <v>190</v>
      </c>
      <c r="C3" s="102" t="s">
        <v>263</v>
      </c>
    </row>
    <row r="4" spans="1:3" x14ac:dyDescent="0.2">
      <c r="B4" s="102" t="s">
        <v>27</v>
      </c>
      <c r="C4" s="102" t="s">
        <v>264</v>
      </c>
    </row>
    <row r="5" spans="1:3" x14ac:dyDescent="0.2">
      <c r="B5" s="102" t="s">
        <v>33</v>
      </c>
      <c r="C5" s="102" t="s">
        <v>161</v>
      </c>
    </row>
    <row r="6" spans="1:3" x14ac:dyDescent="0.2">
      <c r="B6" s="102" t="s">
        <v>53</v>
      </c>
      <c r="C6" s="102" t="s">
        <v>265</v>
      </c>
    </row>
    <row r="7" spans="1:3" x14ac:dyDescent="0.2">
      <c r="B7" s="102" t="s">
        <v>36</v>
      </c>
      <c r="C7" s="102" t="s">
        <v>478</v>
      </c>
    </row>
  </sheetData>
  <hyperlinks>
    <hyperlink ref="A1" location="Main!A1" display="Main" xr:uid="{49B6EFCD-6DF2-40B1-987A-47F3EB5C6FD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zoomScale="160" zoomScaleNormal="16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1" style="1" bestFit="1" customWidth="1"/>
    <col min="4" max="16384" width="9.140625" style="1"/>
  </cols>
  <sheetData>
    <row r="1" spans="1:3" x14ac:dyDescent="0.2">
      <c r="A1" s="20" t="s">
        <v>74</v>
      </c>
    </row>
    <row r="2" spans="1:3" x14ac:dyDescent="0.2">
      <c r="B2" s="1" t="s">
        <v>75</v>
      </c>
      <c r="C2" s="1" t="s">
        <v>0</v>
      </c>
    </row>
    <row r="3" spans="1:3" x14ac:dyDescent="0.2">
      <c r="B3" s="1" t="s">
        <v>76</v>
      </c>
      <c r="C3" s="1" t="s">
        <v>77</v>
      </c>
    </row>
    <row r="4" spans="1:3" x14ac:dyDescent="0.2">
      <c r="B4" s="45" t="s">
        <v>226</v>
      </c>
      <c r="C4" s="45" t="s">
        <v>227</v>
      </c>
    </row>
    <row r="5" spans="1:3" x14ac:dyDescent="0.2">
      <c r="B5" s="26" t="s">
        <v>33</v>
      </c>
      <c r="C5" s="26" t="s">
        <v>146</v>
      </c>
    </row>
    <row r="6" spans="1:3" x14ac:dyDescent="0.2">
      <c r="B6" s="45" t="s">
        <v>53</v>
      </c>
      <c r="C6" s="26"/>
    </row>
    <row r="7" spans="1:3" x14ac:dyDescent="0.2">
      <c r="B7" s="45" t="s">
        <v>36</v>
      </c>
      <c r="C7" s="26"/>
    </row>
    <row r="8" spans="1:3" x14ac:dyDescent="0.2">
      <c r="B8" s="45" t="s">
        <v>228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16"/>
  <sheetViews>
    <sheetView zoomScale="190" zoomScaleNormal="190" workbookViewId="0"/>
  </sheetViews>
  <sheetFormatPr defaultColWidth="9.140625" defaultRowHeight="12.75" x14ac:dyDescent="0.2"/>
  <cols>
    <col min="1" max="1" width="5.42578125" style="41" bestFit="1" customWidth="1"/>
    <col min="2" max="2" width="9.42578125" style="41" customWidth="1"/>
    <col min="3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147</v>
      </c>
      <c r="C2" s="41" t="s">
        <v>199</v>
      </c>
    </row>
    <row r="3" spans="1:3" x14ac:dyDescent="0.2">
      <c r="B3" s="41" t="s">
        <v>190</v>
      </c>
      <c r="C3" s="41" t="s">
        <v>200</v>
      </c>
    </row>
    <row r="4" spans="1:3" x14ac:dyDescent="0.2">
      <c r="B4" s="41" t="s">
        <v>33</v>
      </c>
      <c r="C4" s="56" t="s">
        <v>255</v>
      </c>
    </row>
    <row r="5" spans="1:3" ht="15" x14ac:dyDescent="0.25">
      <c r="B5" s="41" t="s">
        <v>27</v>
      </c>
      <c r="C5"/>
    </row>
    <row r="6" spans="1:3" x14ac:dyDescent="0.2">
      <c r="C6" s="41" t="s">
        <v>215</v>
      </c>
    </row>
    <row r="7" spans="1:3" x14ac:dyDescent="0.2">
      <c r="C7" s="89" t="s">
        <v>401</v>
      </c>
    </row>
    <row r="8" spans="1:3" x14ac:dyDescent="0.2">
      <c r="C8" s="41" t="s">
        <v>216</v>
      </c>
    </row>
    <row r="9" spans="1:3" x14ac:dyDescent="0.2">
      <c r="C9" s="41" t="s">
        <v>217</v>
      </c>
    </row>
    <row r="10" spans="1:3" x14ac:dyDescent="0.2">
      <c r="C10" s="41" t="s">
        <v>218</v>
      </c>
    </row>
    <row r="12" spans="1:3" x14ac:dyDescent="0.2">
      <c r="C12" s="56" t="s">
        <v>256</v>
      </c>
    </row>
    <row r="13" spans="1:3" x14ac:dyDescent="0.2">
      <c r="C13" s="56" t="s">
        <v>257</v>
      </c>
    </row>
    <row r="14" spans="1:3" x14ac:dyDescent="0.2">
      <c r="C14" s="56" t="s">
        <v>258</v>
      </c>
    </row>
    <row r="15" spans="1:3" x14ac:dyDescent="0.2">
      <c r="C15" s="56" t="s">
        <v>262</v>
      </c>
    </row>
    <row r="16" spans="1:3" x14ac:dyDescent="0.2">
      <c r="C16" s="56" t="s">
        <v>261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33F1-59BF-4AC4-9F99-C4F790327B61}">
  <dimension ref="A1:C7"/>
  <sheetViews>
    <sheetView zoomScale="205" zoomScaleNormal="205" workbookViewId="0"/>
  </sheetViews>
  <sheetFormatPr defaultColWidth="9.140625" defaultRowHeight="12.75" x14ac:dyDescent="0.2"/>
  <cols>
    <col min="1" max="1" width="5" style="62" bestFit="1" customWidth="1"/>
    <col min="2" max="2" width="11" style="62" bestFit="1" customWidth="1"/>
    <col min="3" max="16384" width="9.140625" style="62"/>
  </cols>
  <sheetData>
    <row r="1" spans="1:3" x14ac:dyDescent="0.2">
      <c r="A1" s="20" t="s">
        <v>74</v>
      </c>
    </row>
    <row r="2" spans="1:3" x14ac:dyDescent="0.2">
      <c r="B2" s="62" t="s">
        <v>147</v>
      </c>
      <c r="C2" s="62" t="s">
        <v>291</v>
      </c>
    </row>
    <row r="3" spans="1:3" x14ac:dyDescent="0.2">
      <c r="B3" s="62" t="s">
        <v>190</v>
      </c>
      <c r="C3" s="62" t="s">
        <v>292</v>
      </c>
    </row>
    <row r="4" spans="1:3" x14ac:dyDescent="0.2">
      <c r="B4" s="62" t="s">
        <v>27</v>
      </c>
    </row>
    <row r="5" spans="1:3" x14ac:dyDescent="0.2">
      <c r="B5" s="62" t="s">
        <v>293</v>
      </c>
      <c r="C5" s="63">
        <v>33581</v>
      </c>
    </row>
    <row r="6" spans="1:3" x14ac:dyDescent="0.2">
      <c r="B6" s="62" t="s">
        <v>33</v>
      </c>
      <c r="C6" s="62" t="s">
        <v>294</v>
      </c>
    </row>
    <row r="7" spans="1:3" x14ac:dyDescent="0.2">
      <c r="B7" s="62" t="s">
        <v>295</v>
      </c>
      <c r="C7" s="62" t="s">
        <v>296</v>
      </c>
    </row>
  </sheetData>
  <hyperlinks>
    <hyperlink ref="A1" location="Main!A1" display="Main" xr:uid="{BF170476-D8F7-4A0A-AEBC-74460021444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14"/>
  <sheetViews>
    <sheetView zoomScale="205" zoomScaleNormal="205" workbookViewId="0"/>
  </sheetViews>
  <sheetFormatPr defaultColWidth="9.140625" defaultRowHeight="12.75" x14ac:dyDescent="0.2"/>
  <cols>
    <col min="1" max="1" width="5" style="41" bestFit="1" customWidth="1"/>
    <col min="2" max="2" width="12.140625" style="41" bestFit="1" customWidth="1"/>
    <col min="3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147</v>
      </c>
      <c r="C2" s="41" t="s">
        <v>222</v>
      </c>
    </row>
    <row r="3" spans="1:3" x14ac:dyDescent="0.2">
      <c r="B3" s="41" t="s">
        <v>190</v>
      </c>
      <c r="C3" s="41" t="s">
        <v>219</v>
      </c>
    </row>
    <row r="4" spans="1:3" x14ac:dyDescent="0.2">
      <c r="B4" s="41" t="s">
        <v>33</v>
      </c>
      <c r="C4" s="41" t="s">
        <v>223</v>
      </c>
    </row>
    <row r="5" spans="1:3" x14ac:dyDescent="0.2">
      <c r="B5" s="41" t="s">
        <v>27</v>
      </c>
      <c r="C5" s="89" t="s">
        <v>399</v>
      </c>
    </row>
    <row r="6" spans="1:3" x14ac:dyDescent="0.2">
      <c r="B6" s="89" t="s">
        <v>36</v>
      </c>
      <c r="C6" s="89" t="s">
        <v>400</v>
      </c>
    </row>
    <row r="7" spans="1:3" x14ac:dyDescent="0.2">
      <c r="B7" s="89" t="s">
        <v>228</v>
      </c>
    </row>
    <row r="8" spans="1:3" x14ac:dyDescent="0.2">
      <c r="C8" s="86" t="s">
        <v>403</v>
      </c>
    </row>
    <row r="11" spans="1:3" x14ac:dyDescent="0.2">
      <c r="C11" s="86" t="s">
        <v>404</v>
      </c>
    </row>
    <row r="14" spans="1:3" x14ac:dyDescent="0.2">
      <c r="C14" s="86" t="s">
        <v>402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B5-3D39-447E-8536-C3957701F927}">
  <dimension ref="A1:C13"/>
  <sheetViews>
    <sheetView zoomScale="190" zoomScaleNormal="190" workbookViewId="0"/>
  </sheetViews>
  <sheetFormatPr defaultColWidth="9.140625" defaultRowHeight="12.75" x14ac:dyDescent="0.2"/>
  <cols>
    <col min="1" max="1" width="5" style="85" bestFit="1" customWidth="1"/>
    <col min="2" max="2" width="13.140625" style="85" bestFit="1" customWidth="1"/>
    <col min="3" max="16384" width="9.140625" style="85"/>
  </cols>
  <sheetData>
    <row r="1" spans="1:3" x14ac:dyDescent="0.2">
      <c r="A1" s="20" t="s">
        <v>74</v>
      </c>
    </row>
    <row r="2" spans="1:3" x14ac:dyDescent="0.2">
      <c r="B2" s="85" t="s">
        <v>75</v>
      </c>
      <c r="C2" s="85" t="s">
        <v>331</v>
      </c>
    </row>
    <row r="3" spans="1:3" x14ac:dyDescent="0.2">
      <c r="B3" s="85" t="s">
        <v>76</v>
      </c>
      <c r="C3" s="85" t="s">
        <v>344</v>
      </c>
    </row>
    <row r="4" spans="1:3" x14ac:dyDescent="0.2">
      <c r="B4" s="89" t="s">
        <v>27</v>
      </c>
      <c r="C4" s="102" t="s">
        <v>489</v>
      </c>
    </row>
    <row r="5" spans="1:3" x14ac:dyDescent="0.2">
      <c r="B5" s="102" t="s">
        <v>487</v>
      </c>
      <c r="C5" s="102" t="s">
        <v>488</v>
      </c>
    </row>
    <row r="6" spans="1:3" x14ac:dyDescent="0.2">
      <c r="B6" s="85" t="s">
        <v>228</v>
      </c>
    </row>
    <row r="7" spans="1:3" x14ac:dyDescent="0.2">
      <c r="C7" s="86" t="s">
        <v>345</v>
      </c>
    </row>
    <row r="12" spans="1:3" x14ac:dyDescent="0.2">
      <c r="C12" s="86" t="s">
        <v>420</v>
      </c>
    </row>
    <row r="13" spans="1:3" x14ac:dyDescent="0.2">
      <c r="C13" s="89" t="s">
        <v>421</v>
      </c>
    </row>
  </sheetData>
  <hyperlinks>
    <hyperlink ref="A1" location="Main!A1" display="Main" xr:uid="{49489035-8860-4805-A8B0-6EEF6CCDBC8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e b 6 M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5 v o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b 6 M W R Y z 1 F 4 I A Q A A x Q I A A B M A H A B G b 3 J t d W x h c y 9 T Z W N 0 a W 9 u M S 5 t I K I Y A C i g F A A A A A A A A A A A A A A A A A A A A A A A A A A A A M 1 Q T 0 v D M B S / F / o d Q n Z J o Q Q 6 x I P D g 5 3 b Q c S D m 7 t Y D 7 V 9 2 G i a J y + p K G P f 3 S x x b I L u J p j D y 8 v j 9 y / P Q u M U G r a I d z F J k z S x X U 3 Q s o u y X L F z p s G l C f N n g Q M 1 4 C d X F o 2 8 x G b o w T g x V x r k F I 3 z D y v 4 9 K y 6 s 0 C 2 s t 0 L Q d V g C 1 X v i 7 b V V l A + e z L P s j x q j r h n v g E 5 7 + e Q L e t H D d x b 3 E K D 1 M o l h o m I 1 l m a K H O E d x h + x E N 8 M c 7 4 n / 1 h H y f K H v q v a j 3 A / 9 r e F y k k K z z q R / b 6 Z H M f E A 9 H P I q t S e j k n L C / V t a J K J u z x a t W z g H J 0 J Q f N + g 6 Z Z 5 E l j M z a L 2 r s 3 d H d e B Y O S N C + h Z v / E u 8 g q 9 P N / u 1 R + z k E 1 B L A Q I t A B Q A A g A I A H m + j F n / 3 J q C o w A A A P Y A A A A S A A A A A A A A A A A A A A A A A A A A A A B D b 2 5 m a W c v U G F j a 2 F n Z S 5 4 b W x Q S w E C L Q A U A A I A C A B 5 v o x Z D 8 r p q 6 Q A A A D p A A A A E w A A A A A A A A A A A A A A A A D v A A A A W 0 N v b n R l b n R f V H l w Z X N d L n h t b F B L A Q I t A B Q A A g A I A H m + j F k W M 9 R e C A E A A M U C A A A T A A A A A A A A A A A A A A A A A O A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k J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U 0 Z j E y Y W E t N G Y 2 Z C 0 0 M T d l L T g x N j g t Z W I 0 M D U 4 Y z c x M G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A 0 O j Q 5 O j M 5 L j Y 5 N D Y z M z R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J C V i 9 B d X R v U m V t b 3 Z l Z E N v b H V t b n M x L n t O Y W 1 l L D B 9 J n F 1 b 3 Q 7 L C Z x d W 9 0 O 1 N l Y 3 R p b 2 4 x L 0 F C Q l Y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U J C V i 9 B d X R v U m V t b 3 Z l Z E N v b H V t b n M x L n t O Y W 1 l L D B 9 J n F 1 b 3 Q 7 L C Z x d W 9 0 O 1 N l Y 3 R p b 2 4 x L 0 F C Q l Y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C Q l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C V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C V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y M z N l Z G Q 2 L W Y 1 M G M t N G U 1 M S 0 4 Z j I 1 L T g 1 O D E 2 O D I 3 Y j I z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D Q 6 N T E 6 N D Q u O D I w M T c y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k J W I C g y K S 9 B d X R v U m V t b 3 Z l Z E N v b H V t b n M x L n t O Y W 1 l L D B 9 J n F 1 b 3 Q 7 L C Z x d W 9 0 O 1 N l Y 3 R p b 2 4 x L 0 F C Q l Y g K D I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C Q l Y g K D I p L 0 F 1 d G 9 S Z W 1 v d m V k Q 2 9 s d W 1 u c z E u e 0 5 h b W U s M H 0 m c X V v d D s s J n F 1 b 3 Q 7 U 2 V j d G l v b j E v Q U J C V i A o M i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C Q l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j I 3 N T g 0 M C 1 l N m M 0 L T R k O T M t Y j M x M i 0 3 M j V i N 2 Q 4 N G F l M z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k J W L 0 F 1 d G 9 S Z W 1 v d m V k Q 2 9 s d W 1 u c z E u e 0 5 h b W U s M H 0 m c X V v d D s s J n F 1 b 3 Q 7 U 2 V j d G l v b j E v Q U J C V i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Q k J W L 0 F 1 d G 9 S Z W 1 v d m V k Q 2 9 s d W 1 u c z E u e 0 5 h b W U s M H 0 m c X V v d D s s J n F 1 b 3 Q 7 U 2 V j d G l v b j E v Q U J C V i 9 B d X R v U m V t b 3 Z l Z E N v b H V t b n M x L n t W Y W x 1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T G F z d F V w Z G F 0 Z W Q i I F Z h b H V l P S J k M j A y N C 0 x M i 0 x M 1 Q w N D o 1 M T o 0 M y 4 4 O T M 3 N T Y w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m F s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1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0 N v b n Z l c n R l Z C U y M H R v J T I w V G F i b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a u i X 5 u 9 I Z B u Z S h b Y W z X U s A A A A A A g A A A A A A E G Y A A A A B A A A g A A A A 4 q e 4 x c Q A E m 2 W + S 6 j p 7 M c q j 2 t 0 I o r Q m P x H 1 y / k J W d u / Y A A A A A D o A A A A A C A A A g A A A A z K J O j y J i P s Q v 3 j o e / Z 2 c X u E 1 m 6 E k E u U O S Q c p g D E c W F N Q A A A A k m T m 0 3 a p G G p C w z e R J x V o A R u i k n v i 0 k m f m H C K b S C 0 f 2 E 7 9 p R 4 U J 5 O p h s C s T h H t 0 F O q 5 u p i 8 z q Z K E i D F X O 1 3 F E 5 / V a U P K e M h O D t 3 S + 1 S M K A q B A A A A A v l m X + 6 p 0 g 6 S g F H j W G G A n e F q B j j b G v B e 5 C L u z j o h w Z Y m k f I 4 a 8 4 U 9 I 1 k i n q D I J f / o k b R S 5 E u 7 v f 7 S + S i 6 i q N e y Q = = < / D a t a M a s h u p > 
</file>

<file path=customXml/itemProps1.xml><?xml version="1.0" encoding="utf-8"?>
<ds:datastoreItem xmlns:ds="http://schemas.openxmlformats.org/officeDocument/2006/customXml" ds:itemID="{0185F929-A86A-48A7-B6C9-926C6C311F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</vt:lpstr>
      <vt:lpstr>Main</vt:lpstr>
      <vt:lpstr>Model</vt:lpstr>
      <vt:lpstr>Imbruvica</vt:lpstr>
      <vt:lpstr>Humira</vt:lpstr>
      <vt:lpstr>Rinvoq</vt:lpstr>
      <vt:lpstr>Botox</vt:lpstr>
      <vt:lpstr>Skyrizi</vt:lpstr>
      <vt:lpstr>Elahere</vt:lpstr>
      <vt:lpstr>Epkinly</vt:lpstr>
      <vt:lpstr>tavapadon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2013-05-03T13:21:21Z</dcterms:created>
  <dcterms:modified xsi:type="dcterms:W3CDTF">2024-12-13T05:41:45Z</dcterms:modified>
</cp:coreProperties>
</file>